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20C2349F-C4C7-4185-B16B-C213B979D273}" xr6:coauthVersionLast="47" xr6:coauthVersionMax="47" xr10:uidLastSave="{00000000-0000-0000-0000-000000000000}"/>
  <bookViews>
    <workbookView xWindow="2595" yWindow="0" windowWidth="12960" windowHeight="15585" xr2:uid="{00000000-000D-0000-FFFF-FFFF00000000}"/>
  </bookViews>
  <sheets>
    <sheet name="By Vehicles" sheetId="1" r:id="rId1"/>
  </sheets>
  <calcPr calcId="191029"/>
</workbook>
</file>

<file path=xl/calcChain.xml><?xml version="1.0" encoding="utf-8"?>
<calcChain xmlns="http://schemas.openxmlformats.org/spreadsheetml/2006/main">
  <c r="Z158" i="1" l="1"/>
  <c r="N158" i="1"/>
  <c r="I158" i="1"/>
  <c r="Z157" i="1"/>
  <c r="N157" i="1"/>
  <c r="I157" i="1"/>
  <c r="Z156" i="1"/>
  <c r="N156" i="1"/>
  <c r="I156" i="1"/>
  <c r="Z155" i="1"/>
  <c r="N155" i="1"/>
  <c r="I155" i="1"/>
  <c r="Z154" i="1"/>
  <c r="N154" i="1"/>
  <c r="I154" i="1"/>
  <c r="Z153" i="1"/>
  <c r="N153" i="1"/>
  <c r="I153" i="1"/>
  <c r="Z152" i="1"/>
  <c r="N152" i="1"/>
  <c r="I152" i="1"/>
  <c r="Z151" i="1"/>
  <c r="N151" i="1"/>
  <c r="I151" i="1"/>
  <c r="Z150" i="1"/>
  <c r="N150" i="1"/>
  <c r="I150" i="1"/>
  <c r="Z149" i="1"/>
  <c r="N149" i="1"/>
  <c r="I149" i="1"/>
  <c r="Z148" i="1"/>
  <c r="N148" i="1"/>
  <c r="I148" i="1"/>
  <c r="Z147" i="1"/>
  <c r="N147" i="1"/>
  <c r="I147" i="1"/>
  <c r="Z146" i="1"/>
  <c r="N146" i="1"/>
  <c r="I146" i="1"/>
  <c r="Z145" i="1"/>
  <c r="N145" i="1"/>
  <c r="I145" i="1"/>
  <c r="Z144" i="1"/>
  <c r="N144" i="1"/>
  <c r="I144" i="1"/>
  <c r="Z143" i="1"/>
  <c r="N143" i="1"/>
  <c r="I143" i="1"/>
  <c r="Z142" i="1"/>
  <c r="N142" i="1"/>
  <c r="I142" i="1"/>
  <c r="Z141" i="1"/>
  <c r="N141" i="1"/>
  <c r="I141" i="1"/>
  <c r="Z140" i="1"/>
  <c r="N140" i="1"/>
  <c r="I140" i="1"/>
  <c r="Z139" i="1"/>
  <c r="N139" i="1"/>
  <c r="I139" i="1"/>
  <c r="Z138" i="1"/>
  <c r="N138" i="1"/>
  <c r="I138" i="1"/>
  <c r="Z137" i="1"/>
  <c r="N137" i="1"/>
  <c r="I137" i="1"/>
  <c r="Z136" i="1"/>
  <c r="N136" i="1"/>
  <c r="I136" i="1"/>
  <c r="Z135" i="1"/>
  <c r="N135" i="1"/>
  <c r="I135" i="1"/>
  <c r="Z134" i="1"/>
  <c r="N134" i="1"/>
  <c r="I134" i="1"/>
  <c r="Z133" i="1"/>
  <c r="N133" i="1"/>
  <c r="I133" i="1"/>
  <c r="Z132" i="1"/>
  <c r="N132" i="1"/>
  <c r="I132" i="1"/>
  <c r="Z131" i="1"/>
  <c r="N131" i="1"/>
  <c r="I131" i="1"/>
  <c r="Z130" i="1"/>
  <c r="N130" i="1"/>
  <c r="I130" i="1"/>
  <c r="Z129" i="1"/>
  <c r="N129" i="1"/>
  <c r="I129" i="1"/>
  <c r="Z128" i="1"/>
  <c r="N128" i="1"/>
  <c r="I128" i="1"/>
  <c r="Z127" i="1"/>
  <c r="N127" i="1"/>
  <c r="I127" i="1"/>
  <c r="Z126" i="1"/>
  <c r="N126" i="1"/>
  <c r="I126" i="1"/>
  <c r="Z125" i="1"/>
  <c r="N125" i="1"/>
  <c r="I125" i="1"/>
  <c r="Z124" i="1"/>
  <c r="N124" i="1"/>
  <c r="I124" i="1"/>
  <c r="Z123" i="1"/>
  <c r="N123" i="1"/>
  <c r="I123" i="1"/>
  <c r="Z122" i="1"/>
  <c r="N122" i="1"/>
  <c r="I122" i="1"/>
  <c r="Z121" i="1"/>
  <c r="N121" i="1"/>
  <c r="I121" i="1"/>
  <c r="Z120" i="1"/>
  <c r="N120" i="1"/>
  <c r="I120" i="1"/>
  <c r="Z119" i="1"/>
  <c r="N119" i="1"/>
  <c r="I119" i="1"/>
  <c r="Z118" i="1"/>
  <c r="N118" i="1"/>
  <c r="I118" i="1"/>
  <c r="Z117" i="1"/>
  <c r="N117" i="1"/>
  <c r="I117" i="1"/>
  <c r="Z116" i="1"/>
  <c r="N116" i="1"/>
  <c r="I116" i="1"/>
  <c r="Z115" i="1"/>
  <c r="N115" i="1"/>
  <c r="I115" i="1"/>
  <c r="Z114" i="1"/>
  <c r="N114" i="1"/>
  <c r="I114" i="1"/>
  <c r="Z113" i="1"/>
  <c r="N113" i="1"/>
  <c r="I113" i="1"/>
  <c r="Z112" i="1"/>
  <c r="N112" i="1"/>
  <c r="I112" i="1"/>
  <c r="Z111" i="1"/>
  <c r="N111" i="1"/>
  <c r="I111" i="1"/>
  <c r="Z110" i="1"/>
  <c r="N110" i="1"/>
  <c r="I110" i="1"/>
  <c r="Z109" i="1"/>
  <c r="N109" i="1"/>
  <c r="I109" i="1"/>
  <c r="Z108" i="1"/>
  <c r="N108" i="1"/>
  <c r="I108" i="1"/>
  <c r="Z107" i="1"/>
  <c r="N107" i="1"/>
  <c r="I107" i="1"/>
  <c r="Z106" i="1"/>
  <c r="N106" i="1"/>
  <c r="I106" i="1"/>
  <c r="Z105" i="1"/>
  <c r="N105" i="1"/>
  <c r="I105" i="1"/>
  <c r="Z104" i="1"/>
  <c r="N104" i="1"/>
  <c r="I104" i="1"/>
  <c r="Z103" i="1"/>
  <c r="N103" i="1"/>
  <c r="I103" i="1"/>
  <c r="Z102" i="1"/>
  <c r="N102" i="1"/>
  <c r="I102" i="1"/>
  <c r="Z101" i="1"/>
  <c r="N101" i="1"/>
  <c r="I101" i="1"/>
  <c r="Z100" i="1"/>
  <c r="N100" i="1"/>
  <c r="I100" i="1"/>
  <c r="Z99" i="1"/>
  <c r="N99" i="1"/>
  <c r="I99" i="1"/>
  <c r="Z98" i="1"/>
  <c r="N98" i="1"/>
  <c r="I98" i="1"/>
  <c r="Z97" i="1"/>
  <c r="N97" i="1"/>
  <c r="I97" i="1"/>
  <c r="Z96" i="1"/>
  <c r="N96" i="1"/>
  <c r="I96" i="1"/>
  <c r="Z95" i="1"/>
  <c r="N95" i="1"/>
  <c r="I95" i="1"/>
  <c r="Z94" i="1"/>
  <c r="N94" i="1"/>
  <c r="I94" i="1"/>
  <c r="Z93" i="1"/>
  <c r="N93" i="1"/>
  <c r="I93" i="1"/>
  <c r="Z92" i="1"/>
  <c r="N92" i="1"/>
  <c r="I92" i="1"/>
  <c r="Z91" i="1"/>
  <c r="N91" i="1"/>
  <c r="I91" i="1"/>
  <c r="Z90" i="1"/>
  <c r="N90" i="1"/>
  <c r="I90" i="1"/>
  <c r="Z89" i="1"/>
  <c r="N89" i="1"/>
  <c r="I89" i="1"/>
  <c r="Z88" i="1"/>
  <c r="N88" i="1"/>
  <c r="I88" i="1"/>
  <c r="Z87" i="1"/>
  <c r="N87" i="1"/>
  <c r="I87" i="1"/>
  <c r="Z86" i="1"/>
  <c r="N86" i="1"/>
  <c r="I86" i="1"/>
  <c r="Z85" i="1"/>
  <c r="N85" i="1"/>
  <c r="I85" i="1"/>
  <c r="Z84" i="1"/>
  <c r="N84" i="1"/>
  <c r="I84" i="1"/>
  <c r="Z83" i="1"/>
  <c r="N83" i="1"/>
  <c r="I83" i="1"/>
  <c r="Z82" i="1"/>
  <c r="N82" i="1"/>
  <c r="I82" i="1"/>
  <c r="Z81" i="1"/>
  <c r="N81" i="1"/>
  <c r="I81" i="1"/>
  <c r="Z80" i="1"/>
  <c r="N80" i="1"/>
  <c r="I80" i="1"/>
  <c r="Z79" i="1"/>
  <c r="N79" i="1"/>
  <c r="I79" i="1"/>
  <c r="Z78" i="1"/>
  <c r="N78" i="1"/>
  <c r="I78" i="1"/>
  <c r="Z77" i="1"/>
  <c r="N77" i="1"/>
  <c r="I77" i="1"/>
  <c r="Z76" i="1"/>
  <c r="N76" i="1"/>
  <c r="I76" i="1"/>
  <c r="Z75" i="1"/>
  <c r="N75" i="1"/>
  <c r="I75" i="1"/>
  <c r="Z74" i="1"/>
  <c r="N74" i="1"/>
  <c r="I74" i="1"/>
  <c r="Z73" i="1"/>
  <c r="N73" i="1"/>
  <c r="I73" i="1"/>
  <c r="Z72" i="1"/>
  <c r="N72" i="1"/>
  <c r="I72" i="1"/>
  <c r="Z71" i="1"/>
  <c r="N71" i="1"/>
  <c r="I71" i="1"/>
  <c r="Z70" i="1"/>
  <c r="N70" i="1"/>
  <c r="I70" i="1"/>
  <c r="Z69" i="1"/>
  <c r="N69" i="1"/>
  <c r="I69" i="1"/>
  <c r="Z68" i="1"/>
  <c r="N68" i="1"/>
  <c r="I68" i="1"/>
  <c r="Z67" i="1"/>
  <c r="N67" i="1"/>
  <c r="I67" i="1"/>
  <c r="Z66" i="1"/>
  <c r="N66" i="1"/>
  <c r="I66" i="1"/>
  <c r="Z65" i="1"/>
  <c r="N65" i="1"/>
  <c r="I65" i="1"/>
  <c r="Z64" i="1"/>
  <c r="N64" i="1"/>
  <c r="I64" i="1"/>
  <c r="Z63" i="1"/>
  <c r="N63" i="1"/>
  <c r="I63" i="1"/>
  <c r="Z62" i="1"/>
  <c r="N62" i="1"/>
  <c r="I62" i="1"/>
  <c r="Z61" i="1"/>
  <c r="N61" i="1"/>
  <c r="I61" i="1"/>
  <c r="Z60" i="1"/>
  <c r="N60" i="1"/>
  <c r="I60" i="1"/>
  <c r="Z59" i="1"/>
  <c r="N59" i="1"/>
  <c r="I59" i="1"/>
  <c r="Z58" i="1"/>
  <c r="N58" i="1"/>
  <c r="I58" i="1"/>
  <c r="Z57" i="1"/>
  <c r="N57" i="1"/>
  <c r="I57" i="1"/>
  <c r="Z56" i="1"/>
  <c r="N56" i="1"/>
  <c r="I56" i="1"/>
  <c r="Z55" i="1"/>
  <c r="N55" i="1"/>
  <c r="I55" i="1"/>
  <c r="Z54" i="1"/>
  <c r="N54" i="1"/>
  <c r="I54" i="1"/>
  <c r="Z53" i="1"/>
  <c r="N53" i="1"/>
  <c r="I53" i="1"/>
  <c r="Z52" i="1"/>
  <c r="N52" i="1"/>
  <c r="I52" i="1"/>
  <c r="Z51" i="1"/>
  <c r="N51" i="1"/>
  <c r="I51" i="1"/>
  <c r="Z50" i="1"/>
  <c r="N50" i="1"/>
  <c r="I50" i="1"/>
  <c r="Z49" i="1"/>
  <c r="N49" i="1"/>
  <c r="I49" i="1"/>
  <c r="Z48" i="1"/>
  <c r="N48" i="1"/>
  <c r="I48" i="1"/>
  <c r="Z47" i="1"/>
  <c r="N47" i="1"/>
  <c r="I47" i="1"/>
  <c r="Z46" i="1"/>
  <c r="N46" i="1"/>
  <c r="I46" i="1"/>
  <c r="Z45" i="1"/>
  <c r="N45" i="1"/>
  <c r="I45" i="1"/>
  <c r="Z44" i="1"/>
  <c r="N44" i="1"/>
  <c r="I44" i="1"/>
  <c r="Z43" i="1"/>
  <c r="N43" i="1"/>
  <c r="I43" i="1"/>
  <c r="Z42" i="1"/>
  <c r="N42" i="1"/>
  <c r="I42" i="1"/>
  <c r="Z41" i="1"/>
  <c r="N41" i="1"/>
  <c r="I41" i="1"/>
  <c r="Z40" i="1"/>
  <c r="N40" i="1"/>
  <c r="I40" i="1"/>
  <c r="Z39" i="1"/>
  <c r="N39" i="1"/>
  <c r="I39" i="1"/>
  <c r="Z38" i="1"/>
  <c r="N38" i="1"/>
  <c r="I38" i="1"/>
  <c r="Z37" i="1"/>
  <c r="N37" i="1"/>
  <c r="I37" i="1"/>
  <c r="Z36" i="1"/>
  <c r="N36" i="1"/>
  <c r="I36" i="1"/>
  <c r="Z35" i="1"/>
  <c r="N35" i="1"/>
  <c r="I35" i="1"/>
  <c r="Z34" i="1"/>
  <c r="N34" i="1"/>
  <c r="I34" i="1"/>
  <c r="Z33" i="1"/>
  <c r="N33" i="1"/>
  <c r="I33" i="1"/>
  <c r="Z32" i="1"/>
  <c r="N32" i="1"/>
  <c r="I32" i="1"/>
  <c r="Z31" i="1"/>
  <c r="N31" i="1"/>
  <c r="I31" i="1"/>
  <c r="Z30" i="1"/>
  <c r="N30" i="1"/>
  <c r="I30" i="1"/>
  <c r="Z29" i="1"/>
  <c r="N29" i="1"/>
  <c r="I29" i="1"/>
  <c r="Z28" i="1"/>
  <c r="N28" i="1"/>
  <c r="I28" i="1"/>
  <c r="Z27" i="1"/>
  <c r="N27" i="1"/>
  <c r="I27" i="1"/>
  <c r="Z26" i="1"/>
  <c r="N26" i="1"/>
  <c r="I26" i="1"/>
  <c r="Z25" i="1"/>
  <c r="N25" i="1"/>
  <c r="I25" i="1"/>
  <c r="Z24" i="1"/>
  <c r="N24" i="1"/>
  <c r="I24" i="1"/>
  <c r="Z23" i="1"/>
  <c r="N23" i="1"/>
  <c r="I23" i="1"/>
  <c r="Z22" i="1"/>
  <c r="N22" i="1"/>
  <c r="I22" i="1"/>
  <c r="Z21" i="1"/>
  <c r="N21" i="1"/>
  <c r="I21" i="1"/>
  <c r="Z20" i="1"/>
  <c r="N20" i="1"/>
  <c r="I20" i="1"/>
  <c r="Z19" i="1"/>
  <c r="N19" i="1"/>
  <c r="I19" i="1"/>
  <c r="Z18" i="1"/>
  <c r="N18" i="1"/>
  <c r="I18" i="1"/>
  <c r="Z17" i="1"/>
  <c r="N17" i="1"/>
  <c r="I17" i="1"/>
  <c r="Z16" i="1"/>
  <c r="N16" i="1"/>
  <c r="I16" i="1"/>
  <c r="Z15" i="1"/>
  <c r="N15" i="1"/>
  <c r="I15" i="1"/>
  <c r="Z14" i="1"/>
  <c r="N14" i="1"/>
  <c r="I14" i="1"/>
  <c r="Z13" i="1"/>
  <c r="N13" i="1"/>
  <c r="I13" i="1"/>
  <c r="Z12" i="1"/>
  <c r="N12" i="1"/>
  <c r="I12" i="1"/>
  <c r="Z11" i="1"/>
  <c r="N11" i="1"/>
  <c r="I11" i="1"/>
  <c r="Z10" i="1"/>
  <c r="N10" i="1"/>
  <c r="I10" i="1"/>
  <c r="Z9" i="1"/>
  <c r="N9" i="1"/>
  <c r="I9" i="1"/>
  <c r="Z8" i="1"/>
  <c r="N8" i="1"/>
  <c r="I8" i="1"/>
  <c r="Z7" i="1"/>
  <c r="N7" i="1"/>
  <c r="I7" i="1"/>
  <c r="Z6" i="1"/>
  <c r="N6" i="1"/>
  <c r="I6" i="1"/>
  <c r="Z5" i="1"/>
  <c r="N5" i="1"/>
  <c r="I5" i="1"/>
  <c r="Z4" i="1"/>
  <c r="N4" i="1"/>
  <c r="I4" i="1"/>
  <c r="Z3" i="1"/>
  <c r="N3" i="1"/>
  <c r="I3" i="1"/>
  <c r="Z2" i="1"/>
  <c r="N2" i="1"/>
  <c r="I2" i="1"/>
</calcChain>
</file>

<file path=xl/sharedStrings.xml><?xml version="1.0" encoding="utf-8"?>
<sst xmlns="http://schemas.openxmlformats.org/spreadsheetml/2006/main" count="836" uniqueCount="109">
  <si>
    <t>Vehicle</t>
  </si>
  <si>
    <t>Driver</t>
  </si>
  <si>
    <t>Dangerous driving (points)</t>
  </si>
  <si>
    <t>Dangerous driving points p/100km</t>
  </si>
  <si>
    <t>Fuel wasted (l)</t>
  </si>
  <si>
    <t>Fuel wasted l/100km</t>
  </si>
  <si>
    <t>Wasted fuel percentage (% of fuel consumed)</t>
  </si>
  <si>
    <t>Driven distance (km)</t>
  </si>
  <si>
    <t>Driving duration</t>
  </si>
  <si>
    <t>Fuel consumed (l)</t>
  </si>
  <si>
    <t>Fuel consumption l/100km</t>
  </si>
  <si>
    <t>Average speed (km/h)</t>
  </si>
  <si>
    <t>Maximum speed (km/h)</t>
  </si>
  <si>
    <t>Overspeeding duration</t>
  </si>
  <si>
    <t>Overspeeding percentage (% of driving time)</t>
  </si>
  <si>
    <t>RPM in red band (% of driving time)</t>
  </si>
  <si>
    <t>Maximum RPM (rev/minute)</t>
  </si>
  <si>
    <t>Extreme braking (events)</t>
  </si>
  <si>
    <t>Extreme braking events (events/100km)</t>
  </si>
  <si>
    <t>Harsh braking events</t>
  </si>
  <si>
    <t>Harsh braking events (events/100km)</t>
  </si>
  <si>
    <t>Normal braking events</t>
  </si>
  <si>
    <t>Normal braking events (events/100km)</t>
  </si>
  <si>
    <t>Harsh acceleration (events)</t>
  </si>
  <si>
    <t>Harsh acceleration events (events/100km)</t>
  </si>
  <si>
    <t>Idling duration</t>
  </si>
  <si>
    <t>Excess Idling (%)</t>
  </si>
  <si>
    <t>Cruise control use (% of available to use)</t>
  </si>
  <si>
    <t/>
  </si>
  <si>
    <t>Unknown</t>
  </si>
  <si>
    <t>Total</t>
  </si>
  <si>
    <t>Objeto 1</t>
  </si>
  <si>
    <t>Objeto 2</t>
  </si>
  <si>
    <t>Objeto 3</t>
  </si>
  <si>
    <t>Objeto 4</t>
  </si>
  <si>
    <t>Objeto 5</t>
  </si>
  <si>
    <t>Objeto 6</t>
  </si>
  <si>
    <t>Objeto 7</t>
  </si>
  <si>
    <t>Objeto 8</t>
  </si>
  <si>
    <t>Objeto 9</t>
  </si>
  <si>
    <t>Objeto 10</t>
  </si>
  <si>
    <t>Objeto 11</t>
  </si>
  <si>
    <t>Objeto 12</t>
  </si>
  <si>
    <t>Objeto 13</t>
  </si>
  <si>
    <t>Objeto 14</t>
  </si>
  <si>
    <t>Objeto 15</t>
  </si>
  <si>
    <t>Objeto 16</t>
  </si>
  <si>
    <t>Objeto 17</t>
  </si>
  <si>
    <t>Objeto 18</t>
  </si>
  <si>
    <t>Objeto 19</t>
  </si>
  <si>
    <t>Objeto 20</t>
  </si>
  <si>
    <t>Objeto 21</t>
  </si>
  <si>
    <t>Objeto 22</t>
  </si>
  <si>
    <t>Objeto 23</t>
  </si>
  <si>
    <t>Objeto 24</t>
  </si>
  <si>
    <t>Objeto 25</t>
  </si>
  <si>
    <t>Objeto 26</t>
  </si>
  <si>
    <t>Objeto 27</t>
  </si>
  <si>
    <t>Objeto 28</t>
  </si>
  <si>
    <t>Objeto 29</t>
  </si>
  <si>
    <t>Objeto 30</t>
  </si>
  <si>
    <t>Objeto 31</t>
  </si>
  <si>
    <t>Objeto 32</t>
  </si>
  <si>
    <t>Objeto 33</t>
  </si>
  <si>
    <t>Objeto 34</t>
  </si>
  <si>
    <t>Objeto 35</t>
  </si>
  <si>
    <t>Objeto 36</t>
  </si>
  <si>
    <t>Objeto 37</t>
  </si>
  <si>
    <t>Objeto 38</t>
  </si>
  <si>
    <t>Objeto 39</t>
  </si>
  <si>
    <t>Objeto 40</t>
  </si>
  <si>
    <t>Objeto 41</t>
  </si>
  <si>
    <t>Objeto 42</t>
  </si>
  <si>
    <t>Objeto 43</t>
  </si>
  <si>
    <t>Objeto 44</t>
  </si>
  <si>
    <t>Objeto 45</t>
  </si>
  <si>
    <t>Objeto 46</t>
  </si>
  <si>
    <t>Objeto 47</t>
  </si>
  <si>
    <t>Objeto 48</t>
  </si>
  <si>
    <t>Objeto 49</t>
  </si>
  <si>
    <t>Objeto 50</t>
  </si>
  <si>
    <t>Objeto 51</t>
  </si>
  <si>
    <t>Objeto 52</t>
  </si>
  <si>
    <t>Objeto 53</t>
  </si>
  <si>
    <t>Objeto 54</t>
  </si>
  <si>
    <t>Objeto 55</t>
  </si>
  <si>
    <t>Objeto 56</t>
  </si>
  <si>
    <t>Objeto 57</t>
  </si>
  <si>
    <t>Objeto 58</t>
  </si>
  <si>
    <t>Objeto 59</t>
  </si>
  <si>
    <t>Objeto 60</t>
  </si>
  <si>
    <t>Objeto 61</t>
  </si>
  <si>
    <t>Objeto 62</t>
  </si>
  <si>
    <t>Objeto 63</t>
  </si>
  <si>
    <t>Objeto 64</t>
  </si>
  <si>
    <t>Objeto 65</t>
  </si>
  <si>
    <t>Objeto 66</t>
  </si>
  <si>
    <t>Objeto 67</t>
  </si>
  <si>
    <t>Objeto 68</t>
  </si>
  <si>
    <t>Objeto 69</t>
  </si>
  <si>
    <t>Objeto 70</t>
  </si>
  <si>
    <t>Objeto 71</t>
  </si>
  <si>
    <t>Objeto 72</t>
  </si>
  <si>
    <t>Objeto 73</t>
  </si>
  <si>
    <t>Objeto 74</t>
  </si>
  <si>
    <t>Objeto 75</t>
  </si>
  <si>
    <t>Objeto 76</t>
  </si>
  <si>
    <t>Objeto 77</t>
  </si>
  <si>
    <t>Objeto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</si>
</sst>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rgb="FF66666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Border="1"/>
    <xf numFmtId="46" fontId="2" fillId="0" borderId="2" xfId="0" applyNumberFormat="1" applyFont="1" applyBorder="1"/>
    <xf numFmtId="0" fontId="3" fillId="0" borderId="0" xfId="0" applyFont="1"/>
    <xf numFmtId="46" fontId="3" fillId="0" borderId="0" xfId="0" applyNumberFormat="1" applyFont="1"/>
    <xf numFmtId="0" fontId="4" fillId="0" borderId="3" xfId="0" applyFont="1" applyBorder="1"/>
    <xf numFmtId="0" fontId="2" fillId="0" borderId="3" xfId="0" applyFont="1" applyBorder="1"/>
    <xf numFmtId="46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"/>
  <sheetViews>
    <sheetView tabSelected="1" topLeftCell="A129" workbookViewId="0">
      <selection activeCell="A2" sqref="A2:A156"/>
    </sheetView>
  </sheetViews>
  <sheetFormatPr baseColWidth="10" defaultColWidth="9.140625" defaultRowHeight="15" x14ac:dyDescent="0.25"/>
  <cols>
    <col min="1" max="1" width="10.140625" bestFit="1" customWidth="1"/>
  </cols>
  <sheetData>
    <row r="1" spans="1:28" s="1" customFormat="1" ht="110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3" customFormat="1" ht="15.75" x14ac:dyDescent="0.25">
      <c r="A2" s="4" t="s">
        <v>31</v>
      </c>
      <c r="B2" s="4" t="s">
        <v>28</v>
      </c>
      <c r="C2" s="4">
        <v>205.94</v>
      </c>
      <c r="D2" s="4">
        <v>171.34</v>
      </c>
      <c r="E2" s="4">
        <v>0</v>
      </c>
      <c r="F2" s="4">
        <v>0</v>
      </c>
      <c r="G2" s="4">
        <v>0</v>
      </c>
      <c r="H2" s="4">
        <v>120.2</v>
      </c>
      <c r="I2" s="5">
        <f>25323 / 86400</f>
        <v>0.2930902777777778</v>
      </c>
      <c r="J2" s="4">
        <v>0</v>
      </c>
      <c r="K2" s="4">
        <v>0</v>
      </c>
      <c r="L2" s="4">
        <v>17.09</v>
      </c>
      <c r="M2" s="4">
        <v>87</v>
      </c>
      <c r="N2" s="5">
        <f>10 / 86400</f>
        <v>1.1574074074074075E-4</v>
      </c>
      <c r="O2" s="4">
        <v>0.04</v>
      </c>
      <c r="P2" s="4" t="s">
        <v>28</v>
      </c>
      <c r="Q2" s="4" t="s">
        <v>28</v>
      </c>
      <c r="R2" s="4">
        <v>389</v>
      </c>
      <c r="S2" s="4">
        <v>323.64</v>
      </c>
      <c r="T2" s="4">
        <v>907</v>
      </c>
      <c r="U2" s="4">
        <v>754.6</v>
      </c>
      <c r="V2" s="4">
        <v>701</v>
      </c>
      <c r="W2" s="4">
        <v>583.21</v>
      </c>
      <c r="X2" s="4">
        <v>373</v>
      </c>
      <c r="Y2" s="4">
        <v>310.33</v>
      </c>
      <c r="Z2" s="5">
        <f>0 / 86400</f>
        <v>0</v>
      </c>
      <c r="AA2" s="4">
        <v>0</v>
      </c>
      <c r="AB2" s="4" t="s">
        <v>28</v>
      </c>
    </row>
    <row r="3" spans="1:28" s="6" customFormat="1" ht="15.75" x14ac:dyDescent="0.25">
      <c r="A3" s="6" t="s">
        <v>28</v>
      </c>
      <c r="B3" s="6" t="s">
        <v>29</v>
      </c>
      <c r="C3" s="6">
        <v>205.94</v>
      </c>
      <c r="D3" s="6">
        <v>171.34</v>
      </c>
      <c r="E3" s="6">
        <v>0</v>
      </c>
      <c r="F3" s="6">
        <v>0</v>
      </c>
      <c r="G3" s="6">
        <v>0</v>
      </c>
      <c r="H3" s="6">
        <v>120.2</v>
      </c>
      <c r="I3" s="7">
        <f>25323 / 86400</f>
        <v>0.2930902777777778</v>
      </c>
      <c r="J3" s="6">
        <v>0</v>
      </c>
      <c r="K3" s="6">
        <v>0</v>
      </c>
      <c r="L3" s="6">
        <v>17.09</v>
      </c>
      <c r="M3" s="6">
        <v>87</v>
      </c>
      <c r="N3" s="7">
        <f>10 / 86400</f>
        <v>1.1574074074074075E-4</v>
      </c>
      <c r="O3" s="6">
        <v>0.04</v>
      </c>
      <c r="P3" s="6" t="s">
        <v>28</v>
      </c>
      <c r="Q3" s="6" t="s">
        <v>28</v>
      </c>
      <c r="R3" s="6">
        <v>389</v>
      </c>
      <c r="S3" s="6">
        <v>323.64</v>
      </c>
      <c r="T3" s="6">
        <v>907</v>
      </c>
      <c r="U3" s="6">
        <v>754.6</v>
      </c>
      <c r="V3" s="6">
        <v>701</v>
      </c>
      <c r="W3" s="6">
        <v>583.21</v>
      </c>
      <c r="X3" s="6">
        <v>373</v>
      </c>
      <c r="Y3" s="6">
        <v>310.33</v>
      </c>
      <c r="Z3" s="7">
        <f>0 / 86400</f>
        <v>0</v>
      </c>
      <c r="AA3" s="6">
        <v>0</v>
      </c>
      <c r="AB3" s="6" t="s">
        <v>28</v>
      </c>
    </row>
    <row r="4" spans="1:28" s="3" customFormat="1" ht="15.75" x14ac:dyDescent="0.25">
      <c r="A4" s="4" t="s">
        <v>32</v>
      </c>
      <c r="B4" s="4" t="s">
        <v>28</v>
      </c>
      <c r="C4" s="4">
        <v>281</v>
      </c>
      <c r="D4" s="4">
        <v>124.28</v>
      </c>
      <c r="E4" s="4">
        <v>0</v>
      </c>
      <c r="F4" s="4">
        <v>0</v>
      </c>
      <c r="G4" s="4">
        <v>0</v>
      </c>
      <c r="H4" s="4">
        <v>226.1</v>
      </c>
      <c r="I4" s="5">
        <f>27260 / 86400</f>
        <v>0.31550925925925927</v>
      </c>
      <c r="J4" s="4">
        <v>0</v>
      </c>
      <c r="K4" s="4">
        <v>0</v>
      </c>
      <c r="L4" s="4">
        <v>29.86</v>
      </c>
      <c r="M4" s="4">
        <v>96</v>
      </c>
      <c r="N4" s="5">
        <f>89 / 86400</f>
        <v>1.0300925925925926E-3</v>
      </c>
      <c r="O4" s="4">
        <v>0.33</v>
      </c>
      <c r="P4" s="4" t="s">
        <v>28</v>
      </c>
      <c r="Q4" s="4" t="s">
        <v>28</v>
      </c>
      <c r="R4" s="4">
        <v>559</v>
      </c>
      <c r="S4" s="4">
        <v>247.23</v>
      </c>
      <c r="T4" s="4">
        <v>1278</v>
      </c>
      <c r="U4" s="4">
        <v>565.23</v>
      </c>
      <c r="V4" s="4">
        <v>953</v>
      </c>
      <c r="W4" s="4">
        <v>421.49</v>
      </c>
      <c r="X4" s="4">
        <v>364</v>
      </c>
      <c r="Y4" s="4">
        <v>160.99</v>
      </c>
      <c r="Z4" s="5">
        <f>379 / 86400</f>
        <v>4.386574074074074E-3</v>
      </c>
      <c r="AA4" s="4">
        <v>1.39</v>
      </c>
      <c r="AB4" s="4" t="s">
        <v>28</v>
      </c>
    </row>
    <row r="5" spans="1:28" s="6" customFormat="1" ht="15.75" x14ac:dyDescent="0.25">
      <c r="A5" s="6" t="s">
        <v>28</v>
      </c>
      <c r="B5" s="6" t="s">
        <v>29</v>
      </c>
      <c r="C5" s="6">
        <v>281</v>
      </c>
      <c r="D5" s="6">
        <v>124.28</v>
      </c>
      <c r="E5" s="6">
        <v>0</v>
      </c>
      <c r="F5" s="6">
        <v>0</v>
      </c>
      <c r="G5" s="6">
        <v>0</v>
      </c>
      <c r="H5" s="6">
        <v>226.1</v>
      </c>
      <c r="I5" s="7">
        <f>27260 / 86400</f>
        <v>0.31550925925925927</v>
      </c>
      <c r="J5" s="6">
        <v>0</v>
      </c>
      <c r="K5" s="6">
        <v>0</v>
      </c>
      <c r="L5" s="6">
        <v>29.86</v>
      </c>
      <c r="M5" s="6">
        <v>96</v>
      </c>
      <c r="N5" s="7">
        <f>89 / 86400</f>
        <v>1.0300925925925926E-3</v>
      </c>
      <c r="O5" s="6">
        <v>0.33</v>
      </c>
      <c r="P5" s="6" t="s">
        <v>28</v>
      </c>
      <c r="Q5" s="6" t="s">
        <v>28</v>
      </c>
      <c r="R5" s="6">
        <v>559</v>
      </c>
      <c r="S5" s="6">
        <v>247.23</v>
      </c>
      <c r="T5" s="6">
        <v>1278</v>
      </c>
      <c r="U5" s="6">
        <v>565.23</v>
      </c>
      <c r="V5" s="6">
        <v>953</v>
      </c>
      <c r="W5" s="6">
        <v>421.49</v>
      </c>
      <c r="X5" s="6">
        <v>364</v>
      </c>
      <c r="Y5" s="6">
        <v>160.99</v>
      </c>
      <c r="Z5" s="7">
        <f>379 / 86400</f>
        <v>4.386574074074074E-3</v>
      </c>
      <c r="AA5" s="6">
        <v>1.39</v>
      </c>
      <c r="AB5" s="6" t="s">
        <v>28</v>
      </c>
    </row>
    <row r="6" spans="1:28" s="3" customFormat="1" ht="15.75" x14ac:dyDescent="0.25">
      <c r="A6" s="4" t="s">
        <v>33</v>
      </c>
      <c r="B6" s="4" t="s">
        <v>28</v>
      </c>
      <c r="C6" s="4">
        <v>152.5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f>49904 / 86400</f>
        <v>0.57759259259259255</v>
      </c>
      <c r="J6" s="4">
        <v>0</v>
      </c>
      <c r="K6" s="4">
        <v>0</v>
      </c>
      <c r="L6" s="4">
        <v>0</v>
      </c>
      <c r="M6" s="4">
        <v>0</v>
      </c>
      <c r="N6" s="5">
        <f>0 / 86400</f>
        <v>0</v>
      </c>
      <c r="O6" s="4">
        <v>0</v>
      </c>
      <c r="P6" s="4" t="s">
        <v>28</v>
      </c>
      <c r="Q6" s="4" t="s">
        <v>28</v>
      </c>
      <c r="R6" s="4">
        <v>32</v>
      </c>
      <c r="S6" s="4">
        <v>0</v>
      </c>
      <c r="T6" s="4">
        <v>375</v>
      </c>
      <c r="U6" s="4">
        <v>0</v>
      </c>
      <c r="V6" s="4">
        <v>146</v>
      </c>
      <c r="W6" s="4">
        <v>0</v>
      </c>
      <c r="X6" s="4">
        <v>1086</v>
      </c>
      <c r="Y6" s="4">
        <v>0</v>
      </c>
      <c r="Z6" s="5">
        <f>47331 / 86400</f>
        <v>0.54781250000000004</v>
      </c>
      <c r="AA6" s="4">
        <v>94.84</v>
      </c>
      <c r="AB6" s="4" t="s">
        <v>28</v>
      </c>
    </row>
    <row r="7" spans="1:28" s="6" customFormat="1" ht="15.75" x14ac:dyDescent="0.25">
      <c r="A7" s="6" t="s">
        <v>28</v>
      </c>
      <c r="B7" s="6" t="s">
        <v>29</v>
      </c>
      <c r="C7" s="6">
        <v>152.5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7">
        <f>49904 / 86400</f>
        <v>0.57759259259259255</v>
      </c>
      <c r="J7" s="6">
        <v>0</v>
      </c>
      <c r="K7" s="6">
        <v>0</v>
      </c>
      <c r="L7" s="6">
        <v>0</v>
      </c>
      <c r="M7" s="6">
        <v>0</v>
      </c>
      <c r="N7" s="7">
        <f>0 / 86400</f>
        <v>0</v>
      </c>
      <c r="O7" s="6">
        <v>0</v>
      </c>
      <c r="P7" s="6" t="s">
        <v>28</v>
      </c>
      <c r="Q7" s="6" t="s">
        <v>28</v>
      </c>
      <c r="R7" s="6">
        <v>32</v>
      </c>
      <c r="S7" s="6">
        <v>0</v>
      </c>
      <c r="T7" s="6">
        <v>375</v>
      </c>
      <c r="U7" s="6">
        <v>0</v>
      </c>
      <c r="V7" s="6">
        <v>146</v>
      </c>
      <c r="W7" s="6">
        <v>0</v>
      </c>
      <c r="X7" s="6">
        <v>1086</v>
      </c>
      <c r="Y7" s="6">
        <v>0</v>
      </c>
      <c r="Z7" s="7">
        <f>47331 / 86400</f>
        <v>0.54781250000000004</v>
      </c>
      <c r="AA7" s="6">
        <v>94.84</v>
      </c>
      <c r="AB7" s="6" t="s">
        <v>28</v>
      </c>
    </row>
    <row r="8" spans="1:28" s="3" customFormat="1" ht="15.75" x14ac:dyDescent="0.25">
      <c r="A8" s="4" t="s">
        <v>34</v>
      </c>
      <c r="B8" s="4" t="s">
        <v>28</v>
      </c>
      <c r="C8" s="4">
        <v>179.2</v>
      </c>
      <c r="D8" s="4">
        <v>94.98</v>
      </c>
      <c r="E8" s="4">
        <v>0</v>
      </c>
      <c r="F8" s="4">
        <v>0</v>
      </c>
      <c r="G8" s="4">
        <v>0</v>
      </c>
      <c r="H8" s="4">
        <v>188.67</v>
      </c>
      <c r="I8" s="5">
        <f>36034 / 86400</f>
        <v>0.41706018518518517</v>
      </c>
      <c r="J8" s="4">
        <v>0</v>
      </c>
      <c r="K8" s="4">
        <v>0</v>
      </c>
      <c r="L8" s="4">
        <v>18.850000000000001</v>
      </c>
      <c r="M8" s="4">
        <v>74</v>
      </c>
      <c r="N8" s="5">
        <f>0 / 86400</f>
        <v>0</v>
      </c>
      <c r="O8" s="4">
        <v>0</v>
      </c>
      <c r="P8" s="4" t="s">
        <v>28</v>
      </c>
      <c r="Q8" s="4" t="s">
        <v>28</v>
      </c>
      <c r="R8" s="4">
        <v>279</v>
      </c>
      <c r="S8" s="4">
        <v>147.88</v>
      </c>
      <c r="T8" s="4">
        <v>1118</v>
      </c>
      <c r="U8" s="4">
        <v>592.58000000000004</v>
      </c>
      <c r="V8" s="4">
        <v>579</v>
      </c>
      <c r="W8" s="4">
        <v>306.89</v>
      </c>
      <c r="X8" s="4">
        <v>116</v>
      </c>
      <c r="Y8" s="4">
        <v>61.48</v>
      </c>
      <c r="Z8" s="5">
        <f>1209 / 86400</f>
        <v>1.3993055555555555E-2</v>
      </c>
      <c r="AA8" s="4">
        <v>3.36</v>
      </c>
      <c r="AB8" s="4" t="s">
        <v>28</v>
      </c>
    </row>
    <row r="9" spans="1:28" s="6" customFormat="1" ht="15.75" x14ac:dyDescent="0.25">
      <c r="A9" s="6" t="s">
        <v>28</v>
      </c>
      <c r="B9" s="6" t="s">
        <v>29</v>
      </c>
      <c r="C9" s="6">
        <v>179.2</v>
      </c>
      <c r="D9" s="6">
        <v>94.98</v>
      </c>
      <c r="E9" s="6">
        <v>0</v>
      </c>
      <c r="F9" s="6">
        <v>0</v>
      </c>
      <c r="G9" s="6">
        <v>0</v>
      </c>
      <c r="H9" s="6">
        <v>188.67</v>
      </c>
      <c r="I9" s="7">
        <f>36034 / 86400</f>
        <v>0.41706018518518517</v>
      </c>
      <c r="J9" s="6">
        <v>0</v>
      </c>
      <c r="K9" s="6">
        <v>0</v>
      </c>
      <c r="L9" s="6">
        <v>18.850000000000001</v>
      </c>
      <c r="M9" s="6">
        <v>74</v>
      </c>
      <c r="N9" s="7">
        <f>0 / 86400</f>
        <v>0</v>
      </c>
      <c r="O9" s="6">
        <v>0</v>
      </c>
      <c r="P9" s="6" t="s">
        <v>28</v>
      </c>
      <c r="Q9" s="6" t="s">
        <v>28</v>
      </c>
      <c r="R9" s="6">
        <v>279</v>
      </c>
      <c r="S9" s="6">
        <v>147.88</v>
      </c>
      <c r="T9" s="6">
        <v>1118</v>
      </c>
      <c r="U9" s="6">
        <v>592.58000000000004</v>
      </c>
      <c r="V9" s="6">
        <v>579</v>
      </c>
      <c r="W9" s="6">
        <v>306.89</v>
      </c>
      <c r="X9" s="6">
        <v>116</v>
      </c>
      <c r="Y9" s="6">
        <v>61.48</v>
      </c>
      <c r="Z9" s="7">
        <f>1209 / 86400</f>
        <v>1.3993055555555555E-2</v>
      </c>
      <c r="AA9" s="6">
        <v>3.36</v>
      </c>
      <c r="AB9" s="6" t="s">
        <v>28</v>
      </c>
    </row>
    <row r="10" spans="1:28" s="3" customFormat="1" ht="15.75" x14ac:dyDescent="0.25">
      <c r="A10" s="4" t="s">
        <v>35</v>
      </c>
      <c r="B10" s="4" t="s">
        <v>28</v>
      </c>
      <c r="C10" s="4">
        <v>359.8</v>
      </c>
      <c r="D10" s="4">
        <v>169.4</v>
      </c>
      <c r="E10" s="4">
        <v>0</v>
      </c>
      <c r="F10" s="4">
        <v>0</v>
      </c>
      <c r="G10" s="4">
        <v>0</v>
      </c>
      <c r="H10" s="4">
        <v>212.4</v>
      </c>
      <c r="I10" s="5">
        <f>33927 / 86400</f>
        <v>0.3926736111111111</v>
      </c>
      <c r="J10" s="4">
        <v>0</v>
      </c>
      <c r="K10" s="4">
        <v>0</v>
      </c>
      <c r="L10" s="4">
        <v>22.54</v>
      </c>
      <c r="M10" s="4">
        <v>86</v>
      </c>
      <c r="N10" s="5">
        <f>15 / 86400</f>
        <v>1.7361111111111112E-4</v>
      </c>
      <c r="O10" s="4">
        <v>0.04</v>
      </c>
      <c r="P10" s="4" t="s">
        <v>28</v>
      </c>
      <c r="Q10" s="4" t="s">
        <v>28</v>
      </c>
      <c r="R10" s="4">
        <v>717</v>
      </c>
      <c r="S10" s="4">
        <v>337.58</v>
      </c>
      <c r="T10" s="4">
        <v>1534</v>
      </c>
      <c r="U10" s="4">
        <v>722.24</v>
      </c>
      <c r="V10" s="4">
        <v>947</v>
      </c>
      <c r="W10" s="4">
        <v>445.87</v>
      </c>
      <c r="X10" s="4">
        <v>627</v>
      </c>
      <c r="Y10" s="4">
        <v>295.2</v>
      </c>
      <c r="Z10" s="5">
        <f>0 / 86400</f>
        <v>0</v>
      </c>
      <c r="AA10" s="4">
        <v>0</v>
      </c>
      <c r="AB10" s="4" t="s">
        <v>28</v>
      </c>
    </row>
    <row r="11" spans="1:28" s="6" customFormat="1" ht="15.75" x14ac:dyDescent="0.25">
      <c r="A11" s="6" t="s">
        <v>28</v>
      </c>
      <c r="B11" s="6" t="s">
        <v>29</v>
      </c>
      <c r="C11" s="6">
        <v>359.8</v>
      </c>
      <c r="D11" s="6">
        <v>169.4</v>
      </c>
      <c r="E11" s="6">
        <v>0</v>
      </c>
      <c r="F11" s="6">
        <v>0</v>
      </c>
      <c r="G11" s="6">
        <v>0</v>
      </c>
      <c r="H11" s="6">
        <v>212.4</v>
      </c>
      <c r="I11" s="7">
        <f>33927 / 86400</f>
        <v>0.3926736111111111</v>
      </c>
      <c r="J11" s="6">
        <v>0</v>
      </c>
      <c r="K11" s="6">
        <v>0</v>
      </c>
      <c r="L11" s="6">
        <v>22.54</v>
      </c>
      <c r="M11" s="6">
        <v>86</v>
      </c>
      <c r="N11" s="7">
        <f>15 / 86400</f>
        <v>1.7361111111111112E-4</v>
      </c>
      <c r="O11" s="6">
        <v>0.04</v>
      </c>
      <c r="P11" s="6" t="s">
        <v>28</v>
      </c>
      <c r="Q11" s="6" t="s">
        <v>28</v>
      </c>
      <c r="R11" s="6">
        <v>717</v>
      </c>
      <c r="S11" s="6">
        <v>337.58</v>
      </c>
      <c r="T11" s="6">
        <v>1534</v>
      </c>
      <c r="U11" s="6">
        <v>722.24</v>
      </c>
      <c r="V11" s="6">
        <v>947</v>
      </c>
      <c r="W11" s="6">
        <v>445.87</v>
      </c>
      <c r="X11" s="6">
        <v>627</v>
      </c>
      <c r="Y11" s="6">
        <v>295.2</v>
      </c>
      <c r="Z11" s="7">
        <f>0 / 86400</f>
        <v>0</v>
      </c>
      <c r="AA11" s="6">
        <v>0</v>
      </c>
      <c r="AB11" s="6" t="s">
        <v>28</v>
      </c>
    </row>
    <row r="12" spans="1:28" s="3" customFormat="1" ht="15.75" x14ac:dyDescent="0.25">
      <c r="A12" s="4" t="s">
        <v>36</v>
      </c>
      <c r="B12" s="4" t="s">
        <v>28</v>
      </c>
      <c r="C12" s="4">
        <v>119.3</v>
      </c>
      <c r="D12" s="4">
        <v>73.599999999999994</v>
      </c>
      <c r="E12" s="4">
        <v>0</v>
      </c>
      <c r="F12" s="4">
        <v>0</v>
      </c>
      <c r="G12" s="4">
        <v>0</v>
      </c>
      <c r="H12" s="4">
        <v>162.09</v>
      </c>
      <c r="I12" s="5">
        <f>3312 / 86400</f>
        <v>3.833333333333333E-2</v>
      </c>
      <c r="J12" s="4">
        <v>0</v>
      </c>
      <c r="K12" s="4">
        <v>0</v>
      </c>
      <c r="L12" s="4">
        <v>176.19</v>
      </c>
      <c r="M12" s="4">
        <v>79</v>
      </c>
      <c r="N12" s="5">
        <f>0 / 86400</f>
        <v>0</v>
      </c>
      <c r="O12" s="4">
        <v>0</v>
      </c>
      <c r="P12" s="4" t="s">
        <v>28</v>
      </c>
      <c r="Q12" s="4" t="s">
        <v>28</v>
      </c>
      <c r="R12" s="4">
        <v>151</v>
      </c>
      <c r="S12" s="4">
        <v>93.16</v>
      </c>
      <c r="T12" s="4">
        <v>768</v>
      </c>
      <c r="U12" s="4">
        <v>473.81</v>
      </c>
      <c r="V12" s="4">
        <v>428</v>
      </c>
      <c r="W12" s="4">
        <v>264.05</v>
      </c>
      <c r="X12" s="4">
        <v>123</v>
      </c>
      <c r="Y12" s="4">
        <v>75.88</v>
      </c>
      <c r="Z12" s="5">
        <f>0 / 86400</f>
        <v>0</v>
      </c>
      <c r="AA12" s="4">
        <v>0</v>
      </c>
      <c r="AB12" s="4" t="s">
        <v>28</v>
      </c>
    </row>
    <row r="13" spans="1:28" s="6" customFormat="1" ht="15.75" x14ac:dyDescent="0.25">
      <c r="A13" s="6" t="s">
        <v>28</v>
      </c>
      <c r="B13" s="6" t="s">
        <v>29</v>
      </c>
      <c r="C13" s="6">
        <v>119.3</v>
      </c>
      <c r="D13" s="6">
        <v>73.599999999999994</v>
      </c>
      <c r="E13" s="6">
        <v>0</v>
      </c>
      <c r="F13" s="6">
        <v>0</v>
      </c>
      <c r="G13" s="6">
        <v>0</v>
      </c>
      <c r="H13" s="6">
        <v>162.09</v>
      </c>
      <c r="I13" s="7">
        <f>3312 / 86400</f>
        <v>3.833333333333333E-2</v>
      </c>
      <c r="J13" s="6">
        <v>0</v>
      </c>
      <c r="K13" s="6">
        <v>0</v>
      </c>
      <c r="L13" s="6">
        <v>176.19</v>
      </c>
      <c r="M13" s="6">
        <v>79</v>
      </c>
      <c r="N13" s="7">
        <f>0 / 86400</f>
        <v>0</v>
      </c>
      <c r="O13" s="6">
        <v>0</v>
      </c>
      <c r="P13" s="6" t="s">
        <v>28</v>
      </c>
      <c r="Q13" s="6" t="s">
        <v>28</v>
      </c>
      <c r="R13" s="6">
        <v>151</v>
      </c>
      <c r="S13" s="6">
        <v>93.16</v>
      </c>
      <c r="T13" s="6">
        <v>768</v>
      </c>
      <c r="U13" s="6">
        <v>473.81</v>
      </c>
      <c r="V13" s="6">
        <v>428</v>
      </c>
      <c r="W13" s="6">
        <v>264.05</v>
      </c>
      <c r="X13" s="6">
        <v>123</v>
      </c>
      <c r="Y13" s="6">
        <v>75.88</v>
      </c>
      <c r="Z13" s="7">
        <f>0 / 86400</f>
        <v>0</v>
      </c>
      <c r="AA13" s="6">
        <v>0</v>
      </c>
      <c r="AB13" s="6" t="s">
        <v>28</v>
      </c>
    </row>
    <row r="14" spans="1:28" s="3" customFormat="1" ht="15.75" x14ac:dyDescent="0.25">
      <c r="A14" s="4" t="s">
        <v>37</v>
      </c>
      <c r="B14" s="4" t="s">
        <v>28</v>
      </c>
      <c r="C14" s="4">
        <v>713.59</v>
      </c>
      <c r="D14" s="4">
        <v>339.43</v>
      </c>
      <c r="E14" s="4">
        <v>0</v>
      </c>
      <c r="F14" s="4">
        <v>0</v>
      </c>
      <c r="G14" s="4">
        <v>0</v>
      </c>
      <c r="H14" s="4">
        <v>210.23</v>
      </c>
      <c r="I14" s="5">
        <f>42547 / 86400</f>
        <v>0.49244212962962963</v>
      </c>
      <c r="J14" s="4">
        <v>0</v>
      </c>
      <c r="K14" s="4">
        <v>0</v>
      </c>
      <c r="L14" s="4">
        <v>17.79</v>
      </c>
      <c r="M14" s="4">
        <v>96</v>
      </c>
      <c r="N14" s="5">
        <f>69 / 86400</f>
        <v>7.9861111111111116E-4</v>
      </c>
      <c r="O14" s="4">
        <v>0.16</v>
      </c>
      <c r="P14" s="4" t="s">
        <v>28</v>
      </c>
      <c r="Q14" s="4" t="s">
        <v>28</v>
      </c>
      <c r="R14" s="4">
        <v>1492</v>
      </c>
      <c r="S14" s="4">
        <v>709.7</v>
      </c>
      <c r="T14" s="4">
        <v>2458</v>
      </c>
      <c r="U14" s="4">
        <v>1169.2</v>
      </c>
      <c r="V14" s="4">
        <v>2468</v>
      </c>
      <c r="W14" s="4">
        <v>1173.95</v>
      </c>
      <c r="X14" s="4">
        <v>1682</v>
      </c>
      <c r="Y14" s="4">
        <v>800.08</v>
      </c>
      <c r="Z14" s="5">
        <f>1808 / 86400</f>
        <v>2.0925925925925924E-2</v>
      </c>
      <c r="AA14" s="4">
        <v>4.25</v>
      </c>
      <c r="AB14" s="4" t="s">
        <v>28</v>
      </c>
    </row>
    <row r="15" spans="1:28" s="6" customFormat="1" ht="15.75" x14ac:dyDescent="0.25">
      <c r="A15" s="6" t="s">
        <v>28</v>
      </c>
      <c r="B15" s="6" t="s">
        <v>29</v>
      </c>
      <c r="C15" s="6">
        <v>713.59</v>
      </c>
      <c r="D15" s="6">
        <v>339.43</v>
      </c>
      <c r="E15" s="6">
        <v>0</v>
      </c>
      <c r="F15" s="6">
        <v>0</v>
      </c>
      <c r="G15" s="6">
        <v>0</v>
      </c>
      <c r="H15" s="6">
        <v>210.23</v>
      </c>
      <c r="I15" s="7">
        <f>42547 / 86400</f>
        <v>0.49244212962962963</v>
      </c>
      <c r="J15" s="6">
        <v>0</v>
      </c>
      <c r="K15" s="6">
        <v>0</v>
      </c>
      <c r="L15" s="6">
        <v>17.79</v>
      </c>
      <c r="M15" s="6">
        <v>96</v>
      </c>
      <c r="N15" s="7">
        <f>69 / 86400</f>
        <v>7.9861111111111116E-4</v>
      </c>
      <c r="O15" s="6">
        <v>0.16</v>
      </c>
      <c r="P15" s="6" t="s">
        <v>28</v>
      </c>
      <c r="Q15" s="6" t="s">
        <v>28</v>
      </c>
      <c r="R15" s="6">
        <v>1492</v>
      </c>
      <c r="S15" s="6">
        <v>709.7</v>
      </c>
      <c r="T15" s="6">
        <v>2458</v>
      </c>
      <c r="U15" s="6">
        <v>1169.2</v>
      </c>
      <c r="V15" s="6">
        <v>2468</v>
      </c>
      <c r="W15" s="6">
        <v>1173.95</v>
      </c>
      <c r="X15" s="6">
        <v>1682</v>
      </c>
      <c r="Y15" s="6">
        <v>800.08</v>
      </c>
      <c r="Z15" s="7">
        <f>1808 / 86400</f>
        <v>2.0925925925925924E-2</v>
      </c>
      <c r="AA15" s="6">
        <v>4.25</v>
      </c>
      <c r="AB15" s="6" t="s">
        <v>28</v>
      </c>
    </row>
    <row r="16" spans="1:28" s="3" customFormat="1" ht="15.75" x14ac:dyDescent="0.25">
      <c r="A16" s="4" t="s">
        <v>38</v>
      </c>
      <c r="B16" s="4" t="s">
        <v>28</v>
      </c>
      <c r="C16" s="4">
        <v>24.2</v>
      </c>
      <c r="D16" s="4">
        <v>52.74</v>
      </c>
      <c r="E16" s="4">
        <v>0</v>
      </c>
      <c r="F16" s="4">
        <v>0</v>
      </c>
      <c r="G16" s="4">
        <v>0</v>
      </c>
      <c r="H16" s="4">
        <v>45.89</v>
      </c>
      <c r="I16" s="5">
        <f>9038 / 86400</f>
        <v>0.10460648148148148</v>
      </c>
      <c r="J16" s="4">
        <v>0</v>
      </c>
      <c r="K16" s="4">
        <v>0</v>
      </c>
      <c r="L16" s="4">
        <v>18.28</v>
      </c>
      <c r="M16" s="4">
        <v>86</v>
      </c>
      <c r="N16" s="5">
        <f>7 / 86400</f>
        <v>8.1018518518518516E-5</v>
      </c>
      <c r="O16" s="4">
        <v>0.08</v>
      </c>
      <c r="P16" s="4" t="s">
        <v>28</v>
      </c>
      <c r="Q16" s="4" t="s">
        <v>28</v>
      </c>
      <c r="R16" s="4">
        <v>10</v>
      </c>
      <c r="S16" s="4">
        <v>21.79</v>
      </c>
      <c r="T16" s="4">
        <v>199</v>
      </c>
      <c r="U16" s="4">
        <v>433.66</v>
      </c>
      <c r="V16" s="4">
        <v>112</v>
      </c>
      <c r="W16" s="4">
        <v>244.07</v>
      </c>
      <c r="X16" s="4">
        <v>20</v>
      </c>
      <c r="Y16" s="4">
        <v>43.58</v>
      </c>
      <c r="Z16" s="5">
        <f>476 / 86400</f>
        <v>5.5092592592592589E-3</v>
      </c>
      <c r="AA16" s="4">
        <v>5.27</v>
      </c>
      <c r="AB16" s="4" t="s">
        <v>28</v>
      </c>
    </row>
    <row r="17" spans="1:28" s="6" customFormat="1" ht="15.75" x14ac:dyDescent="0.25">
      <c r="A17" s="6" t="s">
        <v>28</v>
      </c>
      <c r="B17" s="6" t="s">
        <v>29</v>
      </c>
      <c r="C17" s="6">
        <v>24.2</v>
      </c>
      <c r="D17" s="6">
        <v>52.74</v>
      </c>
      <c r="E17" s="6">
        <v>0</v>
      </c>
      <c r="F17" s="6">
        <v>0</v>
      </c>
      <c r="G17" s="6">
        <v>0</v>
      </c>
      <c r="H17" s="6">
        <v>45.89</v>
      </c>
      <c r="I17" s="7">
        <f>9038 / 86400</f>
        <v>0.10460648148148148</v>
      </c>
      <c r="J17" s="6">
        <v>0</v>
      </c>
      <c r="K17" s="6">
        <v>0</v>
      </c>
      <c r="L17" s="6">
        <v>18.28</v>
      </c>
      <c r="M17" s="6">
        <v>86</v>
      </c>
      <c r="N17" s="7">
        <f>7 / 86400</f>
        <v>8.1018518518518516E-5</v>
      </c>
      <c r="O17" s="6">
        <v>0.08</v>
      </c>
      <c r="P17" s="6" t="s">
        <v>28</v>
      </c>
      <c r="Q17" s="6" t="s">
        <v>28</v>
      </c>
      <c r="R17" s="6">
        <v>10</v>
      </c>
      <c r="S17" s="6">
        <v>21.79</v>
      </c>
      <c r="T17" s="6">
        <v>199</v>
      </c>
      <c r="U17" s="6">
        <v>433.66</v>
      </c>
      <c r="V17" s="6">
        <v>112</v>
      </c>
      <c r="W17" s="6">
        <v>244.07</v>
      </c>
      <c r="X17" s="6">
        <v>20</v>
      </c>
      <c r="Y17" s="6">
        <v>43.58</v>
      </c>
      <c r="Z17" s="7">
        <f>476 / 86400</f>
        <v>5.5092592592592589E-3</v>
      </c>
      <c r="AA17" s="6">
        <v>5.27</v>
      </c>
      <c r="AB17" s="6" t="s">
        <v>28</v>
      </c>
    </row>
    <row r="18" spans="1:28" s="3" customFormat="1" ht="15.75" x14ac:dyDescent="0.25">
      <c r="A18" s="4" t="s">
        <v>39</v>
      </c>
      <c r="B18" s="4" t="s">
        <v>28</v>
      </c>
      <c r="C18" s="4">
        <v>78.37</v>
      </c>
      <c r="D18" s="4">
        <v>22.18</v>
      </c>
      <c r="E18" s="4">
        <v>0</v>
      </c>
      <c r="F18" s="4">
        <v>0</v>
      </c>
      <c r="G18" s="4">
        <v>0</v>
      </c>
      <c r="H18" s="4">
        <v>353.25</v>
      </c>
      <c r="I18" s="5">
        <f>62860 / 86400</f>
        <v>0.7275462962962963</v>
      </c>
      <c r="J18" s="4">
        <v>0</v>
      </c>
      <c r="K18" s="4">
        <v>0</v>
      </c>
      <c r="L18" s="4">
        <v>20.23</v>
      </c>
      <c r="M18" s="4">
        <v>89</v>
      </c>
      <c r="N18" s="5">
        <f>12 / 86400</f>
        <v>1.3888888888888889E-4</v>
      </c>
      <c r="O18" s="4">
        <v>0.02</v>
      </c>
      <c r="P18" s="4" t="s">
        <v>28</v>
      </c>
      <c r="Q18" s="4" t="s">
        <v>28</v>
      </c>
      <c r="R18" s="4">
        <v>52</v>
      </c>
      <c r="S18" s="4">
        <v>14.72</v>
      </c>
      <c r="T18" s="4">
        <v>678</v>
      </c>
      <c r="U18" s="4">
        <v>191.93</v>
      </c>
      <c r="V18" s="4">
        <v>1551</v>
      </c>
      <c r="W18" s="4">
        <v>439.06</v>
      </c>
      <c r="X18" s="4">
        <v>0</v>
      </c>
      <c r="Y18" s="4">
        <v>0</v>
      </c>
      <c r="Z18" s="5">
        <f>1265 / 86400</f>
        <v>1.4641203703703703E-2</v>
      </c>
      <c r="AA18" s="4">
        <v>2.0099999999999998</v>
      </c>
      <c r="AB18" s="4" t="s">
        <v>28</v>
      </c>
    </row>
    <row r="19" spans="1:28" s="6" customFormat="1" ht="15.75" x14ac:dyDescent="0.25">
      <c r="A19" s="6" t="s">
        <v>28</v>
      </c>
      <c r="B19" s="6" t="s">
        <v>29</v>
      </c>
      <c r="C19" s="6">
        <v>78.37</v>
      </c>
      <c r="D19" s="6">
        <v>22.18</v>
      </c>
      <c r="E19" s="6">
        <v>0</v>
      </c>
      <c r="F19" s="6">
        <v>0</v>
      </c>
      <c r="G19" s="6">
        <v>0</v>
      </c>
      <c r="H19" s="6">
        <v>353.25</v>
      </c>
      <c r="I19" s="7">
        <f>62860 / 86400</f>
        <v>0.7275462962962963</v>
      </c>
      <c r="J19" s="6">
        <v>0</v>
      </c>
      <c r="K19" s="6">
        <v>0</v>
      </c>
      <c r="L19" s="6">
        <v>20.23</v>
      </c>
      <c r="M19" s="6">
        <v>89</v>
      </c>
      <c r="N19" s="7">
        <f>12 / 86400</f>
        <v>1.3888888888888889E-4</v>
      </c>
      <c r="O19" s="6">
        <v>0.02</v>
      </c>
      <c r="P19" s="6" t="s">
        <v>28</v>
      </c>
      <c r="Q19" s="6" t="s">
        <v>28</v>
      </c>
      <c r="R19" s="6">
        <v>52</v>
      </c>
      <c r="S19" s="6">
        <v>14.72</v>
      </c>
      <c r="T19" s="6">
        <v>678</v>
      </c>
      <c r="U19" s="6">
        <v>191.93</v>
      </c>
      <c r="V19" s="6">
        <v>1551</v>
      </c>
      <c r="W19" s="6">
        <v>439.06</v>
      </c>
      <c r="X19" s="6">
        <v>0</v>
      </c>
      <c r="Y19" s="6">
        <v>0</v>
      </c>
      <c r="Z19" s="7">
        <f>1265 / 86400</f>
        <v>1.4641203703703703E-2</v>
      </c>
      <c r="AA19" s="6">
        <v>2.0099999999999998</v>
      </c>
      <c r="AB19" s="6" t="s">
        <v>28</v>
      </c>
    </row>
    <row r="20" spans="1:28" s="3" customFormat="1" ht="15.75" x14ac:dyDescent="0.25">
      <c r="A20" s="4" t="s">
        <v>40</v>
      </c>
      <c r="B20" s="4" t="s">
        <v>28</v>
      </c>
      <c r="C20" s="4">
        <v>47.19</v>
      </c>
      <c r="D20" s="4">
        <v>21.55</v>
      </c>
      <c r="E20" s="4">
        <v>0</v>
      </c>
      <c r="F20" s="4">
        <v>0</v>
      </c>
      <c r="G20" s="4">
        <v>0</v>
      </c>
      <c r="H20" s="4">
        <v>218.99</v>
      </c>
      <c r="I20" s="5">
        <f>49266 / 86400</f>
        <v>0.57020833333333332</v>
      </c>
      <c r="J20" s="4">
        <v>0</v>
      </c>
      <c r="K20" s="4">
        <v>0</v>
      </c>
      <c r="L20" s="4">
        <v>16</v>
      </c>
      <c r="M20" s="4">
        <v>97</v>
      </c>
      <c r="N20" s="5">
        <f>69 / 86400</f>
        <v>7.9861111111111116E-4</v>
      </c>
      <c r="O20" s="4">
        <v>0.14000000000000001</v>
      </c>
      <c r="P20" s="4" t="s">
        <v>28</v>
      </c>
      <c r="Q20" s="4" t="s">
        <v>28</v>
      </c>
      <c r="R20" s="4">
        <v>25</v>
      </c>
      <c r="S20" s="4">
        <v>11.42</v>
      </c>
      <c r="T20" s="4">
        <v>412</v>
      </c>
      <c r="U20" s="4">
        <v>188.13</v>
      </c>
      <c r="V20" s="4">
        <v>996</v>
      </c>
      <c r="W20" s="4">
        <v>454.81</v>
      </c>
      <c r="X20" s="4">
        <v>0</v>
      </c>
      <c r="Y20" s="4">
        <v>0</v>
      </c>
      <c r="Z20" s="5">
        <f>511 / 86400</f>
        <v>5.9143518518518521E-3</v>
      </c>
      <c r="AA20" s="4">
        <v>1.04</v>
      </c>
      <c r="AB20" s="4" t="s">
        <v>28</v>
      </c>
    </row>
    <row r="21" spans="1:28" s="6" customFormat="1" ht="15.75" x14ac:dyDescent="0.25">
      <c r="A21" s="6" t="s">
        <v>28</v>
      </c>
      <c r="B21" s="6" t="s">
        <v>29</v>
      </c>
      <c r="C21" s="6">
        <v>47.19</v>
      </c>
      <c r="D21" s="6">
        <v>21.55</v>
      </c>
      <c r="E21" s="6">
        <v>0</v>
      </c>
      <c r="F21" s="6">
        <v>0</v>
      </c>
      <c r="G21" s="6">
        <v>0</v>
      </c>
      <c r="H21" s="6">
        <v>218.99</v>
      </c>
      <c r="I21" s="7">
        <f>49266 / 86400</f>
        <v>0.57020833333333332</v>
      </c>
      <c r="J21" s="6">
        <v>0</v>
      </c>
      <c r="K21" s="6">
        <v>0</v>
      </c>
      <c r="L21" s="6">
        <v>16</v>
      </c>
      <c r="M21" s="6">
        <v>97</v>
      </c>
      <c r="N21" s="7">
        <f>69 / 86400</f>
        <v>7.9861111111111116E-4</v>
      </c>
      <c r="O21" s="6">
        <v>0.14000000000000001</v>
      </c>
      <c r="P21" s="6" t="s">
        <v>28</v>
      </c>
      <c r="Q21" s="6" t="s">
        <v>28</v>
      </c>
      <c r="R21" s="6">
        <v>25</v>
      </c>
      <c r="S21" s="6">
        <v>11.42</v>
      </c>
      <c r="T21" s="6">
        <v>412</v>
      </c>
      <c r="U21" s="6">
        <v>188.13</v>
      </c>
      <c r="V21" s="6">
        <v>996</v>
      </c>
      <c r="W21" s="6">
        <v>454.81</v>
      </c>
      <c r="X21" s="6">
        <v>0</v>
      </c>
      <c r="Y21" s="6">
        <v>0</v>
      </c>
      <c r="Z21" s="7">
        <f>511 / 86400</f>
        <v>5.9143518518518521E-3</v>
      </c>
      <c r="AA21" s="6">
        <v>1.04</v>
      </c>
      <c r="AB21" s="6" t="s">
        <v>28</v>
      </c>
    </row>
    <row r="22" spans="1:28" s="3" customFormat="1" ht="15.75" x14ac:dyDescent="0.25">
      <c r="A22" s="4" t="s">
        <v>41</v>
      </c>
      <c r="B22" s="4" t="s">
        <v>28</v>
      </c>
      <c r="C22" s="4">
        <v>7.7</v>
      </c>
      <c r="D22" s="4">
        <v>295.25</v>
      </c>
      <c r="E22" s="4">
        <v>0</v>
      </c>
      <c r="F22" s="4">
        <v>0</v>
      </c>
      <c r="G22" s="4">
        <v>0</v>
      </c>
      <c r="H22" s="4">
        <v>2.61</v>
      </c>
      <c r="I22" s="5">
        <f>1819 / 86400</f>
        <v>2.105324074074074E-2</v>
      </c>
      <c r="J22" s="4">
        <v>0</v>
      </c>
      <c r="K22" s="4">
        <v>0</v>
      </c>
      <c r="L22" s="4">
        <v>5.16</v>
      </c>
      <c r="M22" s="4">
        <v>32</v>
      </c>
      <c r="N22" s="5">
        <f>0 / 86400</f>
        <v>0</v>
      </c>
      <c r="O22" s="4">
        <v>0</v>
      </c>
      <c r="P22" s="4" t="s">
        <v>28</v>
      </c>
      <c r="Q22" s="4" t="s">
        <v>28</v>
      </c>
      <c r="R22" s="4">
        <v>12</v>
      </c>
      <c r="S22" s="4">
        <v>460.12</v>
      </c>
      <c r="T22" s="4">
        <v>35</v>
      </c>
      <c r="U22" s="4">
        <v>1342.02</v>
      </c>
      <c r="V22" s="4">
        <v>18</v>
      </c>
      <c r="W22" s="4">
        <v>690.18</v>
      </c>
      <c r="X22" s="4">
        <v>18</v>
      </c>
      <c r="Y22" s="4">
        <v>690.18</v>
      </c>
      <c r="Z22" s="5">
        <f>841 / 86400</f>
        <v>9.7337962962962959E-3</v>
      </c>
      <c r="AA22" s="4">
        <v>46.23</v>
      </c>
      <c r="AB22" s="4" t="s">
        <v>28</v>
      </c>
    </row>
    <row r="23" spans="1:28" s="6" customFormat="1" ht="15.75" x14ac:dyDescent="0.25">
      <c r="A23" s="6" t="s">
        <v>28</v>
      </c>
      <c r="B23" s="6" t="s">
        <v>29</v>
      </c>
      <c r="C23" s="6">
        <v>7.7</v>
      </c>
      <c r="D23" s="6">
        <v>295.25</v>
      </c>
      <c r="E23" s="6">
        <v>0</v>
      </c>
      <c r="F23" s="6">
        <v>0</v>
      </c>
      <c r="G23" s="6">
        <v>0</v>
      </c>
      <c r="H23" s="6">
        <v>2.61</v>
      </c>
      <c r="I23" s="7">
        <f>1819 / 86400</f>
        <v>2.105324074074074E-2</v>
      </c>
      <c r="J23" s="6">
        <v>0</v>
      </c>
      <c r="K23" s="6">
        <v>0</v>
      </c>
      <c r="L23" s="6">
        <v>5.16</v>
      </c>
      <c r="M23" s="6">
        <v>32</v>
      </c>
      <c r="N23" s="7">
        <f>0 / 86400</f>
        <v>0</v>
      </c>
      <c r="O23" s="6">
        <v>0</v>
      </c>
      <c r="P23" s="6" t="s">
        <v>28</v>
      </c>
      <c r="Q23" s="6" t="s">
        <v>28</v>
      </c>
      <c r="R23" s="6">
        <v>12</v>
      </c>
      <c r="S23" s="6">
        <v>460.12</v>
      </c>
      <c r="T23" s="6">
        <v>35</v>
      </c>
      <c r="U23" s="6">
        <v>1342.02</v>
      </c>
      <c r="V23" s="6">
        <v>18</v>
      </c>
      <c r="W23" s="6">
        <v>690.18</v>
      </c>
      <c r="X23" s="6">
        <v>18</v>
      </c>
      <c r="Y23" s="6">
        <v>690.18</v>
      </c>
      <c r="Z23" s="7">
        <f>841 / 86400</f>
        <v>9.7337962962962959E-3</v>
      </c>
      <c r="AA23" s="6">
        <v>46.23</v>
      </c>
      <c r="AB23" s="6" t="s">
        <v>28</v>
      </c>
    </row>
    <row r="24" spans="1:28" s="3" customFormat="1" ht="15.75" x14ac:dyDescent="0.25">
      <c r="A24" s="4" t="s">
        <v>42</v>
      </c>
      <c r="B24" s="4" t="s">
        <v>28</v>
      </c>
      <c r="C24" s="4">
        <v>41.07</v>
      </c>
      <c r="D24" s="4">
        <v>25.53</v>
      </c>
      <c r="E24" s="4">
        <v>0</v>
      </c>
      <c r="F24" s="4">
        <v>0</v>
      </c>
      <c r="G24" s="4">
        <v>0</v>
      </c>
      <c r="H24" s="4">
        <v>160.87</v>
      </c>
      <c r="I24" s="5">
        <f>31733 / 86400</f>
        <v>0.36728009259259259</v>
      </c>
      <c r="J24" s="4">
        <v>0</v>
      </c>
      <c r="K24" s="4">
        <v>0</v>
      </c>
      <c r="L24" s="4">
        <v>18.25</v>
      </c>
      <c r="M24" s="4">
        <v>88</v>
      </c>
      <c r="N24" s="5">
        <f>33 / 86400</f>
        <v>3.8194444444444446E-4</v>
      </c>
      <c r="O24" s="4">
        <v>0.1</v>
      </c>
      <c r="P24" s="4" t="s">
        <v>28</v>
      </c>
      <c r="Q24" s="4" t="s">
        <v>28</v>
      </c>
      <c r="R24" s="4">
        <v>30</v>
      </c>
      <c r="S24" s="4">
        <v>18.649999999999999</v>
      </c>
      <c r="T24" s="4">
        <v>346</v>
      </c>
      <c r="U24" s="4">
        <v>215.09</v>
      </c>
      <c r="V24" s="4">
        <v>731</v>
      </c>
      <c r="W24" s="4">
        <v>454.42</v>
      </c>
      <c r="X24" s="4">
        <v>0</v>
      </c>
      <c r="Y24" s="4">
        <v>0</v>
      </c>
      <c r="Z24" s="5">
        <f>1547 / 86400</f>
        <v>1.7905092592592594E-2</v>
      </c>
      <c r="AA24" s="4">
        <v>4.88</v>
      </c>
      <c r="AB24" s="4" t="s">
        <v>28</v>
      </c>
    </row>
    <row r="25" spans="1:28" s="6" customFormat="1" ht="15.75" x14ac:dyDescent="0.25">
      <c r="A25" s="6" t="s">
        <v>28</v>
      </c>
      <c r="B25" s="6" t="s">
        <v>29</v>
      </c>
      <c r="C25" s="6">
        <v>41.07</v>
      </c>
      <c r="D25" s="6">
        <v>25.53</v>
      </c>
      <c r="E25" s="6">
        <v>0</v>
      </c>
      <c r="F25" s="6">
        <v>0</v>
      </c>
      <c r="G25" s="6">
        <v>0</v>
      </c>
      <c r="H25" s="6">
        <v>160.87</v>
      </c>
      <c r="I25" s="7">
        <f>31733 / 86400</f>
        <v>0.36728009259259259</v>
      </c>
      <c r="J25" s="6">
        <v>0</v>
      </c>
      <c r="K25" s="6">
        <v>0</v>
      </c>
      <c r="L25" s="6">
        <v>18.25</v>
      </c>
      <c r="M25" s="6">
        <v>88</v>
      </c>
      <c r="N25" s="7">
        <f>33 / 86400</f>
        <v>3.8194444444444446E-4</v>
      </c>
      <c r="O25" s="6">
        <v>0.1</v>
      </c>
      <c r="P25" s="6" t="s">
        <v>28</v>
      </c>
      <c r="Q25" s="6" t="s">
        <v>28</v>
      </c>
      <c r="R25" s="6">
        <v>30</v>
      </c>
      <c r="S25" s="6">
        <v>18.649999999999999</v>
      </c>
      <c r="T25" s="6">
        <v>346</v>
      </c>
      <c r="U25" s="6">
        <v>215.09</v>
      </c>
      <c r="V25" s="6">
        <v>731</v>
      </c>
      <c r="W25" s="6">
        <v>454.42</v>
      </c>
      <c r="X25" s="6">
        <v>0</v>
      </c>
      <c r="Y25" s="6">
        <v>0</v>
      </c>
      <c r="Z25" s="7">
        <f>1547 / 86400</f>
        <v>1.7905092592592594E-2</v>
      </c>
      <c r="AA25" s="6">
        <v>4.88</v>
      </c>
      <c r="AB25" s="6" t="s">
        <v>28</v>
      </c>
    </row>
    <row r="26" spans="1:28" s="3" customFormat="1" ht="15.75" x14ac:dyDescent="0.25">
      <c r="A26" s="4" t="s">
        <v>43</v>
      </c>
      <c r="B26" s="4" t="s">
        <v>28</v>
      </c>
      <c r="C26" s="4">
        <v>41.69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5">
        <f>39458 / 86400</f>
        <v>0.4566898148148148</v>
      </c>
      <c r="J26" s="4" t="s">
        <v>28</v>
      </c>
      <c r="K26" s="4" t="s">
        <v>28</v>
      </c>
      <c r="L26" s="4" t="s">
        <v>28</v>
      </c>
      <c r="M26" s="4">
        <v>92</v>
      </c>
      <c r="N26" s="5">
        <f>73 / 86400</f>
        <v>8.4490740740740739E-4</v>
      </c>
      <c r="O26" s="4">
        <v>0.19</v>
      </c>
      <c r="P26" s="4" t="s">
        <v>28</v>
      </c>
      <c r="Q26" s="4" t="s">
        <v>28</v>
      </c>
      <c r="R26" s="4">
        <v>17</v>
      </c>
      <c r="S26" s="4" t="s">
        <v>28</v>
      </c>
      <c r="T26" s="4">
        <v>365</v>
      </c>
      <c r="U26" s="4" t="s">
        <v>28</v>
      </c>
      <c r="V26" s="4">
        <v>1004</v>
      </c>
      <c r="W26" s="4" t="s">
        <v>28</v>
      </c>
      <c r="X26" s="4">
        <v>0</v>
      </c>
      <c r="Y26" s="4" t="s">
        <v>28</v>
      </c>
      <c r="Z26" s="5">
        <f>0 / 86400</f>
        <v>0</v>
      </c>
      <c r="AA26" s="4">
        <v>0</v>
      </c>
      <c r="AB26" s="4" t="s">
        <v>28</v>
      </c>
    </row>
    <row r="27" spans="1:28" s="6" customFormat="1" ht="15.75" x14ac:dyDescent="0.25">
      <c r="A27" s="6" t="s">
        <v>28</v>
      </c>
      <c r="B27" s="6" t="s">
        <v>29</v>
      </c>
      <c r="C27" s="6">
        <v>41.69</v>
      </c>
      <c r="D27" s="6" t="s">
        <v>28</v>
      </c>
      <c r="E27" s="6" t="s">
        <v>28</v>
      </c>
      <c r="F27" s="6" t="s">
        <v>28</v>
      </c>
      <c r="G27" s="6" t="s">
        <v>28</v>
      </c>
      <c r="H27" s="6" t="s">
        <v>28</v>
      </c>
      <c r="I27" s="7">
        <f>39458 / 86400</f>
        <v>0.4566898148148148</v>
      </c>
      <c r="J27" s="6" t="s">
        <v>28</v>
      </c>
      <c r="K27" s="6" t="s">
        <v>28</v>
      </c>
      <c r="L27" s="6" t="s">
        <v>28</v>
      </c>
      <c r="M27" s="6">
        <v>92</v>
      </c>
      <c r="N27" s="7">
        <f>73 / 86400</f>
        <v>8.4490740740740739E-4</v>
      </c>
      <c r="O27" s="6">
        <v>0.19</v>
      </c>
      <c r="P27" s="6" t="s">
        <v>28</v>
      </c>
      <c r="Q27" s="6" t="s">
        <v>28</v>
      </c>
      <c r="R27" s="6">
        <v>17</v>
      </c>
      <c r="S27" s="6" t="s">
        <v>28</v>
      </c>
      <c r="T27" s="6">
        <v>365</v>
      </c>
      <c r="U27" s="6" t="s">
        <v>28</v>
      </c>
      <c r="V27" s="6">
        <v>1004</v>
      </c>
      <c r="W27" s="6" t="s">
        <v>28</v>
      </c>
      <c r="X27" s="6">
        <v>0</v>
      </c>
      <c r="Y27" s="6" t="s">
        <v>28</v>
      </c>
      <c r="Z27" s="7">
        <f>0 / 86400</f>
        <v>0</v>
      </c>
      <c r="AA27" s="6">
        <v>0</v>
      </c>
      <c r="AB27" s="6" t="s">
        <v>28</v>
      </c>
    </row>
    <row r="28" spans="1:28" s="3" customFormat="1" ht="15.75" x14ac:dyDescent="0.25">
      <c r="A28" s="4" t="s">
        <v>44</v>
      </c>
      <c r="B28" s="4" t="s">
        <v>28</v>
      </c>
      <c r="C28" s="4">
        <v>41.7</v>
      </c>
      <c r="D28" s="4">
        <v>21.5</v>
      </c>
      <c r="E28" s="4">
        <v>0</v>
      </c>
      <c r="F28" s="4">
        <v>0</v>
      </c>
      <c r="G28" s="4">
        <v>0</v>
      </c>
      <c r="H28" s="4">
        <v>193.94</v>
      </c>
      <c r="I28" s="5">
        <f>2521 / 86400</f>
        <v>2.9178240740740741E-2</v>
      </c>
      <c r="J28" s="4">
        <v>0</v>
      </c>
      <c r="K28" s="4">
        <v>0</v>
      </c>
      <c r="L28" s="4">
        <v>276.95</v>
      </c>
      <c r="M28" s="4">
        <v>101</v>
      </c>
      <c r="N28" s="5">
        <f>262 / 86400</f>
        <v>3.0324074074074073E-3</v>
      </c>
      <c r="O28" s="4">
        <v>10.39</v>
      </c>
      <c r="P28" s="4" t="s">
        <v>28</v>
      </c>
      <c r="Q28" s="4" t="s">
        <v>28</v>
      </c>
      <c r="R28" s="4">
        <v>34</v>
      </c>
      <c r="S28" s="4">
        <v>17.53</v>
      </c>
      <c r="T28" s="4">
        <v>349</v>
      </c>
      <c r="U28" s="4">
        <v>179.95</v>
      </c>
      <c r="V28" s="4">
        <v>839</v>
      </c>
      <c r="W28" s="4">
        <v>432.61</v>
      </c>
      <c r="X28" s="4">
        <v>0</v>
      </c>
      <c r="Y28" s="4">
        <v>0</v>
      </c>
      <c r="Z28" s="5">
        <f>0 / 86400</f>
        <v>0</v>
      </c>
      <c r="AA28" s="4">
        <v>0</v>
      </c>
      <c r="AB28" s="4" t="s">
        <v>28</v>
      </c>
    </row>
    <row r="29" spans="1:28" s="6" customFormat="1" ht="15.75" x14ac:dyDescent="0.25">
      <c r="A29" s="6" t="s">
        <v>28</v>
      </c>
      <c r="B29" s="6" t="s">
        <v>29</v>
      </c>
      <c r="C29" s="6">
        <v>41.7</v>
      </c>
      <c r="D29" s="6">
        <v>21.5</v>
      </c>
      <c r="E29" s="6">
        <v>0</v>
      </c>
      <c r="F29" s="6">
        <v>0</v>
      </c>
      <c r="G29" s="6">
        <v>0</v>
      </c>
      <c r="H29" s="6">
        <v>193.94</v>
      </c>
      <c r="I29" s="7">
        <f>2521 / 86400</f>
        <v>2.9178240740740741E-2</v>
      </c>
      <c r="J29" s="6">
        <v>0</v>
      </c>
      <c r="K29" s="6">
        <v>0</v>
      </c>
      <c r="L29" s="6">
        <v>276.95</v>
      </c>
      <c r="M29" s="6">
        <v>101</v>
      </c>
      <c r="N29" s="7">
        <f>262 / 86400</f>
        <v>3.0324074074074073E-3</v>
      </c>
      <c r="O29" s="6">
        <v>10.39</v>
      </c>
      <c r="P29" s="6" t="s">
        <v>28</v>
      </c>
      <c r="Q29" s="6" t="s">
        <v>28</v>
      </c>
      <c r="R29" s="6">
        <v>34</v>
      </c>
      <c r="S29" s="6">
        <v>17.53</v>
      </c>
      <c r="T29" s="6">
        <v>349</v>
      </c>
      <c r="U29" s="6">
        <v>179.95</v>
      </c>
      <c r="V29" s="6">
        <v>839</v>
      </c>
      <c r="W29" s="6">
        <v>432.61</v>
      </c>
      <c r="X29" s="6">
        <v>0</v>
      </c>
      <c r="Y29" s="6">
        <v>0</v>
      </c>
      <c r="Z29" s="7">
        <f>0 / 86400</f>
        <v>0</v>
      </c>
      <c r="AA29" s="6">
        <v>0</v>
      </c>
      <c r="AB29" s="6" t="s">
        <v>28</v>
      </c>
    </row>
    <row r="30" spans="1:28" s="3" customFormat="1" ht="15.75" x14ac:dyDescent="0.25">
      <c r="A30" s="4" t="s">
        <v>45</v>
      </c>
      <c r="B30" s="4" t="s">
        <v>28</v>
      </c>
      <c r="C30" s="4">
        <v>333.69</v>
      </c>
      <c r="D30" s="4">
        <v>142.47999999999999</v>
      </c>
      <c r="E30" s="4">
        <v>0</v>
      </c>
      <c r="F30" s="4">
        <v>0</v>
      </c>
      <c r="G30" s="4">
        <v>0</v>
      </c>
      <c r="H30" s="4">
        <v>234.2</v>
      </c>
      <c r="I30" s="5">
        <f>42299 / 86400</f>
        <v>0.48957175925925928</v>
      </c>
      <c r="J30" s="4">
        <v>0</v>
      </c>
      <c r="K30" s="4">
        <v>0</v>
      </c>
      <c r="L30" s="4">
        <v>19.93</v>
      </c>
      <c r="M30" s="4">
        <v>90</v>
      </c>
      <c r="N30" s="5">
        <f>43 / 86400</f>
        <v>4.9768518518518521E-4</v>
      </c>
      <c r="O30" s="4">
        <v>0.1</v>
      </c>
      <c r="P30" s="4" t="s">
        <v>28</v>
      </c>
      <c r="Q30" s="4" t="s">
        <v>28</v>
      </c>
      <c r="R30" s="4">
        <v>590</v>
      </c>
      <c r="S30" s="4">
        <v>251.92</v>
      </c>
      <c r="T30" s="4">
        <v>1406</v>
      </c>
      <c r="U30" s="4">
        <v>600.35</v>
      </c>
      <c r="V30" s="4">
        <v>950</v>
      </c>
      <c r="W30" s="4">
        <v>405.64</v>
      </c>
      <c r="X30" s="4">
        <v>744</v>
      </c>
      <c r="Y30" s="4">
        <v>317.68</v>
      </c>
      <c r="Z30" s="5">
        <f>2145 / 86400</f>
        <v>2.4826388888888887E-2</v>
      </c>
      <c r="AA30" s="4">
        <v>5.07</v>
      </c>
      <c r="AB30" s="4" t="s">
        <v>28</v>
      </c>
    </row>
    <row r="31" spans="1:28" s="6" customFormat="1" ht="15.75" x14ac:dyDescent="0.25">
      <c r="A31" s="6" t="s">
        <v>28</v>
      </c>
      <c r="B31" s="6" t="s">
        <v>29</v>
      </c>
      <c r="C31" s="6">
        <v>333.69</v>
      </c>
      <c r="D31" s="6">
        <v>142.47999999999999</v>
      </c>
      <c r="E31" s="6">
        <v>0</v>
      </c>
      <c r="F31" s="6">
        <v>0</v>
      </c>
      <c r="G31" s="6">
        <v>0</v>
      </c>
      <c r="H31" s="6">
        <v>234.2</v>
      </c>
      <c r="I31" s="7">
        <f>42299 / 86400</f>
        <v>0.48957175925925928</v>
      </c>
      <c r="J31" s="6">
        <v>0</v>
      </c>
      <c r="K31" s="6">
        <v>0</v>
      </c>
      <c r="L31" s="6">
        <v>19.93</v>
      </c>
      <c r="M31" s="6">
        <v>90</v>
      </c>
      <c r="N31" s="7">
        <f>43 / 86400</f>
        <v>4.9768518518518521E-4</v>
      </c>
      <c r="O31" s="6">
        <v>0.1</v>
      </c>
      <c r="P31" s="6" t="s">
        <v>28</v>
      </c>
      <c r="Q31" s="6" t="s">
        <v>28</v>
      </c>
      <c r="R31" s="6">
        <v>590</v>
      </c>
      <c r="S31" s="6">
        <v>251.92</v>
      </c>
      <c r="T31" s="6">
        <v>1406</v>
      </c>
      <c r="U31" s="6">
        <v>600.35</v>
      </c>
      <c r="V31" s="6">
        <v>950</v>
      </c>
      <c r="W31" s="6">
        <v>405.64</v>
      </c>
      <c r="X31" s="6">
        <v>744</v>
      </c>
      <c r="Y31" s="6">
        <v>317.68</v>
      </c>
      <c r="Z31" s="7">
        <f>2145 / 86400</f>
        <v>2.4826388888888887E-2</v>
      </c>
      <c r="AA31" s="6">
        <v>5.07</v>
      </c>
      <c r="AB31" s="6" t="s">
        <v>28</v>
      </c>
    </row>
    <row r="32" spans="1:28" s="3" customFormat="1" ht="15.75" x14ac:dyDescent="0.25">
      <c r="A32" s="4" t="s">
        <v>46</v>
      </c>
      <c r="B32" s="4" t="s">
        <v>28</v>
      </c>
      <c r="C32" s="4">
        <v>571.09</v>
      </c>
      <c r="D32" s="4">
        <v>262.01</v>
      </c>
      <c r="E32" s="4">
        <v>0</v>
      </c>
      <c r="F32" s="4">
        <v>0</v>
      </c>
      <c r="G32" s="4">
        <v>0</v>
      </c>
      <c r="H32" s="4">
        <v>217.97</v>
      </c>
      <c r="I32" s="5">
        <f>41551 / 86400</f>
        <v>0.48091435185185183</v>
      </c>
      <c r="J32" s="4">
        <v>0</v>
      </c>
      <c r="K32" s="4">
        <v>0</v>
      </c>
      <c r="L32" s="4">
        <v>18.88</v>
      </c>
      <c r="M32" s="4">
        <v>82</v>
      </c>
      <c r="N32" s="5">
        <f>9 / 86400</f>
        <v>1.0416666666666667E-4</v>
      </c>
      <c r="O32" s="4">
        <v>0.02</v>
      </c>
      <c r="P32" s="4" t="s">
        <v>28</v>
      </c>
      <c r="Q32" s="4" t="s">
        <v>28</v>
      </c>
      <c r="R32" s="4">
        <v>798</v>
      </c>
      <c r="S32" s="4">
        <v>366.11</v>
      </c>
      <c r="T32" s="4">
        <v>3378</v>
      </c>
      <c r="U32" s="4">
        <v>1549.76</v>
      </c>
      <c r="V32" s="4">
        <v>1187</v>
      </c>
      <c r="W32" s="4">
        <v>544.57000000000005</v>
      </c>
      <c r="X32" s="4">
        <v>735</v>
      </c>
      <c r="Y32" s="4">
        <v>337.2</v>
      </c>
      <c r="Z32" s="5">
        <f>0 / 86400</f>
        <v>0</v>
      </c>
      <c r="AA32" s="4">
        <v>0</v>
      </c>
      <c r="AB32" s="4" t="s">
        <v>28</v>
      </c>
    </row>
    <row r="33" spans="1:28" s="6" customFormat="1" ht="15.75" x14ac:dyDescent="0.25">
      <c r="A33" s="6" t="s">
        <v>28</v>
      </c>
      <c r="B33" s="6" t="s">
        <v>29</v>
      </c>
      <c r="C33" s="6">
        <v>571.09</v>
      </c>
      <c r="D33" s="6">
        <v>262.01</v>
      </c>
      <c r="E33" s="6">
        <v>0</v>
      </c>
      <c r="F33" s="6">
        <v>0</v>
      </c>
      <c r="G33" s="6">
        <v>0</v>
      </c>
      <c r="H33" s="6">
        <v>217.97</v>
      </c>
      <c r="I33" s="7">
        <f>41551 / 86400</f>
        <v>0.48091435185185183</v>
      </c>
      <c r="J33" s="6">
        <v>0</v>
      </c>
      <c r="K33" s="6">
        <v>0</v>
      </c>
      <c r="L33" s="6">
        <v>18.88</v>
      </c>
      <c r="M33" s="6">
        <v>82</v>
      </c>
      <c r="N33" s="7">
        <f>9 / 86400</f>
        <v>1.0416666666666667E-4</v>
      </c>
      <c r="O33" s="6">
        <v>0.02</v>
      </c>
      <c r="P33" s="6" t="s">
        <v>28</v>
      </c>
      <c r="Q33" s="6" t="s">
        <v>28</v>
      </c>
      <c r="R33" s="6">
        <v>798</v>
      </c>
      <c r="S33" s="6">
        <v>366.11</v>
      </c>
      <c r="T33" s="6">
        <v>3378</v>
      </c>
      <c r="U33" s="6">
        <v>1549.76</v>
      </c>
      <c r="V33" s="6">
        <v>1187</v>
      </c>
      <c r="W33" s="6">
        <v>544.57000000000005</v>
      </c>
      <c r="X33" s="6">
        <v>735</v>
      </c>
      <c r="Y33" s="6">
        <v>337.2</v>
      </c>
      <c r="Z33" s="7">
        <f>0 / 86400</f>
        <v>0</v>
      </c>
      <c r="AA33" s="6">
        <v>0</v>
      </c>
      <c r="AB33" s="6" t="s">
        <v>28</v>
      </c>
    </row>
    <row r="34" spans="1:28" s="3" customFormat="1" ht="15.75" x14ac:dyDescent="0.25">
      <c r="A34" s="4" t="s">
        <v>47</v>
      </c>
      <c r="B34" s="4" t="s">
        <v>28</v>
      </c>
      <c r="C34" s="4">
        <v>26.7</v>
      </c>
      <c r="D34" s="4">
        <v>217.82</v>
      </c>
      <c r="E34" s="4">
        <v>0</v>
      </c>
      <c r="F34" s="4">
        <v>0</v>
      </c>
      <c r="G34" s="4">
        <v>0</v>
      </c>
      <c r="H34" s="4">
        <v>12.26</v>
      </c>
      <c r="I34" s="5">
        <f>4572 / 86400</f>
        <v>5.2916666666666667E-2</v>
      </c>
      <c r="J34" s="4">
        <v>0</v>
      </c>
      <c r="K34" s="4">
        <v>0</v>
      </c>
      <c r="L34" s="4">
        <v>9.65</v>
      </c>
      <c r="M34" s="4">
        <v>57</v>
      </c>
      <c r="N34" s="5">
        <f>0 / 86400</f>
        <v>0</v>
      </c>
      <c r="O34" s="4">
        <v>0</v>
      </c>
      <c r="P34" s="4" t="s">
        <v>28</v>
      </c>
      <c r="Q34" s="4" t="s">
        <v>28</v>
      </c>
      <c r="R34" s="4">
        <v>53</v>
      </c>
      <c r="S34" s="4">
        <v>432.37</v>
      </c>
      <c r="T34" s="4">
        <v>160</v>
      </c>
      <c r="U34" s="4">
        <v>1305.27</v>
      </c>
      <c r="V34" s="4">
        <v>159</v>
      </c>
      <c r="W34" s="4">
        <v>1297.1099999999999</v>
      </c>
      <c r="X34" s="4">
        <v>1</v>
      </c>
      <c r="Y34" s="4">
        <v>8.16</v>
      </c>
      <c r="Z34" s="5">
        <f>465 / 86400</f>
        <v>5.3819444444444444E-3</v>
      </c>
      <c r="AA34" s="4">
        <v>10.17</v>
      </c>
      <c r="AB34" s="4" t="s">
        <v>28</v>
      </c>
    </row>
    <row r="35" spans="1:28" s="6" customFormat="1" ht="15.75" x14ac:dyDescent="0.25">
      <c r="A35" s="6" t="s">
        <v>28</v>
      </c>
      <c r="B35" s="6" t="s">
        <v>29</v>
      </c>
      <c r="C35" s="6">
        <v>26.7</v>
      </c>
      <c r="D35" s="6">
        <v>217.82</v>
      </c>
      <c r="E35" s="6">
        <v>0</v>
      </c>
      <c r="F35" s="6">
        <v>0</v>
      </c>
      <c r="G35" s="6">
        <v>0</v>
      </c>
      <c r="H35" s="6">
        <v>12.26</v>
      </c>
      <c r="I35" s="7">
        <f>4572 / 86400</f>
        <v>5.2916666666666667E-2</v>
      </c>
      <c r="J35" s="6">
        <v>0</v>
      </c>
      <c r="K35" s="6">
        <v>0</v>
      </c>
      <c r="L35" s="6">
        <v>9.65</v>
      </c>
      <c r="M35" s="6">
        <v>57</v>
      </c>
      <c r="N35" s="7">
        <f>0 / 86400</f>
        <v>0</v>
      </c>
      <c r="O35" s="6">
        <v>0</v>
      </c>
      <c r="P35" s="6" t="s">
        <v>28</v>
      </c>
      <c r="Q35" s="6" t="s">
        <v>28</v>
      </c>
      <c r="R35" s="6">
        <v>53</v>
      </c>
      <c r="S35" s="6">
        <v>432.37</v>
      </c>
      <c r="T35" s="6">
        <v>160</v>
      </c>
      <c r="U35" s="6">
        <v>1305.27</v>
      </c>
      <c r="V35" s="6">
        <v>159</v>
      </c>
      <c r="W35" s="6">
        <v>1297.1099999999999</v>
      </c>
      <c r="X35" s="6">
        <v>1</v>
      </c>
      <c r="Y35" s="6">
        <v>8.16</v>
      </c>
      <c r="Z35" s="7">
        <f>465 / 86400</f>
        <v>5.3819444444444444E-3</v>
      </c>
      <c r="AA35" s="6">
        <v>10.17</v>
      </c>
      <c r="AB35" s="6" t="s">
        <v>28</v>
      </c>
    </row>
    <row r="36" spans="1:28" s="3" customFormat="1" ht="15.75" x14ac:dyDescent="0.25">
      <c r="A36" s="4" t="s">
        <v>48</v>
      </c>
      <c r="B36" s="4" t="s">
        <v>28</v>
      </c>
      <c r="C36" s="4">
        <v>278</v>
      </c>
      <c r="D36" s="4">
        <v>126.5</v>
      </c>
      <c r="E36" s="4">
        <v>0</v>
      </c>
      <c r="F36" s="4">
        <v>0</v>
      </c>
      <c r="G36" s="4">
        <v>0</v>
      </c>
      <c r="H36" s="4">
        <v>219.77</v>
      </c>
      <c r="I36" s="5">
        <f>41933 / 86400</f>
        <v>0.48533564814814817</v>
      </c>
      <c r="J36" s="4">
        <v>0</v>
      </c>
      <c r="K36" s="4">
        <v>0</v>
      </c>
      <c r="L36" s="4">
        <v>18.87</v>
      </c>
      <c r="M36" s="4">
        <v>79</v>
      </c>
      <c r="N36" s="5">
        <f>0 / 86400</f>
        <v>0</v>
      </c>
      <c r="O36" s="4">
        <v>0</v>
      </c>
      <c r="P36" s="4" t="s">
        <v>28</v>
      </c>
      <c r="Q36" s="4" t="s">
        <v>28</v>
      </c>
      <c r="R36" s="4">
        <v>518</v>
      </c>
      <c r="S36" s="4">
        <v>235.71</v>
      </c>
      <c r="T36" s="4">
        <v>1450</v>
      </c>
      <c r="U36" s="4">
        <v>659.79</v>
      </c>
      <c r="V36" s="4">
        <v>646</v>
      </c>
      <c r="W36" s="4">
        <v>293.95</v>
      </c>
      <c r="X36" s="4">
        <v>294</v>
      </c>
      <c r="Y36" s="4">
        <v>133.78</v>
      </c>
      <c r="Z36" s="5">
        <f>1844 / 86400</f>
        <v>2.1342592592592594E-2</v>
      </c>
      <c r="AA36" s="4">
        <v>4.4000000000000004</v>
      </c>
      <c r="AB36" s="4" t="s">
        <v>28</v>
      </c>
    </row>
    <row r="37" spans="1:28" s="6" customFormat="1" ht="15.75" x14ac:dyDescent="0.25">
      <c r="A37" s="6" t="s">
        <v>28</v>
      </c>
      <c r="B37" s="6" t="s">
        <v>29</v>
      </c>
      <c r="C37" s="6">
        <v>278</v>
      </c>
      <c r="D37" s="6">
        <v>126.5</v>
      </c>
      <c r="E37" s="6">
        <v>0</v>
      </c>
      <c r="F37" s="6">
        <v>0</v>
      </c>
      <c r="G37" s="6">
        <v>0</v>
      </c>
      <c r="H37" s="6">
        <v>219.77</v>
      </c>
      <c r="I37" s="7">
        <f>41933 / 86400</f>
        <v>0.48533564814814817</v>
      </c>
      <c r="J37" s="6">
        <v>0</v>
      </c>
      <c r="K37" s="6">
        <v>0</v>
      </c>
      <c r="L37" s="6">
        <v>18.87</v>
      </c>
      <c r="M37" s="6">
        <v>79</v>
      </c>
      <c r="N37" s="7">
        <f>0 / 86400</f>
        <v>0</v>
      </c>
      <c r="O37" s="6">
        <v>0</v>
      </c>
      <c r="P37" s="6" t="s">
        <v>28</v>
      </c>
      <c r="Q37" s="6" t="s">
        <v>28</v>
      </c>
      <c r="R37" s="6">
        <v>518</v>
      </c>
      <c r="S37" s="6">
        <v>235.71</v>
      </c>
      <c r="T37" s="6">
        <v>1450</v>
      </c>
      <c r="U37" s="6">
        <v>659.79</v>
      </c>
      <c r="V37" s="6">
        <v>646</v>
      </c>
      <c r="W37" s="6">
        <v>293.95</v>
      </c>
      <c r="X37" s="6">
        <v>294</v>
      </c>
      <c r="Y37" s="6">
        <v>133.78</v>
      </c>
      <c r="Z37" s="7">
        <f>1844 / 86400</f>
        <v>2.1342592592592594E-2</v>
      </c>
      <c r="AA37" s="6">
        <v>4.4000000000000004</v>
      </c>
      <c r="AB37" s="6" t="s">
        <v>28</v>
      </c>
    </row>
    <row r="38" spans="1:28" s="3" customFormat="1" ht="15.75" x14ac:dyDescent="0.25">
      <c r="A38" s="4" t="s">
        <v>49</v>
      </c>
      <c r="B38" s="4" t="s">
        <v>28</v>
      </c>
      <c r="C38" s="4">
        <v>537.26</v>
      </c>
      <c r="D38" s="4">
        <v>177.14</v>
      </c>
      <c r="E38" s="4">
        <v>0</v>
      </c>
      <c r="F38" s="4">
        <v>0</v>
      </c>
      <c r="G38" s="4">
        <v>0</v>
      </c>
      <c r="H38" s="4">
        <v>303.3</v>
      </c>
      <c r="I38" s="5">
        <f>37789 / 86400</f>
        <v>0.43737268518518518</v>
      </c>
      <c r="J38" s="4">
        <v>0</v>
      </c>
      <c r="K38" s="4">
        <v>0</v>
      </c>
      <c r="L38" s="4">
        <v>28.89</v>
      </c>
      <c r="M38" s="4">
        <v>85</v>
      </c>
      <c r="N38" s="5">
        <f>13 / 86400</f>
        <v>1.5046296296296297E-4</v>
      </c>
      <c r="O38" s="4">
        <v>0.03</v>
      </c>
      <c r="P38" s="4" t="s">
        <v>28</v>
      </c>
      <c r="Q38" s="4" t="s">
        <v>28</v>
      </c>
      <c r="R38" s="4">
        <v>1224</v>
      </c>
      <c r="S38" s="4">
        <v>403.56</v>
      </c>
      <c r="T38" s="4">
        <v>2286</v>
      </c>
      <c r="U38" s="4">
        <v>753.72</v>
      </c>
      <c r="V38" s="4">
        <v>1870</v>
      </c>
      <c r="W38" s="4">
        <v>616.55999999999995</v>
      </c>
      <c r="X38" s="4">
        <v>635</v>
      </c>
      <c r="Y38" s="4">
        <v>209.37</v>
      </c>
      <c r="Z38" s="5">
        <f>0 / 86400</f>
        <v>0</v>
      </c>
      <c r="AA38" s="4">
        <v>0</v>
      </c>
      <c r="AB38" s="4" t="s">
        <v>28</v>
      </c>
    </row>
    <row r="39" spans="1:28" s="6" customFormat="1" ht="15.75" x14ac:dyDescent="0.25">
      <c r="A39" s="6" t="s">
        <v>28</v>
      </c>
      <c r="B39" s="6" t="s">
        <v>29</v>
      </c>
      <c r="C39" s="6">
        <v>537.26</v>
      </c>
      <c r="D39" s="6">
        <v>177.14</v>
      </c>
      <c r="E39" s="6">
        <v>0</v>
      </c>
      <c r="F39" s="6">
        <v>0</v>
      </c>
      <c r="G39" s="6">
        <v>0</v>
      </c>
      <c r="H39" s="6">
        <v>303.3</v>
      </c>
      <c r="I39" s="7">
        <f>37789 / 86400</f>
        <v>0.43737268518518518</v>
      </c>
      <c r="J39" s="6">
        <v>0</v>
      </c>
      <c r="K39" s="6">
        <v>0</v>
      </c>
      <c r="L39" s="6">
        <v>28.89</v>
      </c>
      <c r="M39" s="6">
        <v>85</v>
      </c>
      <c r="N39" s="7">
        <f>13 / 86400</f>
        <v>1.5046296296296297E-4</v>
      </c>
      <c r="O39" s="6">
        <v>0.03</v>
      </c>
      <c r="P39" s="6" t="s">
        <v>28</v>
      </c>
      <c r="Q39" s="6" t="s">
        <v>28</v>
      </c>
      <c r="R39" s="6">
        <v>1224</v>
      </c>
      <c r="S39" s="6">
        <v>403.56</v>
      </c>
      <c r="T39" s="6">
        <v>2286</v>
      </c>
      <c r="U39" s="6">
        <v>753.72</v>
      </c>
      <c r="V39" s="6">
        <v>1870</v>
      </c>
      <c r="W39" s="6">
        <v>616.55999999999995</v>
      </c>
      <c r="X39" s="6">
        <v>635</v>
      </c>
      <c r="Y39" s="6">
        <v>209.37</v>
      </c>
      <c r="Z39" s="7">
        <f>0 / 86400</f>
        <v>0</v>
      </c>
      <c r="AA39" s="6">
        <v>0</v>
      </c>
      <c r="AB39" s="6" t="s">
        <v>28</v>
      </c>
    </row>
    <row r="40" spans="1:28" s="3" customFormat="1" ht="15.75" x14ac:dyDescent="0.25">
      <c r="A40" s="4" t="s">
        <v>50</v>
      </c>
      <c r="B40" s="4" t="s">
        <v>28</v>
      </c>
      <c r="C40" s="4">
        <v>74.5</v>
      </c>
      <c r="D40" s="4">
        <v>73.680000000000007</v>
      </c>
      <c r="E40" s="4">
        <v>0</v>
      </c>
      <c r="F40" s="4">
        <v>0</v>
      </c>
      <c r="G40" s="4">
        <v>0</v>
      </c>
      <c r="H40" s="4">
        <v>101.11</v>
      </c>
      <c r="I40" s="5">
        <f>20061 / 86400</f>
        <v>0.23218749999999999</v>
      </c>
      <c r="J40" s="4">
        <v>0</v>
      </c>
      <c r="K40" s="4">
        <v>0</v>
      </c>
      <c r="L40" s="4">
        <v>18.14</v>
      </c>
      <c r="M40" s="4">
        <v>75</v>
      </c>
      <c r="N40" s="5">
        <f>0 / 86400</f>
        <v>0</v>
      </c>
      <c r="O40" s="4">
        <v>0</v>
      </c>
      <c r="P40" s="4" t="s">
        <v>28</v>
      </c>
      <c r="Q40" s="4" t="s">
        <v>28</v>
      </c>
      <c r="R40" s="4">
        <v>94</v>
      </c>
      <c r="S40" s="4">
        <v>92.97</v>
      </c>
      <c r="T40" s="4">
        <v>522</v>
      </c>
      <c r="U40" s="4">
        <v>516.28</v>
      </c>
      <c r="V40" s="4">
        <v>259</v>
      </c>
      <c r="W40" s="4">
        <v>256.16000000000003</v>
      </c>
      <c r="X40" s="4">
        <v>35</v>
      </c>
      <c r="Y40" s="4">
        <v>34.619999999999997</v>
      </c>
      <c r="Z40" s="5">
        <f>1800 / 86400</f>
        <v>2.0833333333333332E-2</v>
      </c>
      <c r="AA40" s="4">
        <v>8.9700000000000006</v>
      </c>
      <c r="AB40" s="4" t="s">
        <v>28</v>
      </c>
    </row>
    <row r="41" spans="1:28" s="6" customFormat="1" ht="15.75" x14ac:dyDescent="0.25">
      <c r="A41" s="6" t="s">
        <v>28</v>
      </c>
      <c r="B41" s="6" t="s">
        <v>29</v>
      </c>
      <c r="C41" s="6">
        <v>74.5</v>
      </c>
      <c r="D41" s="6">
        <v>73.680000000000007</v>
      </c>
      <c r="E41" s="6">
        <v>0</v>
      </c>
      <c r="F41" s="6">
        <v>0</v>
      </c>
      <c r="G41" s="6">
        <v>0</v>
      </c>
      <c r="H41" s="6">
        <v>101.11</v>
      </c>
      <c r="I41" s="7">
        <f>20061 / 86400</f>
        <v>0.23218749999999999</v>
      </c>
      <c r="J41" s="6">
        <v>0</v>
      </c>
      <c r="K41" s="6">
        <v>0</v>
      </c>
      <c r="L41" s="6">
        <v>18.14</v>
      </c>
      <c r="M41" s="6">
        <v>75</v>
      </c>
      <c r="N41" s="7">
        <f>0 / 86400</f>
        <v>0</v>
      </c>
      <c r="O41" s="6">
        <v>0</v>
      </c>
      <c r="P41" s="6" t="s">
        <v>28</v>
      </c>
      <c r="Q41" s="6" t="s">
        <v>28</v>
      </c>
      <c r="R41" s="6">
        <v>94</v>
      </c>
      <c r="S41" s="6">
        <v>92.97</v>
      </c>
      <c r="T41" s="6">
        <v>522</v>
      </c>
      <c r="U41" s="6">
        <v>516.28</v>
      </c>
      <c r="V41" s="6">
        <v>259</v>
      </c>
      <c r="W41" s="6">
        <v>256.16000000000003</v>
      </c>
      <c r="X41" s="6">
        <v>35</v>
      </c>
      <c r="Y41" s="6">
        <v>34.619999999999997</v>
      </c>
      <c r="Z41" s="7">
        <f>1800 / 86400</f>
        <v>2.0833333333333332E-2</v>
      </c>
      <c r="AA41" s="6">
        <v>8.9700000000000006</v>
      </c>
      <c r="AB41" s="6" t="s">
        <v>28</v>
      </c>
    </row>
    <row r="42" spans="1:28" s="3" customFormat="1" ht="15.75" x14ac:dyDescent="0.25">
      <c r="A42" s="4" t="s">
        <v>51</v>
      </c>
      <c r="B42" s="4" t="s">
        <v>28</v>
      </c>
      <c r="C42" s="4">
        <v>167.8</v>
      </c>
      <c r="D42" s="4">
        <v>84.99</v>
      </c>
      <c r="E42" s="4">
        <v>0</v>
      </c>
      <c r="F42" s="4">
        <v>0</v>
      </c>
      <c r="G42" s="4">
        <v>0</v>
      </c>
      <c r="H42" s="4">
        <v>197.44</v>
      </c>
      <c r="I42" s="5">
        <f>43071 / 86400</f>
        <v>0.49850694444444443</v>
      </c>
      <c r="J42" s="4">
        <v>0</v>
      </c>
      <c r="K42" s="4">
        <v>0</v>
      </c>
      <c r="L42" s="4">
        <v>16.5</v>
      </c>
      <c r="M42" s="4">
        <v>75</v>
      </c>
      <c r="N42" s="5">
        <f>0 / 86400</f>
        <v>0</v>
      </c>
      <c r="O42" s="4">
        <v>0</v>
      </c>
      <c r="P42" s="4" t="s">
        <v>28</v>
      </c>
      <c r="Q42" s="4" t="s">
        <v>28</v>
      </c>
      <c r="R42" s="4">
        <v>269</v>
      </c>
      <c r="S42" s="4">
        <v>136.24</v>
      </c>
      <c r="T42" s="4">
        <v>1053</v>
      </c>
      <c r="U42" s="4">
        <v>533.32000000000005</v>
      </c>
      <c r="V42" s="4">
        <v>868</v>
      </c>
      <c r="W42" s="4">
        <v>439.62</v>
      </c>
      <c r="X42" s="4">
        <v>87</v>
      </c>
      <c r="Y42" s="4">
        <v>44.06</v>
      </c>
      <c r="Z42" s="5">
        <f>541 / 86400</f>
        <v>6.2615740740740739E-3</v>
      </c>
      <c r="AA42" s="4">
        <v>1.26</v>
      </c>
      <c r="AB42" s="4" t="s">
        <v>28</v>
      </c>
    </row>
    <row r="43" spans="1:28" s="6" customFormat="1" ht="15.75" x14ac:dyDescent="0.25">
      <c r="A43" s="6" t="s">
        <v>28</v>
      </c>
      <c r="B43" s="6" t="s">
        <v>29</v>
      </c>
      <c r="C43" s="6">
        <v>167.8</v>
      </c>
      <c r="D43" s="6">
        <v>84.99</v>
      </c>
      <c r="E43" s="6">
        <v>0</v>
      </c>
      <c r="F43" s="6">
        <v>0</v>
      </c>
      <c r="G43" s="6">
        <v>0</v>
      </c>
      <c r="H43" s="6">
        <v>197.44</v>
      </c>
      <c r="I43" s="7">
        <f>43071 / 86400</f>
        <v>0.49850694444444443</v>
      </c>
      <c r="J43" s="6">
        <v>0</v>
      </c>
      <c r="K43" s="6">
        <v>0</v>
      </c>
      <c r="L43" s="6">
        <v>16.5</v>
      </c>
      <c r="M43" s="6">
        <v>75</v>
      </c>
      <c r="N43" s="7">
        <f>0 / 86400</f>
        <v>0</v>
      </c>
      <c r="O43" s="6">
        <v>0</v>
      </c>
      <c r="P43" s="6" t="s">
        <v>28</v>
      </c>
      <c r="Q43" s="6" t="s">
        <v>28</v>
      </c>
      <c r="R43" s="6">
        <v>269</v>
      </c>
      <c r="S43" s="6">
        <v>136.24</v>
      </c>
      <c r="T43" s="6">
        <v>1053</v>
      </c>
      <c r="U43" s="6">
        <v>533.32000000000005</v>
      </c>
      <c r="V43" s="6">
        <v>868</v>
      </c>
      <c r="W43" s="6">
        <v>439.62</v>
      </c>
      <c r="X43" s="6">
        <v>87</v>
      </c>
      <c r="Y43" s="6">
        <v>44.06</v>
      </c>
      <c r="Z43" s="7">
        <f>541 / 86400</f>
        <v>6.2615740740740739E-3</v>
      </c>
      <c r="AA43" s="6">
        <v>1.26</v>
      </c>
      <c r="AB43" s="6" t="s">
        <v>28</v>
      </c>
    </row>
    <row r="44" spans="1:28" s="3" customFormat="1" ht="15.75" x14ac:dyDescent="0.25">
      <c r="A44" s="4" t="s">
        <v>52</v>
      </c>
      <c r="B44" s="4" t="s">
        <v>28</v>
      </c>
      <c r="C44" s="4">
        <v>121.99</v>
      </c>
      <c r="D44" s="4">
        <v>73.930000000000007</v>
      </c>
      <c r="E44" s="4">
        <v>0</v>
      </c>
      <c r="F44" s="4">
        <v>0</v>
      </c>
      <c r="G44" s="4">
        <v>0</v>
      </c>
      <c r="H44" s="4">
        <v>165.01</v>
      </c>
      <c r="I44" s="5">
        <f>35921 / 86400</f>
        <v>0.41575231481481484</v>
      </c>
      <c r="J44" s="4">
        <v>0</v>
      </c>
      <c r="K44" s="4">
        <v>0</v>
      </c>
      <c r="L44" s="4">
        <v>16.54</v>
      </c>
      <c r="M44" s="4">
        <v>100</v>
      </c>
      <c r="N44" s="5">
        <f>52 / 86400</f>
        <v>6.018518518518519E-4</v>
      </c>
      <c r="O44" s="4">
        <v>0.14000000000000001</v>
      </c>
      <c r="P44" s="4" t="s">
        <v>28</v>
      </c>
      <c r="Q44" s="4" t="s">
        <v>28</v>
      </c>
      <c r="R44" s="4">
        <v>191</v>
      </c>
      <c r="S44" s="4">
        <v>115.75</v>
      </c>
      <c r="T44" s="4">
        <v>598</v>
      </c>
      <c r="U44" s="4">
        <v>362.41</v>
      </c>
      <c r="V44" s="4">
        <v>474</v>
      </c>
      <c r="W44" s="4">
        <v>287.26</v>
      </c>
      <c r="X44" s="4">
        <v>232</v>
      </c>
      <c r="Y44" s="4">
        <v>140.6</v>
      </c>
      <c r="Z44" s="5">
        <f>3098 / 86400</f>
        <v>3.5856481481481482E-2</v>
      </c>
      <c r="AA44" s="4">
        <v>8.6199999999999992</v>
      </c>
      <c r="AB44" s="4" t="s">
        <v>28</v>
      </c>
    </row>
    <row r="45" spans="1:28" s="6" customFormat="1" ht="15.75" x14ac:dyDescent="0.25">
      <c r="A45" s="6" t="s">
        <v>28</v>
      </c>
      <c r="B45" s="6" t="s">
        <v>29</v>
      </c>
      <c r="C45" s="6">
        <v>121.99</v>
      </c>
      <c r="D45" s="6">
        <v>73.930000000000007</v>
      </c>
      <c r="E45" s="6">
        <v>0</v>
      </c>
      <c r="F45" s="6">
        <v>0</v>
      </c>
      <c r="G45" s="6">
        <v>0</v>
      </c>
      <c r="H45" s="6">
        <v>165.01</v>
      </c>
      <c r="I45" s="7">
        <f>35921 / 86400</f>
        <v>0.41575231481481484</v>
      </c>
      <c r="J45" s="6">
        <v>0</v>
      </c>
      <c r="K45" s="6">
        <v>0</v>
      </c>
      <c r="L45" s="6">
        <v>16.54</v>
      </c>
      <c r="M45" s="6">
        <v>100</v>
      </c>
      <c r="N45" s="7">
        <f>52 / 86400</f>
        <v>6.018518518518519E-4</v>
      </c>
      <c r="O45" s="6">
        <v>0.14000000000000001</v>
      </c>
      <c r="P45" s="6" t="s">
        <v>28</v>
      </c>
      <c r="Q45" s="6" t="s">
        <v>28</v>
      </c>
      <c r="R45" s="6">
        <v>191</v>
      </c>
      <c r="S45" s="6">
        <v>115.75</v>
      </c>
      <c r="T45" s="6">
        <v>598</v>
      </c>
      <c r="U45" s="6">
        <v>362.41</v>
      </c>
      <c r="V45" s="6">
        <v>474</v>
      </c>
      <c r="W45" s="6">
        <v>287.26</v>
      </c>
      <c r="X45" s="6">
        <v>232</v>
      </c>
      <c r="Y45" s="6">
        <v>140.6</v>
      </c>
      <c r="Z45" s="7">
        <f>3098 / 86400</f>
        <v>3.5856481481481482E-2</v>
      </c>
      <c r="AA45" s="6">
        <v>8.6199999999999992</v>
      </c>
      <c r="AB45" s="6" t="s">
        <v>28</v>
      </c>
    </row>
    <row r="46" spans="1:28" s="3" customFormat="1" ht="15.75" x14ac:dyDescent="0.25">
      <c r="A46" s="4" t="s">
        <v>53</v>
      </c>
      <c r="B46" s="4" t="s">
        <v>28</v>
      </c>
      <c r="C46" s="4">
        <v>120.99</v>
      </c>
      <c r="D46" s="4">
        <v>64.64</v>
      </c>
      <c r="E46" s="4">
        <v>0</v>
      </c>
      <c r="F46" s="4">
        <v>0</v>
      </c>
      <c r="G46" s="4">
        <v>0</v>
      </c>
      <c r="H46" s="4">
        <v>187.17</v>
      </c>
      <c r="I46" s="5">
        <f>24080 / 86400</f>
        <v>0.27870370370370373</v>
      </c>
      <c r="J46" s="4">
        <v>0</v>
      </c>
      <c r="K46" s="4">
        <v>0</v>
      </c>
      <c r="L46" s="4">
        <v>27.98</v>
      </c>
      <c r="M46" s="4">
        <v>88</v>
      </c>
      <c r="N46" s="5">
        <f>30 / 86400</f>
        <v>3.4722222222222224E-4</v>
      </c>
      <c r="O46" s="4">
        <v>0.12</v>
      </c>
      <c r="P46" s="4" t="s">
        <v>28</v>
      </c>
      <c r="Q46" s="4" t="s">
        <v>28</v>
      </c>
      <c r="R46" s="4">
        <v>216</v>
      </c>
      <c r="S46" s="4">
        <v>115.4</v>
      </c>
      <c r="T46" s="4">
        <v>679</v>
      </c>
      <c r="U46" s="4">
        <v>362.78</v>
      </c>
      <c r="V46" s="4">
        <v>408</v>
      </c>
      <c r="W46" s="4">
        <v>217.99</v>
      </c>
      <c r="X46" s="4">
        <v>92</v>
      </c>
      <c r="Y46" s="4">
        <v>49.15</v>
      </c>
      <c r="Z46" s="5">
        <f>1071 / 86400</f>
        <v>1.2395833333333333E-2</v>
      </c>
      <c r="AA46" s="4">
        <v>4.45</v>
      </c>
      <c r="AB46" s="4" t="s">
        <v>28</v>
      </c>
    </row>
    <row r="47" spans="1:28" s="6" customFormat="1" ht="15.75" x14ac:dyDescent="0.25">
      <c r="A47" s="6" t="s">
        <v>28</v>
      </c>
      <c r="B47" s="6" t="s">
        <v>29</v>
      </c>
      <c r="C47" s="6">
        <v>120.99</v>
      </c>
      <c r="D47" s="6">
        <v>64.64</v>
      </c>
      <c r="E47" s="6">
        <v>0</v>
      </c>
      <c r="F47" s="6">
        <v>0</v>
      </c>
      <c r="G47" s="6">
        <v>0</v>
      </c>
      <c r="H47" s="6">
        <v>187.17</v>
      </c>
      <c r="I47" s="7">
        <f>24080 / 86400</f>
        <v>0.27870370370370373</v>
      </c>
      <c r="J47" s="6">
        <v>0</v>
      </c>
      <c r="K47" s="6">
        <v>0</v>
      </c>
      <c r="L47" s="6">
        <v>27.98</v>
      </c>
      <c r="M47" s="6">
        <v>88</v>
      </c>
      <c r="N47" s="7">
        <f>30 / 86400</f>
        <v>3.4722222222222224E-4</v>
      </c>
      <c r="O47" s="6">
        <v>0.12</v>
      </c>
      <c r="P47" s="6" t="s">
        <v>28</v>
      </c>
      <c r="Q47" s="6" t="s">
        <v>28</v>
      </c>
      <c r="R47" s="6">
        <v>216</v>
      </c>
      <c r="S47" s="6">
        <v>115.4</v>
      </c>
      <c r="T47" s="6">
        <v>679</v>
      </c>
      <c r="U47" s="6">
        <v>362.78</v>
      </c>
      <c r="V47" s="6">
        <v>408</v>
      </c>
      <c r="W47" s="6">
        <v>217.99</v>
      </c>
      <c r="X47" s="6">
        <v>92</v>
      </c>
      <c r="Y47" s="6">
        <v>49.15</v>
      </c>
      <c r="Z47" s="7">
        <f>1071 / 86400</f>
        <v>1.2395833333333333E-2</v>
      </c>
      <c r="AA47" s="6">
        <v>4.45</v>
      </c>
      <c r="AB47" s="6" t="s">
        <v>28</v>
      </c>
    </row>
    <row r="48" spans="1:28" s="3" customFormat="1" ht="15.75" x14ac:dyDescent="0.25">
      <c r="A48" s="4" t="s">
        <v>54</v>
      </c>
      <c r="B48" s="4" t="s">
        <v>28</v>
      </c>
      <c r="C48" s="4">
        <v>571.73</v>
      </c>
      <c r="D48" s="4">
        <v>282.82</v>
      </c>
      <c r="E48" s="4">
        <v>0</v>
      </c>
      <c r="F48" s="4">
        <v>0</v>
      </c>
      <c r="G48" s="4">
        <v>0</v>
      </c>
      <c r="H48" s="4">
        <v>202.15</v>
      </c>
      <c r="I48" s="5">
        <f>48632 / 86400</f>
        <v>0.56287037037037035</v>
      </c>
      <c r="J48" s="4">
        <v>0</v>
      </c>
      <c r="K48" s="4">
        <v>0</v>
      </c>
      <c r="L48" s="4">
        <v>14.96</v>
      </c>
      <c r="M48" s="4">
        <v>85</v>
      </c>
      <c r="N48" s="5">
        <f>66 / 86400</f>
        <v>7.6388888888888893E-4</v>
      </c>
      <c r="O48" s="4">
        <v>0.14000000000000001</v>
      </c>
      <c r="P48" s="4" t="s">
        <v>28</v>
      </c>
      <c r="Q48" s="4" t="s">
        <v>28</v>
      </c>
      <c r="R48" s="4">
        <v>991</v>
      </c>
      <c r="S48" s="4">
        <v>490.22</v>
      </c>
      <c r="T48" s="4">
        <v>2491</v>
      </c>
      <c r="U48" s="4">
        <v>1232.23</v>
      </c>
      <c r="V48" s="4">
        <v>1432</v>
      </c>
      <c r="W48" s="4">
        <v>708.37</v>
      </c>
      <c r="X48" s="4">
        <v>1234</v>
      </c>
      <c r="Y48" s="4">
        <v>610.42999999999995</v>
      </c>
      <c r="Z48" s="5">
        <f>3742 / 86400</f>
        <v>4.3310185185185188E-2</v>
      </c>
      <c r="AA48" s="4">
        <v>7.69</v>
      </c>
      <c r="AB48" s="4" t="s">
        <v>28</v>
      </c>
    </row>
    <row r="49" spans="1:28" s="6" customFormat="1" ht="15.75" x14ac:dyDescent="0.25">
      <c r="A49" s="6" t="s">
        <v>28</v>
      </c>
      <c r="B49" s="6" t="s">
        <v>29</v>
      </c>
      <c r="C49" s="6">
        <v>571.73</v>
      </c>
      <c r="D49" s="6">
        <v>282.82</v>
      </c>
      <c r="E49" s="6">
        <v>0</v>
      </c>
      <c r="F49" s="6">
        <v>0</v>
      </c>
      <c r="G49" s="6">
        <v>0</v>
      </c>
      <c r="H49" s="6">
        <v>202.15</v>
      </c>
      <c r="I49" s="7">
        <f>48632 / 86400</f>
        <v>0.56287037037037035</v>
      </c>
      <c r="J49" s="6">
        <v>0</v>
      </c>
      <c r="K49" s="6">
        <v>0</v>
      </c>
      <c r="L49" s="6">
        <v>14.96</v>
      </c>
      <c r="M49" s="6">
        <v>85</v>
      </c>
      <c r="N49" s="7">
        <f>66 / 86400</f>
        <v>7.6388888888888893E-4</v>
      </c>
      <c r="O49" s="6">
        <v>0.14000000000000001</v>
      </c>
      <c r="P49" s="6" t="s">
        <v>28</v>
      </c>
      <c r="Q49" s="6" t="s">
        <v>28</v>
      </c>
      <c r="R49" s="6">
        <v>991</v>
      </c>
      <c r="S49" s="6">
        <v>490.22</v>
      </c>
      <c r="T49" s="6">
        <v>2491</v>
      </c>
      <c r="U49" s="6">
        <v>1232.23</v>
      </c>
      <c r="V49" s="6">
        <v>1432</v>
      </c>
      <c r="W49" s="6">
        <v>708.37</v>
      </c>
      <c r="X49" s="6">
        <v>1234</v>
      </c>
      <c r="Y49" s="6">
        <v>610.42999999999995</v>
      </c>
      <c r="Z49" s="7">
        <f>3742 / 86400</f>
        <v>4.3310185185185188E-2</v>
      </c>
      <c r="AA49" s="6">
        <v>7.69</v>
      </c>
      <c r="AB49" s="6" t="s">
        <v>28</v>
      </c>
    </row>
    <row r="50" spans="1:28" s="3" customFormat="1" ht="15.75" x14ac:dyDescent="0.25">
      <c r="A50" s="4" t="s">
        <v>55</v>
      </c>
      <c r="B50" s="4" t="s">
        <v>28</v>
      </c>
      <c r="C50" s="4">
        <v>14.2</v>
      </c>
      <c r="D50" s="4">
        <v>175.05</v>
      </c>
      <c r="E50" s="4">
        <v>0</v>
      </c>
      <c r="F50" s="4">
        <v>0</v>
      </c>
      <c r="G50" s="4">
        <v>0</v>
      </c>
      <c r="H50" s="4">
        <v>8.11</v>
      </c>
      <c r="I50" s="5">
        <f>3615 / 86400</f>
        <v>4.1840277777777775E-2</v>
      </c>
      <c r="J50" s="4">
        <v>0</v>
      </c>
      <c r="K50" s="4">
        <v>0</v>
      </c>
      <c r="L50" s="4">
        <v>8.08</v>
      </c>
      <c r="M50" s="4">
        <v>42</v>
      </c>
      <c r="N50" s="5">
        <f t="shared" ref="N50:N57" si="0">0 / 86400</f>
        <v>0</v>
      </c>
      <c r="O50" s="4">
        <v>0</v>
      </c>
      <c r="P50" s="4" t="s">
        <v>28</v>
      </c>
      <c r="Q50" s="4" t="s">
        <v>28</v>
      </c>
      <c r="R50" s="4">
        <v>27</v>
      </c>
      <c r="S50" s="4">
        <v>332.84</v>
      </c>
      <c r="T50" s="4">
        <v>88</v>
      </c>
      <c r="U50" s="4">
        <v>1084.81</v>
      </c>
      <c r="V50" s="4">
        <v>57</v>
      </c>
      <c r="W50" s="4">
        <v>702.66</v>
      </c>
      <c r="X50" s="4">
        <v>0</v>
      </c>
      <c r="Y50" s="4">
        <v>0</v>
      </c>
      <c r="Z50" s="5">
        <f t="shared" ref="Z50:Z55" si="1">0 / 86400</f>
        <v>0</v>
      </c>
      <c r="AA50" s="4">
        <v>0</v>
      </c>
      <c r="AB50" s="4" t="s">
        <v>28</v>
      </c>
    </row>
    <row r="51" spans="1:28" s="6" customFormat="1" ht="15.75" x14ac:dyDescent="0.25">
      <c r="A51" s="6" t="s">
        <v>28</v>
      </c>
      <c r="B51" s="6" t="s">
        <v>29</v>
      </c>
      <c r="C51" s="6">
        <v>14.2</v>
      </c>
      <c r="D51" s="6">
        <v>175.05</v>
      </c>
      <c r="E51" s="6">
        <v>0</v>
      </c>
      <c r="F51" s="6">
        <v>0</v>
      </c>
      <c r="G51" s="6">
        <v>0</v>
      </c>
      <c r="H51" s="6">
        <v>8.11</v>
      </c>
      <c r="I51" s="7">
        <f>3615 / 86400</f>
        <v>4.1840277777777775E-2</v>
      </c>
      <c r="J51" s="6">
        <v>0</v>
      </c>
      <c r="K51" s="6">
        <v>0</v>
      </c>
      <c r="L51" s="6">
        <v>8.08</v>
      </c>
      <c r="M51" s="6">
        <v>42</v>
      </c>
      <c r="N51" s="7">
        <f t="shared" si="0"/>
        <v>0</v>
      </c>
      <c r="O51" s="6">
        <v>0</v>
      </c>
      <c r="P51" s="6" t="s">
        <v>28</v>
      </c>
      <c r="Q51" s="6" t="s">
        <v>28</v>
      </c>
      <c r="R51" s="6">
        <v>27</v>
      </c>
      <c r="S51" s="6">
        <v>332.84</v>
      </c>
      <c r="T51" s="6">
        <v>88</v>
      </c>
      <c r="U51" s="6">
        <v>1084.81</v>
      </c>
      <c r="V51" s="6">
        <v>57</v>
      </c>
      <c r="W51" s="6">
        <v>702.66</v>
      </c>
      <c r="X51" s="6">
        <v>0</v>
      </c>
      <c r="Y51" s="6">
        <v>0</v>
      </c>
      <c r="Z51" s="7">
        <f t="shared" si="1"/>
        <v>0</v>
      </c>
      <c r="AA51" s="6">
        <v>0</v>
      </c>
      <c r="AB51" s="6" t="s">
        <v>28</v>
      </c>
    </row>
    <row r="52" spans="1:28" s="3" customFormat="1" ht="15.75" x14ac:dyDescent="0.25">
      <c r="A52" s="4" t="s">
        <v>56</v>
      </c>
      <c r="B52" s="4" t="s">
        <v>28</v>
      </c>
      <c r="C52" s="4">
        <v>178.9</v>
      </c>
      <c r="D52" s="4">
        <v>90.58</v>
      </c>
      <c r="E52" s="4">
        <v>0</v>
      </c>
      <c r="F52" s="4">
        <v>0</v>
      </c>
      <c r="G52" s="4">
        <v>0</v>
      </c>
      <c r="H52" s="4">
        <v>197.5</v>
      </c>
      <c r="I52" s="5">
        <f>30263 / 86400</f>
        <v>0.3502662037037037</v>
      </c>
      <c r="J52" s="4">
        <v>0</v>
      </c>
      <c r="K52" s="4">
        <v>0</v>
      </c>
      <c r="L52" s="4">
        <v>23.49</v>
      </c>
      <c r="M52" s="4">
        <v>77</v>
      </c>
      <c r="N52" s="5">
        <f t="shared" si="0"/>
        <v>0</v>
      </c>
      <c r="O52" s="4">
        <v>0</v>
      </c>
      <c r="P52" s="4" t="s">
        <v>28</v>
      </c>
      <c r="Q52" s="4" t="s">
        <v>28</v>
      </c>
      <c r="R52" s="4">
        <v>303</v>
      </c>
      <c r="S52" s="4">
        <v>153.41999999999999</v>
      </c>
      <c r="T52" s="4">
        <v>1101</v>
      </c>
      <c r="U52" s="4">
        <v>557.47</v>
      </c>
      <c r="V52" s="4">
        <v>697</v>
      </c>
      <c r="W52" s="4">
        <v>352.91</v>
      </c>
      <c r="X52" s="4">
        <v>82</v>
      </c>
      <c r="Y52" s="4">
        <v>41.52</v>
      </c>
      <c r="Z52" s="5">
        <f t="shared" si="1"/>
        <v>0</v>
      </c>
      <c r="AA52" s="4">
        <v>0</v>
      </c>
      <c r="AB52" s="4" t="s">
        <v>28</v>
      </c>
    </row>
    <row r="53" spans="1:28" s="6" customFormat="1" ht="15.75" x14ac:dyDescent="0.25">
      <c r="A53" s="6" t="s">
        <v>28</v>
      </c>
      <c r="B53" s="6" t="s">
        <v>29</v>
      </c>
      <c r="C53" s="6">
        <v>178.9</v>
      </c>
      <c r="D53" s="6">
        <v>90.58</v>
      </c>
      <c r="E53" s="6">
        <v>0</v>
      </c>
      <c r="F53" s="6">
        <v>0</v>
      </c>
      <c r="G53" s="6">
        <v>0</v>
      </c>
      <c r="H53" s="6">
        <v>197.5</v>
      </c>
      <c r="I53" s="7">
        <f>30263 / 86400</f>
        <v>0.3502662037037037</v>
      </c>
      <c r="J53" s="6">
        <v>0</v>
      </c>
      <c r="K53" s="6">
        <v>0</v>
      </c>
      <c r="L53" s="6">
        <v>23.49</v>
      </c>
      <c r="M53" s="6">
        <v>77</v>
      </c>
      <c r="N53" s="7">
        <f t="shared" si="0"/>
        <v>0</v>
      </c>
      <c r="O53" s="6">
        <v>0</v>
      </c>
      <c r="P53" s="6" t="s">
        <v>28</v>
      </c>
      <c r="Q53" s="6" t="s">
        <v>28</v>
      </c>
      <c r="R53" s="6">
        <v>303</v>
      </c>
      <c r="S53" s="6">
        <v>153.41999999999999</v>
      </c>
      <c r="T53" s="6">
        <v>1101</v>
      </c>
      <c r="U53" s="6">
        <v>557.47</v>
      </c>
      <c r="V53" s="6">
        <v>697</v>
      </c>
      <c r="W53" s="6">
        <v>352.91</v>
      </c>
      <c r="X53" s="6">
        <v>82</v>
      </c>
      <c r="Y53" s="6">
        <v>41.52</v>
      </c>
      <c r="Z53" s="7">
        <f t="shared" si="1"/>
        <v>0</v>
      </c>
      <c r="AA53" s="6">
        <v>0</v>
      </c>
      <c r="AB53" s="6" t="s">
        <v>28</v>
      </c>
    </row>
    <row r="54" spans="1:28" s="3" customFormat="1" ht="15.75" x14ac:dyDescent="0.25">
      <c r="A54" s="4" t="s">
        <v>57</v>
      </c>
      <c r="B54" s="4" t="s">
        <v>28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f>75 / 86400</f>
        <v>8.6805555555555551E-4</v>
      </c>
      <c r="J54" s="4">
        <v>0</v>
      </c>
      <c r="K54" s="4">
        <v>0</v>
      </c>
      <c r="L54" s="4">
        <v>0.19</v>
      </c>
      <c r="M54" s="4">
        <v>2</v>
      </c>
      <c r="N54" s="5">
        <f t="shared" si="0"/>
        <v>0</v>
      </c>
      <c r="O54" s="4">
        <v>0</v>
      </c>
      <c r="P54" s="4" t="s">
        <v>28</v>
      </c>
      <c r="Q54" s="4" t="s">
        <v>28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5">
        <f t="shared" si="1"/>
        <v>0</v>
      </c>
      <c r="AA54" s="4">
        <v>0</v>
      </c>
      <c r="AB54" s="4" t="s">
        <v>28</v>
      </c>
    </row>
    <row r="55" spans="1:28" s="6" customFormat="1" ht="15.75" x14ac:dyDescent="0.25">
      <c r="A55" s="6" t="s">
        <v>28</v>
      </c>
      <c r="B55" s="6" t="s">
        <v>29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7">
        <f>75 / 86400</f>
        <v>8.6805555555555551E-4</v>
      </c>
      <c r="J55" s="6">
        <v>0</v>
      </c>
      <c r="K55" s="6">
        <v>0</v>
      </c>
      <c r="L55" s="6">
        <v>0.19</v>
      </c>
      <c r="M55" s="6">
        <v>2</v>
      </c>
      <c r="N55" s="7">
        <f t="shared" si="0"/>
        <v>0</v>
      </c>
      <c r="O55" s="6">
        <v>0</v>
      </c>
      <c r="P55" s="6" t="s">
        <v>28</v>
      </c>
      <c r="Q55" s="6" t="s">
        <v>28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7">
        <f t="shared" si="1"/>
        <v>0</v>
      </c>
      <c r="AA55" s="6">
        <v>0</v>
      </c>
      <c r="AB55" s="6" t="s">
        <v>28</v>
      </c>
    </row>
    <row r="56" spans="1:28" s="3" customFormat="1" ht="15.75" x14ac:dyDescent="0.25">
      <c r="A56" s="4" t="s">
        <v>58</v>
      </c>
      <c r="B56" s="4" t="s">
        <v>28</v>
      </c>
      <c r="C56" s="4">
        <v>42.7</v>
      </c>
      <c r="D56" s="4">
        <v>22.31</v>
      </c>
      <c r="E56" s="4">
        <v>0</v>
      </c>
      <c r="F56" s="4">
        <v>0</v>
      </c>
      <c r="G56" s="4">
        <v>0</v>
      </c>
      <c r="H56" s="4">
        <v>191.39</v>
      </c>
      <c r="I56" s="5">
        <f>41303 / 86400</f>
        <v>0.47804398148148147</v>
      </c>
      <c r="J56" s="4">
        <v>0</v>
      </c>
      <c r="K56" s="4">
        <v>0</v>
      </c>
      <c r="L56" s="4">
        <v>16.68</v>
      </c>
      <c r="M56" s="4">
        <v>80</v>
      </c>
      <c r="N56" s="5">
        <f t="shared" si="0"/>
        <v>0</v>
      </c>
      <c r="O56" s="4">
        <v>0</v>
      </c>
      <c r="P56" s="4" t="s">
        <v>28</v>
      </c>
      <c r="Q56" s="4" t="s">
        <v>28</v>
      </c>
      <c r="R56" s="4">
        <v>35</v>
      </c>
      <c r="S56" s="4">
        <v>18.29</v>
      </c>
      <c r="T56" s="4">
        <v>356</v>
      </c>
      <c r="U56" s="4">
        <v>186.01</v>
      </c>
      <c r="V56" s="4">
        <v>818</v>
      </c>
      <c r="W56" s="4">
        <v>427.4</v>
      </c>
      <c r="X56" s="4">
        <v>1</v>
      </c>
      <c r="Y56" s="4">
        <v>0.52</v>
      </c>
      <c r="Z56" s="5">
        <f>1673 / 86400</f>
        <v>1.9363425925925926E-2</v>
      </c>
      <c r="AA56" s="4">
        <v>4.05</v>
      </c>
      <c r="AB56" s="4" t="s">
        <v>28</v>
      </c>
    </row>
    <row r="57" spans="1:28" s="6" customFormat="1" ht="15.75" x14ac:dyDescent="0.25">
      <c r="A57" s="6" t="s">
        <v>28</v>
      </c>
      <c r="B57" s="6" t="s">
        <v>29</v>
      </c>
      <c r="C57" s="6">
        <v>42.7</v>
      </c>
      <c r="D57" s="6">
        <v>22.31</v>
      </c>
      <c r="E57" s="6">
        <v>0</v>
      </c>
      <c r="F57" s="6">
        <v>0</v>
      </c>
      <c r="G57" s="6">
        <v>0</v>
      </c>
      <c r="H57" s="6">
        <v>191.39</v>
      </c>
      <c r="I57" s="7">
        <f>41303 / 86400</f>
        <v>0.47804398148148147</v>
      </c>
      <c r="J57" s="6">
        <v>0</v>
      </c>
      <c r="K57" s="6">
        <v>0</v>
      </c>
      <c r="L57" s="6">
        <v>16.68</v>
      </c>
      <c r="M57" s="6">
        <v>80</v>
      </c>
      <c r="N57" s="7">
        <f t="shared" si="0"/>
        <v>0</v>
      </c>
      <c r="O57" s="6">
        <v>0</v>
      </c>
      <c r="P57" s="6" t="s">
        <v>28</v>
      </c>
      <c r="Q57" s="6" t="s">
        <v>28</v>
      </c>
      <c r="R57" s="6">
        <v>35</v>
      </c>
      <c r="S57" s="6">
        <v>18.29</v>
      </c>
      <c r="T57" s="6">
        <v>356</v>
      </c>
      <c r="U57" s="6">
        <v>186.01</v>
      </c>
      <c r="V57" s="6">
        <v>818</v>
      </c>
      <c r="W57" s="6">
        <v>427.4</v>
      </c>
      <c r="X57" s="6">
        <v>1</v>
      </c>
      <c r="Y57" s="6">
        <v>0.52</v>
      </c>
      <c r="Z57" s="7">
        <f>1673 / 86400</f>
        <v>1.9363425925925926E-2</v>
      </c>
      <c r="AA57" s="6">
        <v>4.05</v>
      </c>
      <c r="AB57" s="6" t="s">
        <v>28</v>
      </c>
    </row>
    <row r="58" spans="1:28" s="3" customFormat="1" ht="15.75" x14ac:dyDescent="0.25">
      <c r="A58" s="4" t="s">
        <v>59</v>
      </c>
      <c r="B58" s="4" t="s">
        <v>28</v>
      </c>
      <c r="C58" s="4">
        <v>359.19</v>
      </c>
      <c r="D58" s="4">
        <v>190.06</v>
      </c>
      <c r="E58" s="4">
        <v>0</v>
      </c>
      <c r="F58" s="4">
        <v>0</v>
      </c>
      <c r="G58" s="4">
        <v>0</v>
      </c>
      <c r="H58" s="4">
        <v>188.99</v>
      </c>
      <c r="I58" s="5">
        <f>49974 / 86400</f>
        <v>0.57840277777777782</v>
      </c>
      <c r="J58" s="4">
        <v>0</v>
      </c>
      <c r="K58" s="4">
        <v>0</v>
      </c>
      <c r="L58" s="4">
        <v>13.61</v>
      </c>
      <c r="M58" s="4">
        <v>93</v>
      </c>
      <c r="N58" s="5">
        <f>145 / 86400</f>
        <v>1.6782407407407408E-3</v>
      </c>
      <c r="O58" s="4">
        <v>0.28999999999999998</v>
      </c>
      <c r="P58" s="4" t="s">
        <v>28</v>
      </c>
      <c r="Q58" s="4" t="s">
        <v>28</v>
      </c>
      <c r="R58" s="4">
        <v>622</v>
      </c>
      <c r="S58" s="4">
        <v>329.11</v>
      </c>
      <c r="T58" s="4">
        <v>1673</v>
      </c>
      <c r="U58" s="4">
        <v>885.22</v>
      </c>
      <c r="V58" s="4">
        <v>1117</v>
      </c>
      <c r="W58" s="4">
        <v>591.03</v>
      </c>
      <c r="X58" s="4">
        <v>654</v>
      </c>
      <c r="Y58" s="4">
        <v>346.05</v>
      </c>
      <c r="Z58" s="5">
        <f>9389 / 86400</f>
        <v>0.10866898148148148</v>
      </c>
      <c r="AA58" s="4">
        <v>18.79</v>
      </c>
      <c r="AB58" s="4" t="s">
        <v>28</v>
      </c>
    </row>
    <row r="59" spans="1:28" s="6" customFormat="1" ht="15.75" x14ac:dyDescent="0.25">
      <c r="A59" s="6" t="s">
        <v>28</v>
      </c>
      <c r="B59" s="6" t="s">
        <v>29</v>
      </c>
      <c r="C59" s="6">
        <v>359.19</v>
      </c>
      <c r="D59" s="6">
        <v>190.06</v>
      </c>
      <c r="E59" s="6">
        <v>0</v>
      </c>
      <c r="F59" s="6">
        <v>0</v>
      </c>
      <c r="G59" s="6">
        <v>0</v>
      </c>
      <c r="H59" s="6">
        <v>188.99</v>
      </c>
      <c r="I59" s="7">
        <f>49974 / 86400</f>
        <v>0.57840277777777782</v>
      </c>
      <c r="J59" s="6">
        <v>0</v>
      </c>
      <c r="K59" s="6">
        <v>0</v>
      </c>
      <c r="L59" s="6">
        <v>13.61</v>
      </c>
      <c r="M59" s="6">
        <v>93</v>
      </c>
      <c r="N59" s="7">
        <f>145 / 86400</f>
        <v>1.6782407407407408E-3</v>
      </c>
      <c r="O59" s="6">
        <v>0.28999999999999998</v>
      </c>
      <c r="P59" s="6" t="s">
        <v>28</v>
      </c>
      <c r="Q59" s="6" t="s">
        <v>28</v>
      </c>
      <c r="R59" s="6">
        <v>622</v>
      </c>
      <c r="S59" s="6">
        <v>329.11</v>
      </c>
      <c r="T59" s="6">
        <v>1673</v>
      </c>
      <c r="U59" s="6">
        <v>885.22</v>
      </c>
      <c r="V59" s="6">
        <v>1117</v>
      </c>
      <c r="W59" s="6">
        <v>591.03</v>
      </c>
      <c r="X59" s="6">
        <v>654</v>
      </c>
      <c r="Y59" s="6">
        <v>346.05</v>
      </c>
      <c r="Z59" s="7">
        <f>9389 / 86400</f>
        <v>0.10866898148148148</v>
      </c>
      <c r="AA59" s="6">
        <v>18.79</v>
      </c>
      <c r="AB59" s="6" t="s">
        <v>28</v>
      </c>
    </row>
    <row r="60" spans="1:28" s="3" customFormat="1" ht="15.75" x14ac:dyDescent="0.25">
      <c r="A60" s="4" t="s">
        <v>60</v>
      </c>
      <c r="B60" s="4" t="s">
        <v>28</v>
      </c>
      <c r="C60" s="4">
        <v>24.44</v>
      </c>
      <c r="D60" s="4">
        <v>13.2</v>
      </c>
      <c r="E60" s="4">
        <v>0</v>
      </c>
      <c r="F60" s="4">
        <v>0</v>
      </c>
      <c r="G60" s="4">
        <v>0</v>
      </c>
      <c r="H60" s="4">
        <v>185.25</v>
      </c>
      <c r="I60" s="5">
        <f>41122 / 86400</f>
        <v>0.47594907407407405</v>
      </c>
      <c r="J60" s="4">
        <v>0</v>
      </c>
      <c r="K60" s="4">
        <v>0</v>
      </c>
      <c r="L60" s="4">
        <v>16.22</v>
      </c>
      <c r="M60" s="4">
        <v>86</v>
      </c>
      <c r="N60" s="5">
        <f>12 / 86400</f>
        <v>1.3888888888888889E-4</v>
      </c>
      <c r="O60" s="4">
        <v>0.03</v>
      </c>
      <c r="P60" s="4" t="s">
        <v>28</v>
      </c>
      <c r="Q60" s="4" t="s">
        <v>28</v>
      </c>
      <c r="R60" s="4">
        <v>3</v>
      </c>
      <c r="S60" s="4">
        <v>1.62</v>
      </c>
      <c r="T60" s="4">
        <v>235</v>
      </c>
      <c r="U60" s="4">
        <v>126.85</v>
      </c>
      <c r="V60" s="4">
        <v>828</v>
      </c>
      <c r="W60" s="4">
        <v>446.96</v>
      </c>
      <c r="X60" s="4">
        <v>1</v>
      </c>
      <c r="Y60" s="4">
        <v>0.54</v>
      </c>
      <c r="Z60" s="5">
        <f>0 / 86400</f>
        <v>0</v>
      </c>
      <c r="AA60" s="4">
        <v>0</v>
      </c>
      <c r="AB60" s="4" t="s">
        <v>28</v>
      </c>
    </row>
    <row r="61" spans="1:28" s="6" customFormat="1" ht="15.75" x14ac:dyDescent="0.25">
      <c r="A61" s="6" t="s">
        <v>28</v>
      </c>
      <c r="B61" s="6" t="s">
        <v>29</v>
      </c>
      <c r="C61" s="6">
        <v>24.44</v>
      </c>
      <c r="D61" s="6">
        <v>13.2</v>
      </c>
      <c r="E61" s="6">
        <v>0</v>
      </c>
      <c r="F61" s="6">
        <v>0</v>
      </c>
      <c r="G61" s="6">
        <v>0</v>
      </c>
      <c r="H61" s="6">
        <v>185.25</v>
      </c>
      <c r="I61" s="7">
        <f>41122 / 86400</f>
        <v>0.47594907407407405</v>
      </c>
      <c r="J61" s="6">
        <v>0</v>
      </c>
      <c r="K61" s="6">
        <v>0</v>
      </c>
      <c r="L61" s="6">
        <v>16.22</v>
      </c>
      <c r="M61" s="6">
        <v>86</v>
      </c>
      <c r="N61" s="7">
        <f>12 / 86400</f>
        <v>1.3888888888888889E-4</v>
      </c>
      <c r="O61" s="6">
        <v>0.03</v>
      </c>
      <c r="P61" s="6" t="s">
        <v>28</v>
      </c>
      <c r="Q61" s="6" t="s">
        <v>28</v>
      </c>
      <c r="R61" s="6">
        <v>3</v>
      </c>
      <c r="S61" s="6">
        <v>1.62</v>
      </c>
      <c r="T61" s="6">
        <v>235</v>
      </c>
      <c r="U61" s="6">
        <v>126.85</v>
      </c>
      <c r="V61" s="6">
        <v>828</v>
      </c>
      <c r="W61" s="6">
        <v>446.96</v>
      </c>
      <c r="X61" s="6">
        <v>1</v>
      </c>
      <c r="Y61" s="6">
        <v>0.54</v>
      </c>
      <c r="Z61" s="7">
        <f>0 / 86400</f>
        <v>0</v>
      </c>
      <c r="AA61" s="6">
        <v>0</v>
      </c>
      <c r="AB61" s="6" t="s">
        <v>28</v>
      </c>
    </row>
    <row r="62" spans="1:28" s="3" customFormat="1" ht="15.75" x14ac:dyDescent="0.25">
      <c r="A62" s="4" t="s">
        <v>61</v>
      </c>
      <c r="B62" s="4" t="s">
        <v>28</v>
      </c>
      <c r="C62" s="4">
        <v>167.08</v>
      </c>
      <c r="D62" s="4">
        <v>81.36</v>
      </c>
      <c r="E62" s="4">
        <v>0</v>
      </c>
      <c r="F62" s="4">
        <v>0</v>
      </c>
      <c r="G62" s="4">
        <v>0</v>
      </c>
      <c r="H62" s="4">
        <v>205.38</v>
      </c>
      <c r="I62" s="5">
        <f>41106 / 86400</f>
        <v>0.47576388888888888</v>
      </c>
      <c r="J62" s="4">
        <v>0</v>
      </c>
      <c r="K62" s="4">
        <v>0</v>
      </c>
      <c r="L62" s="4">
        <v>17.989999999999998</v>
      </c>
      <c r="M62" s="4">
        <v>83</v>
      </c>
      <c r="N62" s="5">
        <f>13 / 86400</f>
        <v>1.5046296296296297E-4</v>
      </c>
      <c r="O62" s="4">
        <v>0.03</v>
      </c>
      <c r="P62" s="4" t="s">
        <v>28</v>
      </c>
      <c r="Q62" s="4" t="s">
        <v>28</v>
      </c>
      <c r="R62" s="4">
        <v>297</v>
      </c>
      <c r="S62" s="4">
        <v>144.61000000000001</v>
      </c>
      <c r="T62" s="4">
        <v>1000</v>
      </c>
      <c r="U62" s="4">
        <v>486.91</v>
      </c>
      <c r="V62" s="4">
        <v>542</v>
      </c>
      <c r="W62" s="4">
        <v>263.91000000000003</v>
      </c>
      <c r="X62" s="4">
        <v>75</v>
      </c>
      <c r="Y62" s="4">
        <v>36.520000000000003</v>
      </c>
      <c r="Z62" s="5">
        <f>2788 / 86400</f>
        <v>3.2268518518518516E-2</v>
      </c>
      <c r="AA62" s="4">
        <v>6.78</v>
      </c>
      <c r="AB62" s="4" t="s">
        <v>28</v>
      </c>
    </row>
    <row r="63" spans="1:28" s="6" customFormat="1" ht="15.75" x14ac:dyDescent="0.25">
      <c r="A63" s="6" t="s">
        <v>28</v>
      </c>
      <c r="B63" s="6" t="s">
        <v>29</v>
      </c>
      <c r="C63" s="6">
        <v>167.08</v>
      </c>
      <c r="D63" s="6">
        <v>81.36</v>
      </c>
      <c r="E63" s="6">
        <v>0</v>
      </c>
      <c r="F63" s="6">
        <v>0</v>
      </c>
      <c r="G63" s="6">
        <v>0</v>
      </c>
      <c r="H63" s="6">
        <v>205.38</v>
      </c>
      <c r="I63" s="7">
        <f>41106 / 86400</f>
        <v>0.47576388888888888</v>
      </c>
      <c r="J63" s="6">
        <v>0</v>
      </c>
      <c r="K63" s="6">
        <v>0</v>
      </c>
      <c r="L63" s="6">
        <v>17.989999999999998</v>
      </c>
      <c r="M63" s="6">
        <v>83</v>
      </c>
      <c r="N63" s="7">
        <f>13 / 86400</f>
        <v>1.5046296296296297E-4</v>
      </c>
      <c r="O63" s="6">
        <v>0.03</v>
      </c>
      <c r="P63" s="6" t="s">
        <v>28</v>
      </c>
      <c r="Q63" s="6" t="s">
        <v>28</v>
      </c>
      <c r="R63" s="6">
        <v>297</v>
      </c>
      <c r="S63" s="6">
        <v>144.61000000000001</v>
      </c>
      <c r="T63" s="6">
        <v>1000</v>
      </c>
      <c r="U63" s="6">
        <v>486.91</v>
      </c>
      <c r="V63" s="6">
        <v>542</v>
      </c>
      <c r="W63" s="6">
        <v>263.91000000000003</v>
      </c>
      <c r="X63" s="6">
        <v>75</v>
      </c>
      <c r="Y63" s="6">
        <v>36.520000000000003</v>
      </c>
      <c r="Z63" s="7">
        <f>2788 / 86400</f>
        <v>3.2268518518518516E-2</v>
      </c>
      <c r="AA63" s="6">
        <v>6.78</v>
      </c>
      <c r="AB63" s="6" t="s">
        <v>28</v>
      </c>
    </row>
    <row r="64" spans="1:28" s="3" customFormat="1" ht="15.75" x14ac:dyDescent="0.25">
      <c r="A64" s="4" t="s">
        <v>62</v>
      </c>
      <c r="B64" s="4" t="s">
        <v>28</v>
      </c>
      <c r="C64" s="4">
        <v>367.39</v>
      </c>
      <c r="D64" s="4">
        <v>138.76</v>
      </c>
      <c r="E64" s="4">
        <v>0</v>
      </c>
      <c r="F64" s="4">
        <v>0</v>
      </c>
      <c r="G64" s="4">
        <v>0</v>
      </c>
      <c r="H64" s="4">
        <v>264.77</v>
      </c>
      <c r="I64" s="5">
        <f>53823 / 86400</f>
        <v>0.6229513888888889</v>
      </c>
      <c r="J64" s="4">
        <v>0</v>
      </c>
      <c r="K64" s="4">
        <v>0</v>
      </c>
      <c r="L64" s="4">
        <v>17.71</v>
      </c>
      <c r="M64" s="4">
        <v>100</v>
      </c>
      <c r="N64" s="5">
        <f>124 / 86400</f>
        <v>1.4351851851851852E-3</v>
      </c>
      <c r="O64" s="4">
        <v>0.23</v>
      </c>
      <c r="P64" s="4" t="s">
        <v>28</v>
      </c>
      <c r="Q64" s="4" t="s">
        <v>28</v>
      </c>
      <c r="R64" s="4">
        <v>697</v>
      </c>
      <c r="S64" s="4">
        <v>263.24</v>
      </c>
      <c r="T64" s="4">
        <v>1657</v>
      </c>
      <c r="U64" s="4">
        <v>625.82000000000005</v>
      </c>
      <c r="V64" s="4">
        <v>1022</v>
      </c>
      <c r="W64" s="4">
        <v>385.99</v>
      </c>
      <c r="X64" s="4">
        <v>605</v>
      </c>
      <c r="Y64" s="4">
        <v>228.5</v>
      </c>
      <c r="Z64" s="5">
        <f>2904 / 86400</f>
        <v>3.3611111111111112E-2</v>
      </c>
      <c r="AA64" s="4">
        <v>5.4</v>
      </c>
      <c r="AB64" s="4" t="s">
        <v>28</v>
      </c>
    </row>
    <row r="65" spans="1:28" s="6" customFormat="1" ht="15.75" x14ac:dyDescent="0.25">
      <c r="A65" s="6" t="s">
        <v>28</v>
      </c>
      <c r="B65" s="6" t="s">
        <v>29</v>
      </c>
      <c r="C65" s="6">
        <v>367.39</v>
      </c>
      <c r="D65" s="6">
        <v>138.76</v>
      </c>
      <c r="E65" s="6">
        <v>0</v>
      </c>
      <c r="F65" s="6">
        <v>0</v>
      </c>
      <c r="G65" s="6">
        <v>0</v>
      </c>
      <c r="H65" s="6">
        <v>264.77</v>
      </c>
      <c r="I65" s="7">
        <f>53823 / 86400</f>
        <v>0.6229513888888889</v>
      </c>
      <c r="J65" s="6">
        <v>0</v>
      </c>
      <c r="K65" s="6">
        <v>0</v>
      </c>
      <c r="L65" s="6">
        <v>17.71</v>
      </c>
      <c r="M65" s="6">
        <v>100</v>
      </c>
      <c r="N65" s="7">
        <f>124 / 86400</f>
        <v>1.4351851851851852E-3</v>
      </c>
      <c r="O65" s="6">
        <v>0.23</v>
      </c>
      <c r="P65" s="6" t="s">
        <v>28</v>
      </c>
      <c r="Q65" s="6" t="s">
        <v>28</v>
      </c>
      <c r="R65" s="6">
        <v>697</v>
      </c>
      <c r="S65" s="6">
        <v>263.24</v>
      </c>
      <c r="T65" s="6">
        <v>1657</v>
      </c>
      <c r="U65" s="6">
        <v>625.82000000000005</v>
      </c>
      <c r="V65" s="6">
        <v>1022</v>
      </c>
      <c r="W65" s="6">
        <v>385.99</v>
      </c>
      <c r="X65" s="6">
        <v>605</v>
      </c>
      <c r="Y65" s="6">
        <v>228.5</v>
      </c>
      <c r="Z65" s="7">
        <f>2904 / 86400</f>
        <v>3.3611111111111112E-2</v>
      </c>
      <c r="AA65" s="6">
        <v>5.4</v>
      </c>
      <c r="AB65" s="6" t="s">
        <v>28</v>
      </c>
    </row>
    <row r="66" spans="1:28" s="3" customFormat="1" ht="15.75" x14ac:dyDescent="0.25">
      <c r="A66" s="4" t="s">
        <v>63</v>
      </c>
      <c r="B66" s="4" t="s">
        <v>28</v>
      </c>
      <c r="C66" s="4">
        <v>6.8</v>
      </c>
      <c r="D66" s="4">
        <v>201.48</v>
      </c>
      <c r="E66" s="4">
        <v>0</v>
      </c>
      <c r="F66" s="4">
        <v>0</v>
      </c>
      <c r="G66" s="4">
        <v>0</v>
      </c>
      <c r="H66" s="4">
        <v>3.38</v>
      </c>
      <c r="I66" s="5">
        <f>758 / 86400</f>
        <v>8.773148148148148E-3</v>
      </c>
      <c r="J66" s="4">
        <v>0</v>
      </c>
      <c r="K66" s="4">
        <v>0</v>
      </c>
      <c r="L66" s="4">
        <v>16.03</v>
      </c>
      <c r="M66" s="4">
        <v>42</v>
      </c>
      <c r="N66" s="5">
        <f>0 / 86400</f>
        <v>0</v>
      </c>
      <c r="O66" s="4">
        <v>0</v>
      </c>
      <c r="P66" s="4" t="s">
        <v>28</v>
      </c>
      <c r="Q66" s="4" t="s">
        <v>28</v>
      </c>
      <c r="R66" s="4">
        <v>14</v>
      </c>
      <c r="S66" s="4">
        <v>414.81</v>
      </c>
      <c r="T66" s="4">
        <v>37</v>
      </c>
      <c r="U66" s="4">
        <v>1096.3</v>
      </c>
      <c r="V66" s="4">
        <v>15</v>
      </c>
      <c r="W66" s="4">
        <v>444.44</v>
      </c>
      <c r="X66" s="4">
        <v>3</v>
      </c>
      <c r="Y66" s="4">
        <v>88.89</v>
      </c>
      <c r="Z66" s="5">
        <f>0 / 86400</f>
        <v>0</v>
      </c>
      <c r="AA66" s="4">
        <v>0</v>
      </c>
      <c r="AB66" s="4" t="s">
        <v>28</v>
      </c>
    </row>
    <row r="67" spans="1:28" s="6" customFormat="1" ht="15.75" x14ac:dyDescent="0.25">
      <c r="A67" s="6" t="s">
        <v>28</v>
      </c>
      <c r="B67" s="6" t="s">
        <v>29</v>
      </c>
      <c r="C67" s="6">
        <v>6.8</v>
      </c>
      <c r="D67" s="6">
        <v>201.48</v>
      </c>
      <c r="E67" s="6">
        <v>0</v>
      </c>
      <c r="F67" s="6">
        <v>0</v>
      </c>
      <c r="G67" s="6">
        <v>0</v>
      </c>
      <c r="H67" s="6">
        <v>3.38</v>
      </c>
      <c r="I67" s="7">
        <f>758 / 86400</f>
        <v>8.773148148148148E-3</v>
      </c>
      <c r="J67" s="6">
        <v>0</v>
      </c>
      <c r="K67" s="6">
        <v>0</v>
      </c>
      <c r="L67" s="6">
        <v>16.03</v>
      </c>
      <c r="M67" s="6">
        <v>42</v>
      </c>
      <c r="N67" s="7">
        <f>0 / 86400</f>
        <v>0</v>
      </c>
      <c r="O67" s="6">
        <v>0</v>
      </c>
      <c r="P67" s="6" t="s">
        <v>28</v>
      </c>
      <c r="Q67" s="6" t="s">
        <v>28</v>
      </c>
      <c r="R67" s="6">
        <v>14</v>
      </c>
      <c r="S67" s="6">
        <v>414.81</v>
      </c>
      <c r="T67" s="6">
        <v>37</v>
      </c>
      <c r="U67" s="6">
        <v>1096.3</v>
      </c>
      <c r="V67" s="6">
        <v>15</v>
      </c>
      <c r="W67" s="6">
        <v>444.44</v>
      </c>
      <c r="X67" s="6">
        <v>3</v>
      </c>
      <c r="Y67" s="6">
        <v>88.89</v>
      </c>
      <c r="Z67" s="7">
        <f>0 / 86400</f>
        <v>0</v>
      </c>
      <c r="AA67" s="6">
        <v>0</v>
      </c>
      <c r="AB67" s="6" t="s">
        <v>28</v>
      </c>
    </row>
    <row r="68" spans="1:28" s="3" customFormat="1" ht="15.75" x14ac:dyDescent="0.25">
      <c r="A68" s="4" t="s">
        <v>64</v>
      </c>
      <c r="B68" s="4" t="s">
        <v>28</v>
      </c>
      <c r="C68" s="4">
        <v>141.36000000000001</v>
      </c>
      <c r="D68" s="4">
        <v>66.59</v>
      </c>
      <c r="E68" s="4">
        <v>0</v>
      </c>
      <c r="F68" s="4">
        <v>0</v>
      </c>
      <c r="G68" s="4">
        <v>0</v>
      </c>
      <c r="H68" s="4">
        <v>212.29</v>
      </c>
      <c r="I68" s="5">
        <f>46767 / 86400</f>
        <v>0.54128472222222224</v>
      </c>
      <c r="J68" s="4">
        <v>0</v>
      </c>
      <c r="K68" s="4">
        <v>0</v>
      </c>
      <c r="L68" s="4">
        <v>16.34</v>
      </c>
      <c r="M68" s="4">
        <v>84</v>
      </c>
      <c r="N68" s="5">
        <f>19 / 86400</f>
        <v>2.199074074074074E-4</v>
      </c>
      <c r="O68" s="4">
        <v>0.04</v>
      </c>
      <c r="P68" s="4" t="s">
        <v>28</v>
      </c>
      <c r="Q68" s="4" t="s">
        <v>28</v>
      </c>
      <c r="R68" s="4">
        <v>235</v>
      </c>
      <c r="S68" s="4">
        <v>110.7</v>
      </c>
      <c r="T68" s="4">
        <v>777</v>
      </c>
      <c r="U68" s="4">
        <v>366</v>
      </c>
      <c r="V68" s="4">
        <v>444</v>
      </c>
      <c r="W68" s="4">
        <v>209.14</v>
      </c>
      <c r="X68" s="4">
        <v>164</v>
      </c>
      <c r="Y68" s="4">
        <v>77.25</v>
      </c>
      <c r="Z68" s="5">
        <f>2593 / 86400</f>
        <v>3.0011574074074072E-2</v>
      </c>
      <c r="AA68" s="4">
        <v>5.54</v>
      </c>
      <c r="AB68" s="4" t="s">
        <v>28</v>
      </c>
    </row>
    <row r="69" spans="1:28" s="6" customFormat="1" ht="15.75" x14ac:dyDescent="0.25">
      <c r="A69" s="6" t="s">
        <v>28</v>
      </c>
      <c r="B69" s="6" t="s">
        <v>29</v>
      </c>
      <c r="C69" s="6">
        <v>141.36000000000001</v>
      </c>
      <c r="D69" s="6">
        <v>66.59</v>
      </c>
      <c r="E69" s="6">
        <v>0</v>
      </c>
      <c r="F69" s="6">
        <v>0</v>
      </c>
      <c r="G69" s="6">
        <v>0</v>
      </c>
      <c r="H69" s="6">
        <v>212.29</v>
      </c>
      <c r="I69" s="7">
        <f>46767 / 86400</f>
        <v>0.54128472222222224</v>
      </c>
      <c r="J69" s="6">
        <v>0</v>
      </c>
      <c r="K69" s="6">
        <v>0</v>
      </c>
      <c r="L69" s="6">
        <v>16.34</v>
      </c>
      <c r="M69" s="6">
        <v>84</v>
      </c>
      <c r="N69" s="7">
        <f>19 / 86400</f>
        <v>2.199074074074074E-4</v>
      </c>
      <c r="O69" s="6">
        <v>0.04</v>
      </c>
      <c r="P69" s="6" t="s">
        <v>28</v>
      </c>
      <c r="Q69" s="6" t="s">
        <v>28</v>
      </c>
      <c r="R69" s="6">
        <v>235</v>
      </c>
      <c r="S69" s="6">
        <v>110.7</v>
      </c>
      <c r="T69" s="6">
        <v>777</v>
      </c>
      <c r="U69" s="6">
        <v>366</v>
      </c>
      <c r="V69" s="6">
        <v>444</v>
      </c>
      <c r="W69" s="6">
        <v>209.14</v>
      </c>
      <c r="X69" s="6">
        <v>164</v>
      </c>
      <c r="Y69" s="6">
        <v>77.25</v>
      </c>
      <c r="Z69" s="7">
        <f>2593 / 86400</f>
        <v>3.0011574074074072E-2</v>
      </c>
      <c r="AA69" s="6">
        <v>5.54</v>
      </c>
      <c r="AB69" s="6" t="s">
        <v>28</v>
      </c>
    </row>
    <row r="70" spans="1:28" s="3" customFormat="1" ht="15.75" x14ac:dyDescent="0.25">
      <c r="A70" s="4" t="s">
        <v>65</v>
      </c>
      <c r="B70" s="4" t="s">
        <v>28</v>
      </c>
      <c r="C70" s="4">
        <v>71.5</v>
      </c>
      <c r="D70" s="4">
        <v>10.15</v>
      </c>
      <c r="E70" s="4">
        <v>0</v>
      </c>
      <c r="F70" s="4">
        <v>0</v>
      </c>
      <c r="G70" s="4">
        <v>0</v>
      </c>
      <c r="H70" s="4">
        <v>704.42</v>
      </c>
      <c r="I70" s="5">
        <f>44364 / 86400</f>
        <v>0.51347222222222222</v>
      </c>
      <c r="J70" s="4">
        <v>0</v>
      </c>
      <c r="K70" s="4">
        <v>0</v>
      </c>
      <c r="L70" s="4">
        <v>57.16</v>
      </c>
      <c r="M70" s="4">
        <v>76</v>
      </c>
      <c r="N70" s="5">
        <f>0 / 86400</f>
        <v>0</v>
      </c>
      <c r="O70" s="4">
        <v>0</v>
      </c>
      <c r="P70" s="4" t="s">
        <v>28</v>
      </c>
      <c r="Q70" s="4" t="s">
        <v>28</v>
      </c>
      <c r="R70" s="4">
        <v>96</v>
      </c>
      <c r="S70" s="4">
        <v>13.63</v>
      </c>
      <c r="T70" s="4">
        <v>491</v>
      </c>
      <c r="U70" s="4">
        <v>69.7</v>
      </c>
      <c r="V70" s="4">
        <v>254</v>
      </c>
      <c r="W70" s="4">
        <v>36.06</v>
      </c>
      <c r="X70" s="4">
        <v>32</v>
      </c>
      <c r="Y70" s="4">
        <v>4.54</v>
      </c>
      <c r="Z70" s="5">
        <f>7674 / 86400</f>
        <v>8.8819444444444451E-2</v>
      </c>
      <c r="AA70" s="4">
        <v>17.3</v>
      </c>
      <c r="AB70" s="4" t="s">
        <v>28</v>
      </c>
    </row>
    <row r="71" spans="1:28" s="6" customFormat="1" ht="15.75" x14ac:dyDescent="0.25">
      <c r="A71" s="6" t="s">
        <v>28</v>
      </c>
      <c r="B71" s="6" t="s">
        <v>29</v>
      </c>
      <c r="C71" s="6">
        <v>71.5</v>
      </c>
      <c r="D71" s="6">
        <v>10.15</v>
      </c>
      <c r="E71" s="6">
        <v>0</v>
      </c>
      <c r="F71" s="6">
        <v>0</v>
      </c>
      <c r="G71" s="6">
        <v>0</v>
      </c>
      <c r="H71" s="6">
        <v>704.42</v>
      </c>
      <c r="I71" s="7">
        <f>44364 / 86400</f>
        <v>0.51347222222222222</v>
      </c>
      <c r="J71" s="6">
        <v>0</v>
      </c>
      <c r="K71" s="6">
        <v>0</v>
      </c>
      <c r="L71" s="6">
        <v>57.16</v>
      </c>
      <c r="M71" s="6">
        <v>76</v>
      </c>
      <c r="N71" s="7">
        <f>0 / 86400</f>
        <v>0</v>
      </c>
      <c r="O71" s="6">
        <v>0</v>
      </c>
      <c r="P71" s="6" t="s">
        <v>28</v>
      </c>
      <c r="Q71" s="6" t="s">
        <v>28</v>
      </c>
      <c r="R71" s="6">
        <v>96</v>
      </c>
      <c r="S71" s="6">
        <v>13.63</v>
      </c>
      <c r="T71" s="6">
        <v>491</v>
      </c>
      <c r="U71" s="6">
        <v>69.7</v>
      </c>
      <c r="V71" s="6">
        <v>254</v>
      </c>
      <c r="W71" s="6">
        <v>36.06</v>
      </c>
      <c r="X71" s="6">
        <v>32</v>
      </c>
      <c r="Y71" s="6">
        <v>4.54</v>
      </c>
      <c r="Z71" s="7">
        <f>7674 / 86400</f>
        <v>8.8819444444444451E-2</v>
      </c>
      <c r="AA71" s="6">
        <v>17.3</v>
      </c>
      <c r="AB71" s="6" t="s">
        <v>28</v>
      </c>
    </row>
    <row r="72" spans="1:28" s="3" customFormat="1" ht="15.75" x14ac:dyDescent="0.25">
      <c r="A72" s="4" t="s">
        <v>66</v>
      </c>
      <c r="B72" s="4" t="s">
        <v>28</v>
      </c>
      <c r="C72" s="4">
        <v>185.95</v>
      </c>
      <c r="D72" s="4">
        <v>84.39</v>
      </c>
      <c r="E72" s="4">
        <v>0</v>
      </c>
      <c r="F72" s="4">
        <v>0</v>
      </c>
      <c r="G72" s="4">
        <v>0</v>
      </c>
      <c r="H72" s="4">
        <v>220.35</v>
      </c>
      <c r="I72" s="5">
        <f>45431 / 86400</f>
        <v>0.52582175925925922</v>
      </c>
      <c r="J72" s="4">
        <v>0</v>
      </c>
      <c r="K72" s="4">
        <v>0</v>
      </c>
      <c r="L72" s="4">
        <v>17.46</v>
      </c>
      <c r="M72" s="4">
        <v>88</v>
      </c>
      <c r="N72" s="5">
        <f>17 / 86400</f>
        <v>1.9675925925925926E-4</v>
      </c>
      <c r="O72" s="4">
        <v>0.04</v>
      </c>
      <c r="P72" s="4" t="s">
        <v>28</v>
      </c>
      <c r="Q72" s="4" t="s">
        <v>28</v>
      </c>
      <c r="R72" s="4">
        <v>279</v>
      </c>
      <c r="S72" s="4">
        <v>126.62</v>
      </c>
      <c r="T72" s="4">
        <v>1035</v>
      </c>
      <c r="U72" s="4">
        <v>469.7</v>
      </c>
      <c r="V72" s="4">
        <v>520</v>
      </c>
      <c r="W72" s="4">
        <v>235.99</v>
      </c>
      <c r="X72" s="4">
        <v>264</v>
      </c>
      <c r="Y72" s="4">
        <v>119.81</v>
      </c>
      <c r="Z72" s="5">
        <f>601 / 86400</f>
        <v>6.9560185185185185E-3</v>
      </c>
      <c r="AA72" s="4">
        <v>1.32</v>
      </c>
      <c r="AB72" s="4" t="s">
        <v>28</v>
      </c>
    </row>
    <row r="73" spans="1:28" s="6" customFormat="1" ht="15.75" x14ac:dyDescent="0.25">
      <c r="A73" s="6" t="s">
        <v>28</v>
      </c>
      <c r="B73" s="6" t="s">
        <v>29</v>
      </c>
      <c r="C73" s="6">
        <v>185.95</v>
      </c>
      <c r="D73" s="6">
        <v>84.39</v>
      </c>
      <c r="E73" s="6">
        <v>0</v>
      </c>
      <c r="F73" s="6">
        <v>0</v>
      </c>
      <c r="G73" s="6">
        <v>0</v>
      </c>
      <c r="H73" s="6">
        <v>220.35</v>
      </c>
      <c r="I73" s="7">
        <f>45431 / 86400</f>
        <v>0.52582175925925922</v>
      </c>
      <c r="J73" s="6">
        <v>0</v>
      </c>
      <c r="K73" s="6">
        <v>0</v>
      </c>
      <c r="L73" s="6">
        <v>17.46</v>
      </c>
      <c r="M73" s="6">
        <v>88</v>
      </c>
      <c r="N73" s="7">
        <f>17 / 86400</f>
        <v>1.9675925925925926E-4</v>
      </c>
      <c r="O73" s="6">
        <v>0.04</v>
      </c>
      <c r="P73" s="6" t="s">
        <v>28</v>
      </c>
      <c r="Q73" s="6" t="s">
        <v>28</v>
      </c>
      <c r="R73" s="6">
        <v>279</v>
      </c>
      <c r="S73" s="6">
        <v>126.62</v>
      </c>
      <c r="T73" s="6">
        <v>1035</v>
      </c>
      <c r="U73" s="6">
        <v>469.7</v>
      </c>
      <c r="V73" s="6">
        <v>520</v>
      </c>
      <c r="W73" s="6">
        <v>235.99</v>
      </c>
      <c r="X73" s="6">
        <v>264</v>
      </c>
      <c r="Y73" s="6">
        <v>119.81</v>
      </c>
      <c r="Z73" s="7">
        <f>601 / 86400</f>
        <v>6.9560185185185185E-3</v>
      </c>
      <c r="AA73" s="6">
        <v>1.32</v>
      </c>
      <c r="AB73" s="6" t="s">
        <v>28</v>
      </c>
    </row>
    <row r="74" spans="1:28" s="3" customFormat="1" ht="15.75" x14ac:dyDescent="0.25">
      <c r="A74" s="4" t="s">
        <v>67</v>
      </c>
      <c r="B74" s="4" t="s">
        <v>28</v>
      </c>
      <c r="C74" s="4">
        <v>0.7</v>
      </c>
      <c r="D74" s="4">
        <v>6.32</v>
      </c>
      <c r="E74" s="4">
        <v>0</v>
      </c>
      <c r="F74" s="4">
        <v>0</v>
      </c>
      <c r="G74" s="4">
        <v>0</v>
      </c>
      <c r="H74" s="4">
        <v>11.08</v>
      </c>
      <c r="I74" s="5">
        <f>3948 / 86400</f>
        <v>4.5694444444444447E-2</v>
      </c>
      <c r="J74" s="4">
        <v>0</v>
      </c>
      <c r="K74" s="4">
        <v>0</v>
      </c>
      <c r="L74" s="4">
        <v>10.1</v>
      </c>
      <c r="M74" s="4">
        <v>49</v>
      </c>
      <c r="N74" s="5">
        <f>0 / 86400</f>
        <v>0</v>
      </c>
      <c r="O74" s="4">
        <v>0</v>
      </c>
      <c r="P74" s="4" t="s">
        <v>28</v>
      </c>
      <c r="Q74" s="4" t="s">
        <v>28</v>
      </c>
      <c r="R74" s="4">
        <v>0</v>
      </c>
      <c r="S74" s="4">
        <v>0</v>
      </c>
      <c r="T74" s="4">
        <v>7</v>
      </c>
      <c r="U74" s="4">
        <v>63.2</v>
      </c>
      <c r="V74" s="4">
        <v>28</v>
      </c>
      <c r="W74" s="4">
        <v>252.8</v>
      </c>
      <c r="X74" s="4">
        <v>0</v>
      </c>
      <c r="Y74" s="4">
        <v>0</v>
      </c>
      <c r="Z74" s="5">
        <f>0 / 86400</f>
        <v>0</v>
      </c>
      <c r="AA74" s="4">
        <v>0</v>
      </c>
      <c r="AB74" s="4" t="s">
        <v>28</v>
      </c>
    </row>
    <row r="75" spans="1:28" s="6" customFormat="1" ht="15.75" x14ac:dyDescent="0.25">
      <c r="A75" s="6" t="s">
        <v>28</v>
      </c>
      <c r="B75" s="6" t="s">
        <v>29</v>
      </c>
      <c r="C75" s="6">
        <v>0.7</v>
      </c>
      <c r="D75" s="6">
        <v>6.32</v>
      </c>
      <c r="E75" s="6">
        <v>0</v>
      </c>
      <c r="F75" s="6">
        <v>0</v>
      </c>
      <c r="G75" s="6">
        <v>0</v>
      </c>
      <c r="H75" s="6">
        <v>11.08</v>
      </c>
      <c r="I75" s="7">
        <f>3948 / 86400</f>
        <v>4.5694444444444447E-2</v>
      </c>
      <c r="J75" s="6">
        <v>0</v>
      </c>
      <c r="K75" s="6">
        <v>0</v>
      </c>
      <c r="L75" s="6">
        <v>10.1</v>
      </c>
      <c r="M75" s="6">
        <v>49</v>
      </c>
      <c r="N75" s="7">
        <f>0 / 86400</f>
        <v>0</v>
      </c>
      <c r="O75" s="6">
        <v>0</v>
      </c>
      <c r="P75" s="6" t="s">
        <v>28</v>
      </c>
      <c r="Q75" s="6" t="s">
        <v>28</v>
      </c>
      <c r="R75" s="6">
        <v>0</v>
      </c>
      <c r="S75" s="6">
        <v>0</v>
      </c>
      <c r="T75" s="6">
        <v>7</v>
      </c>
      <c r="U75" s="6">
        <v>63.2</v>
      </c>
      <c r="V75" s="6">
        <v>28</v>
      </c>
      <c r="W75" s="6">
        <v>252.8</v>
      </c>
      <c r="X75" s="6">
        <v>0</v>
      </c>
      <c r="Y75" s="6">
        <v>0</v>
      </c>
      <c r="Z75" s="7">
        <f>0 / 86400</f>
        <v>0</v>
      </c>
      <c r="AA75" s="6">
        <v>0</v>
      </c>
      <c r="AB75" s="6" t="s">
        <v>28</v>
      </c>
    </row>
    <row r="76" spans="1:28" s="3" customFormat="1" ht="15.75" x14ac:dyDescent="0.25">
      <c r="A76" s="4" t="s">
        <v>68</v>
      </c>
      <c r="B76" s="4" t="s">
        <v>28</v>
      </c>
      <c r="C76" s="4">
        <v>130.74</v>
      </c>
      <c r="D76" s="4">
        <v>82.49</v>
      </c>
      <c r="E76" s="4">
        <v>0</v>
      </c>
      <c r="F76" s="4">
        <v>0</v>
      </c>
      <c r="G76" s="4">
        <v>0</v>
      </c>
      <c r="H76" s="4">
        <v>158.51</v>
      </c>
      <c r="I76" s="5">
        <f>31370 / 86400</f>
        <v>0.36307870370370371</v>
      </c>
      <c r="J76" s="4">
        <v>0</v>
      </c>
      <c r="K76" s="4">
        <v>0</v>
      </c>
      <c r="L76" s="4">
        <v>18.190000000000001</v>
      </c>
      <c r="M76" s="4">
        <v>92</v>
      </c>
      <c r="N76" s="5">
        <f>95 / 86400</f>
        <v>1.0995370370370371E-3</v>
      </c>
      <c r="O76" s="4">
        <v>0.3</v>
      </c>
      <c r="P76" s="4" t="s">
        <v>28</v>
      </c>
      <c r="Q76" s="4" t="s">
        <v>28</v>
      </c>
      <c r="R76" s="4">
        <v>271</v>
      </c>
      <c r="S76" s="4">
        <v>170.97</v>
      </c>
      <c r="T76" s="4">
        <v>679</v>
      </c>
      <c r="U76" s="4">
        <v>428.38</v>
      </c>
      <c r="V76" s="4">
        <v>445</v>
      </c>
      <c r="W76" s="4">
        <v>280.75</v>
      </c>
      <c r="X76" s="4">
        <v>72</v>
      </c>
      <c r="Y76" s="4">
        <v>45.42</v>
      </c>
      <c r="Z76" s="5">
        <f>4355 / 86400</f>
        <v>5.0405092592592592E-2</v>
      </c>
      <c r="AA76" s="4">
        <v>13.88</v>
      </c>
      <c r="AB76" s="4" t="s">
        <v>28</v>
      </c>
    </row>
    <row r="77" spans="1:28" s="6" customFormat="1" ht="15.75" x14ac:dyDescent="0.25">
      <c r="A77" s="6" t="s">
        <v>28</v>
      </c>
      <c r="B77" s="6" t="s">
        <v>29</v>
      </c>
      <c r="C77" s="6">
        <v>130.74</v>
      </c>
      <c r="D77" s="6">
        <v>82.49</v>
      </c>
      <c r="E77" s="6">
        <v>0</v>
      </c>
      <c r="F77" s="6">
        <v>0</v>
      </c>
      <c r="G77" s="6">
        <v>0</v>
      </c>
      <c r="H77" s="6">
        <v>158.51</v>
      </c>
      <c r="I77" s="7">
        <f>31370 / 86400</f>
        <v>0.36307870370370371</v>
      </c>
      <c r="J77" s="6">
        <v>0</v>
      </c>
      <c r="K77" s="6">
        <v>0</v>
      </c>
      <c r="L77" s="6">
        <v>18.190000000000001</v>
      </c>
      <c r="M77" s="6">
        <v>92</v>
      </c>
      <c r="N77" s="7">
        <f>95 / 86400</f>
        <v>1.0995370370370371E-3</v>
      </c>
      <c r="O77" s="6">
        <v>0.3</v>
      </c>
      <c r="P77" s="6" t="s">
        <v>28</v>
      </c>
      <c r="Q77" s="6" t="s">
        <v>28</v>
      </c>
      <c r="R77" s="6">
        <v>271</v>
      </c>
      <c r="S77" s="6">
        <v>170.97</v>
      </c>
      <c r="T77" s="6">
        <v>679</v>
      </c>
      <c r="U77" s="6">
        <v>428.38</v>
      </c>
      <c r="V77" s="6">
        <v>445</v>
      </c>
      <c r="W77" s="6">
        <v>280.75</v>
      </c>
      <c r="X77" s="6">
        <v>72</v>
      </c>
      <c r="Y77" s="6">
        <v>45.42</v>
      </c>
      <c r="Z77" s="7">
        <f>4355 / 86400</f>
        <v>5.0405092592592592E-2</v>
      </c>
      <c r="AA77" s="6">
        <v>13.88</v>
      </c>
      <c r="AB77" s="6" t="s">
        <v>28</v>
      </c>
    </row>
    <row r="78" spans="1:28" s="3" customFormat="1" ht="15.75" x14ac:dyDescent="0.25">
      <c r="A78" s="4" t="s">
        <v>69</v>
      </c>
      <c r="B78" s="4" t="s">
        <v>28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5">
        <f>0 / 86400</f>
        <v>0</v>
      </c>
      <c r="J78" s="4">
        <v>0</v>
      </c>
      <c r="K78" s="4">
        <v>0</v>
      </c>
      <c r="L78" s="4">
        <v>0</v>
      </c>
      <c r="M78" s="4">
        <v>0</v>
      </c>
      <c r="N78" s="5">
        <f>0 / 86400</f>
        <v>0</v>
      </c>
      <c r="O78" s="4">
        <v>0</v>
      </c>
      <c r="P78" s="4" t="s">
        <v>28</v>
      </c>
      <c r="Q78" s="4" t="s">
        <v>28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5">
        <f>0 / 86400</f>
        <v>0</v>
      </c>
      <c r="AA78" s="4">
        <v>0</v>
      </c>
      <c r="AB78" s="4" t="s">
        <v>28</v>
      </c>
    </row>
    <row r="79" spans="1:28" s="6" customFormat="1" ht="15.75" x14ac:dyDescent="0.25">
      <c r="A79" s="6" t="s">
        <v>28</v>
      </c>
      <c r="B79" s="6" t="s">
        <v>29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7">
        <f>0 / 86400</f>
        <v>0</v>
      </c>
      <c r="J79" s="6">
        <v>0</v>
      </c>
      <c r="K79" s="6">
        <v>0</v>
      </c>
      <c r="L79" s="6">
        <v>0</v>
      </c>
      <c r="M79" s="6">
        <v>0</v>
      </c>
      <c r="N79" s="7">
        <f>0 / 86400</f>
        <v>0</v>
      </c>
      <c r="O79" s="6">
        <v>0</v>
      </c>
      <c r="P79" s="6" t="s">
        <v>28</v>
      </c>
      <c r="Q79" s="6" t="s">
        <v>28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7">
        <f>0 / 86400</f>
        <v>0</v>
      </c>
      <c r="AA79" s="6">
        <v>0</v>
      </c>
      <c r="AB79" s="6" t="s">
        <v>28</v>
      </c>
    </row>
    <row r="80" spans="1:28" s="3" customFormat="1" ht="15.75" x14ac:dyDescent="0.25">
      <c r="A80" s="4" t="s">
        <v>70</v>
      </c>
      <c r="B80" s="4" t="s">
        <v>28</v>
      </c>
      <c r="C80" s="4">
        <v>137.75</v>
      </c>
      <c r="D80" s="4">
        <v>65.2</v>
      </c>
      <c r="E80" s="4">
        <v>0</v>
      </c>
      <c r="F80" s="4">
        <v>0</v>
      </c>
      <c r="G80" s="4">
        <v>0</v>
      </c>
      <c r="H80" s="4">
        <v>211.26</v>
      </c>
      <c r="I80" s="5">
        <f>39717 / 86400</f>
        <v>0.45968750000000003</v>
      </c>
      <c r="J80" s="4">
        <v>0</v>
      </c>
      <c r="K80" s="4">
        <v>0</v>
      </c>
      <c r="L80" s="4">
        <v>19.149999999999999</v>
      </c>
      <c r="M80" s="4">
        <v>83</v>
      </c>
      <c r="N80" s="5">
        <f>25 / 86400</f>
        <v>2.8935185185185184E-4</v>
      </c>
      <c r="O80" s="4">
        <v>0.06</v>
      </c>
      <c r="P80" s="4" t="s">
        <v>28</v>
      </c>
      <c r="Q80" s="4" t="s">
        <v>28</v>
      </c>
      <c r="R80" s="4">
        <v>204</v>
      </c>
      <c r="S80" s="4">
        <v>96.56</v>
      </c>
      <c r="T80" s="4">
        <v>885</v>
      </c>
      <c r="U80" s="4">
        <v>418.91</v>
      </c>
      <c r="V80" s="4">
        <v>471</v>
      </c>
      <c r="W80" s="4">
        <v>222.95</v>
      </c>
      <c r="X80" s="4">
        <v>81</v>
      </c>
      <c r="Y80" s="4">
        <v>38.340000000000003</v>
      </c>
      <c r="Z80" s="5">
        <f>1012 / 86400</f>
        <v>1.1712962962962963E-2</v>
      </c>
      <c r="AA80" s="4">
        <v>2.5499999999999998</v>
      </c>
      <c r="AB80" s="4" t="s">
        <v>28</v>
      </c>
    </row>
    <row r="81" spans="1:28" s="6" customFormat="1" ht="15.75" x14ac:dyDescent="0.25">
      <c r="A81" s="6" t="s">
        <v>28</v>
      </c>
      <c r="B81" s="6" t="s">
        <v>29</v>
      </c>
      <c r="C81" s="6">
        <v>137.75</v>
      </c>
      <c r="D81" s="6">
        <v>65.2</v>
      </c>
      <c r="E81" s="6">
        <v>0</v>
      </c>
      <c r="F81" s="6">
        <v>0</v>
      </c>
      <c r="G81" s="6">
        <v>0</v>
      </c>
      <c r="H81" s="6">
        <v>211.26</v>
      </c>
      <c r="I81" s="7">
        <f>39717 / 86400</f>
        <v>0.45968750000000003</v>
      </c>
      <c r="J81" s="6">
        <v>0</v>
      </c>
      <c r="K81" s="6">
        <v>0</v>
      </c>
      <c r="L81" s="6">
        <v>19.149999999999999</v>
      </c>
      <c r="M81" s="6">
        <v>83</v>
      </c>
      <c r="N81" s="7">
        <f>25 / 86400</f>
        <v>2.8935185185185184E-4</v>
      </c>
      <c r="O81" s="6">
        <v>0.06</v>
      </c>
      <c r="P81" s="6" t="s">
        <v>28</v>
      </c>
      <c r="Q81" s="6" t="s">
        <v>28</v>
      </c>
      <c r="R81" s="6">
        <v>204</v>
      </c>
      <c r="S81" s="6">
        <v>96.56</v>
      </c>
      <c r="T81" s="6">
        <v>885</v>
      </c>
      <c r="U81" s="6">
        <v>418.91</v>
      </c>
      <c r="V81" s="6">
        <v>471</v>
      </c>
      <c r="W81" s="6">
        <v>222.95</v>
      </c>
      <c r="X81" s="6">
        <v>81</v>
      </c>
      <c r="Y81" s="6">
        <v>38.340000000000003</v>
      </c>
      <c r="Z81" s="7">
        <f>1012 / 86400</f>
        <v>1.1712962962962963E-2</v>
      </c>
      <c r="AA81" s="6">
        <v>2.5499999999999998</v>
      </c>
      <c r="AB81" s="6" t="s">
        <v>28</v>
      </c>
    </row>
    <row r="82" spans="1:28" s="3" customFormat="1" ht="15.75" x14ac:dyDescent="0.25">
      <c r="A82" s="4" t="s">
        <v>71</v>
      </c>
      <c r="B82" s="4" t="s">
        <v>28</v>
      </c>
      <c r="C82" s="4">
        <v>248.69</v>
      </c>
      <c r="D82" s="4">
        <v>181.42</v>
      </c>
      <c r="E82" s="4">
        <v>0</v>
      </c>
      <c r="F82" s="4">
        <v>0</v>
      </c>
      <c r="G82" s="4">
        <v>0</v>
      </c>
      <c r="H82" s="4">
        <v>137.08000000000001</v>
      </c>
      <c r="I82" s="5">
        <f>29307 / 86400</f>
        <v>0.3392013888888889</v>
      </c>
      <c r="J82" s="4">
        <v>0</v>
      </c>
      <c r="K82" s="4">
        <v>0</v>
      </c>
      <c r="L82" s="4">
        <v>16.84</v>
      </c>
      <c r="M82" s="4">
        <v>91</v>
      </c>
      <c r="N82" s="5">
        <f>83 / 86400</f>
        <v>9.6064814814814819E-4</v>
      </c>
      <c r="O82" s="4">
        <v>0.28000000000000003</v>
      </c>
      <c r="P82" s="4" t="s">
        <v>28</v>
      </c>
      <c r="Q82" s="4" t="s">
        <v>28</v>
      </c>
      <c r="R82" s="4">
        <v>323</v>
      </c>
      <c r="S82" s="4">
        <v>235.62</v>
      </c>
      <c r="T82" s="4">
        <v>987</v>
      </c>
      <c r="U82" s="4">
        <v>720</v>
      </c>
      <c r="V82" s="4">
        <v>867</v>
      </c>
      <c r="W82" s="4">
        <v>632.46</v>
      </c>
      <c r="X82" s="4">
        <v>842</v>
      </c>
      <c r="Y82" s="4">
        <v>614.23</v>
      </c>
      <c r="Z82" s="5">
        <f>1526 / 86400</f>
        <v>1.7662037037037039E-2</v>
      </c>
      <c r="AA82" s="4">
        <v>5.21</v>
      </c>
      <c r="AB82" s="4" t="s">
        <v>28</v>
      </c>
    </row>
    <row r="83" spans="1:28" s="6" customFormat="1" ht="15.75" x14ac:dyDescent="0.25">
      <c r="A83" s="6" t="s">
        <v>28</v>
      </c>
      <c r="B83" s="6" t="s">
        <v>29</v>
      </c>
      <c r="C83" s="6">
        <v>248.69</v>
      </c>
      <c r="D83" s="6">
        <v>181.42</v>
      </c>
      <c r="E83" s="6">
        <v>0</v>
      </c>
      <c r="F83" s="6">
        <v>0</v>
      </c>
      <c r="G83" s="6">
        <v>0</v>
      </c>
      <c r="H83" s="6">
        <v>137.08000000000001</v>
      </c>
      <c r="I83" s="7">
        <f>29307 / 86400</f>
        <v>0.3392013888888889</v>
      </c>
      <c r="J83" s="6">
        <v>0</v>
      </c>
      <c r="K83" s="6">
        <v>0</v>
      </c>
      <c r="L83" s="6">
        <v>16.84</v>
      </c>
      <c r="M83" s="6">
        <v>91</v>
      </c>
      <c r="N83" s="7">
        <f>83 / 86400</f>
        <v>9.6064814814814819E-4</v>
      </c>
      <c r="O83" s="6">
        <v>0.28000000000000003</v>
      </c>
      <c r="P83" s="6" t="s">
        <v>28</v>
      </c>
      <c r="Q83" s="6" t="s">
        <v>28</v>
      </c>
      <c r="R83" s="6">
        <v>323</v>
      </c>
      <c r="S83" s="6">
        <v>235.62</v>
      </c>
      <c r="T83" s="6">
        <v>987</v>
      </c>
      <c r="U83" s="6">
        <v>720</v>
      </c>
      <c r="V83" s="6">
        <v>867</v>
      </c>
      <c r="W83" s="6">
        <v>632.46</v>
      </c>
      <c r="X83" s="6">
        <v>842</v>
      </c>
      <c r="Y83" s="6">
        <v>614.23</v>
      </c>
      <c r="Z83" s="7">
        <f>1526 / 86400</f>
        <v>1.7662037037037039E-2</v>
      </c>
      <c r="AA83" s="6">
        <v>5.21</v>
      </c>
      <c r="AB83" s="6" t="s">
        <v>28</v>
      </c>
    </row>
    <row r="84" spans="1:28" s="3" customFormat="1" ht="15.75" x14ac:dyDescent="0.25">
      <c r="A84" s="4" t="s">
        <v>72</v>
      </c>
      <c r="B84" s="4" t="s">
        <v>28</v>
      </c>
      <c r="C84" s="4">
        <v>311.7</v>
      </c>
      <c r="D84" s="4">
        <v>124.37</v>
      </c>
      <c r="E84" s="4">
        <v>0</v>
      </c>
      <c r="F84" s="4">
        <v>0</v>
      </c>
      <c r="G84" s="4">
        <v>0</v>
      </c>
      <c r="H84" s="4">
        <v>250.63</v>
      </c>
      <c r="I84" s="5">
        <f>50992 / 86400</f>
        <v>0.59018518518518515</v>
      </c>
      <c r="J84" s="4">
        <v>0</v>
      </c>
      <c r="K84" s="4">
        <v>0</v>
      </c>
      <c r="L84" s="4">
        <v>17.690000000000001</v>
      </c>
      <c r="M84" s="4">
        <v>74</v>
      </c>
      <c r="N84" s="5">
        <f>0 / 86400</f>
        <v>0</v>
      </c>
      <c r="O84" s="4">
        <v>0</v>
      </c>
      <c r="P84" s="4" t="s">
        <v>28</v>
      </c>
      <c r="Q84" s="4" t="s">
        <v>28</v>
      </c>
      <c r="R84" s="4">
        <v>588</v>
      </c>
      <c r="S84" s="4">
        <v>234.61</v>
      </c>
      <c r="T84" s="4">
        <v>1500</v>
      </c>
      <c r="U84" s="4">
        <v>598.5</v>
      </c>
      <c r="V84" s="4">
        <v>901</v>
      </c>
      <c r="W84" s="4">
        <v>359.5</v>
      </c>
      <c r="X84" s="4">
        <v>441</v>
      </c>
      <c r="Y84" s="4">
        <v>175.96</v>
      </c>
      <c r="Z84" s="5">
        <f>4174 / 86400</f>
        <v>4.8310185185185185E-2</v>
      </c>
      <c r="AA84" s="4">
        <v>8.19</v>
      </c>
      <c r="AB84" s="4" t="s">
        <v>28</v>
      </c>
    </row>
    <row r="85" spans="1:28" s="6" customFormat="1" ht="15.75" x14ac:dyDescent="0.25">
      <c r="A85" s="6" t="s">
        <v>28</v>
      </c>
      <c r="B85" s="6" t="s">
        <v>29</v>
      </c>
      <c r="C85" s="6">
        <v>311.7</v>
      </c>
      <c r="D85" s="6">
        <v>124.37</v>
      </c>
      <c r="E85" s="6">
        <v>0</v>
      </c>
      <c r="F85" s="6">
        <v>0</v>
      </c>
      <c r="G85" s="6">
        <v>0</v>
      </c>
      <c r="H85" s="6">
        <v>250.63</v>
      </c>
      <c r="I85" s="7">
        <f>50992 / 86400</f>
        <v>0.59018518518518515</v>
      </c>
      <c r="J85" s="6">
        <v>0</v>
      </c>
      <c r="K85" s="6">
        <v>0</v>
      </c>
      <c r="L85" s="6">
        <v>17.690000000000001</v>
      </c>
      <c r="M85" s="6">
        <v>74</v>
      </c>
      <c r="N85" s="7">
        <f>0 / 86400</f>
        <v>0</v>
      </c>
      <c r="O85" s="6">
        <v>0</v>
      </c>
      <c r="P85" s="6" t="s">
        <v>28</v>
      </c>
      <c r="Q85" s="6" t="s">
        <v>28</v>
      </c>
      <c r="R85" s="6">
        <v>588</v>
      </c>
      <c r="S85" s="6">
        <v>234.61</v>
      </c>
      <c r="T85" s="6">
        <v>1500</v>
      </c>
      <c r="U85" s="6">
        <v>598.5</v>
      </c>
      <c r="V85" s="6">
        <v>901</v>
      </c>
      <c r="W85" s="6">
        <v>359.5</v>
      </c>
      <c r="X85" s="6">
        <v>441</v>
      </c>
      <c r="Y85" s="6">
        <v>175.96</v>
      </c>
      <c r="Z85" s="7">
        <f>4174 / 86400</f>
        <v>4.8310185185185185E-2</v>
      </c>
      <c r="AA85" s="6">
        <v>8.19</v>
      </c>
      <c r="AB85" s="6" t="s">
        <v>28</v>
      </c>
    </row>
    <row r="86" spans="1:28" s="3" customFormat="1" ht="15.75" x14ac:dyDescent="0.25">
      <c r="A86" s="4" t="s">
        <v>73</v>
      </c>
      <c r="B86" s="4" t="s">
        <v>28</v>
      </c>
      <c r="C86" s="4">
        <v>166.09</v>
      </c>
      <c r="D86" s="4">
        <v>75.67</v>
      </c>
      <c r="E86" s="4">
        <v>0</v>
      </c>
      <c r="F86" s="4">
        <v>0</v>
      </c>
      <c r="G86" s="4">
        <v>0</v>
      </c>
      <c r="H86" s="4">
        <v>219.48</v>
      </c>
      <c r="I86" s="5">
        <f>47080 / 86400</f>
        <v>0.5449074074074074</v>
      </c>
      <c r="J86" s="4">
        <v>0</v>
      </c>
      <c r="K86" s="4">
        <v>0</v>
      </c>
      <c r="L86" s="4">
        <v>16.78</v>
      </c>
      <c r="M86" s="4">
        <v>94</v>
      </c>
      <c r="N86" s="5">
        <f>35 / 86400</f>
        <v>4.0509259259259258E-4</v>
      </c>
      <c r="O86" s="4">
        <v>7.0000000000000007E-2</v>
      </c>
      <c r="P86" s="4" t="s">
        <v>28</v>
      </c>
      <c r="Q86" s="4" t="s">
        <v>28</v>
      </c>
      <c r="R86" s="4">
        <v>320</v>
      </c>
      <c r="S86" s="4">
        <v>145.80000000000001</v>
      </c>
      <c r="T86" s="4">
        <v>905</v>
      </c>
      <c r="U86" s="4">
        <v>412.34</v>
      </c>
      <c r="V86" s="4">
        <v>495</v>
      </c>
      <c r="W86" s="4">
        <v>225.53</v>
      </c>
      <c r="X86" s="4">
        <v>111</v>
      </c>
      <c r="Y86" s="4">
        <v>50.57</v>
      </c>
      <c r="Z86" s="5">
        <f>2604 / 86400</f>
        <v>3.0138888888888889E-2</v>
      </c>
      <c r="AA86" s="4">
        <v>5.53</v>
      </c>
      <c r="AB86" s="4" t="s">
        <v>28</v>
      </c>
    </row>
    <row r="87" spans="1:28" s="6" customFormat="1" ht="15.75" x14ac:dyDescent="0.25">
      <c r="A87" s="6" t="s">
        <v>28</v>
      </c>
      <c r="B87" s="6" t="s">
        <v>29</v>
      </c>
      <c r="C87" s="6">
        <v>166.09</v>
      </c>
      <c r="D87" s="6">
        <v>75.67</v>
      </c>
      <c r="E87" s="6">
        <v>0</v>
      </c>
      <c r="F87" s="6">
        <v>0</v>
      </c>
      <c r="G87" s="6">
        <v>0</v>
      </c>
      <c r="H87" s="6">
        <v>219.48</v>
      </c>
      <c r="I87" s="7">
        <f>47080 / 86400</f>
        <v>0.5449074074074074</v>
      </c>
      <c r="J87" s="6">
        <v>0</v>
      </c>
      <c r="K87" s="6">
        <v>0</v>
      </c>
      <c r="L87" s="6">
        <v>16.78</v>
      </c>
      <c r="M87" s="6">
        <v>94</v>
      </c>
      <c r="N87" s="7">
        <f>35 / 86400</f>
        <v>4.0509259259259258E-4</v>
      </c>
      <c r="O87" s="6">
        <v>7.0000000000000007E-2</v>
      </c>
      <c r="P87" s="6" t="s">
        <v>28</v>
      </c>
      <c r="Q87" s="6" t="s">
        <v>28</v>
      </c>
      <c r="R87" s="6">
        <v>320</v>
      </c>
      <c r="S87" s="6">
        <v>145.80000000000001</v>
      </c>
      <c r="T87" s="6">
        <v>905</v>
      </c>
      <c r="U87" s="6">
        <v>412.34</v>
      </c>
      <c r="V87" s="6">
        <v>495</v>
      </c>
      <c r="W87" s="6">
        <v>225.53</v>
      </c>
      <c r="X87" s="6">
        <v>111</v>
      </c>
      <c r="Y87" s="6">
        <v>50.57</v>
      </c>
      <c r="Z87" s="7">
        <f>2604 / 86400</f>
        <v>3.0138888888888889E-2</v>
      </c>
      <c r="AA87" s="6">
        <v>5.53</v>
      </c>
      <c r="AB87" s="6" t="s">
        <v>28</v>
      </c>
    </row>
    <row r="88" spans="1:28" s="3" customFormat="1" ht="15.75" x14ac:dyDescent="0.25">
      <c r="A88" s="4" t="s">
        <v>74</v>
      </c>
      <c r="B88" s="4" t="s">
        <v>28</v>
      </c>
      <c r="C88" s="4">
        <v>25.2</v>
      </c>
      <c r="D88" s="4">
        <v>12.14</v>
      </c>
      <c r="E88" s="4">
        <v>0</v>
      </c>
      <c r="F88" s="4">
        <v>0</v>
      </c>
      <c r="G88" s="4">
        <v>0</v>
      </c>
      <c r="H88" s="4">
        <v>207.55</v>
      </c>
      <c r="I88" s="5">
        <f>40757 / 86400</f>
        <v>0.47172453703703704</v>
      </c>
      <c r="J88" s="4">
        <v>0</v>
      </c>
      <c r="K88" s="4">
        <v>0</v>
      </c>
      <c r="L88" s="4">
        <v>18.329999999999998</v>
      </c>
      <c r="M88" s="4">
        <v>78</v>
      </c>
      <c r="N88" s="5">
        <f>0 / 86400</f>
        <v>0</v>
      </c>
      <c r="O88" s="4">
        <v>0</v>
      </c>
      <c r="P88" s="4" t="s">
        <v>28</v>
      </c>
      <c r="Q88" s="4" t="s">
        <v>28</v>
      </c>
      <c r="R88" s="4">
        <v>4</v>
      </c>
      <c r="S88" s="4">
        <v>1.93</v>
      </c>
      <c r="T88" s="4">
        <v>244</v>
      </c>
      <c r="U88" s="4">
        <v>117.56</v>
      </c>
      <c r="V88" s="4">
        <v>779</v>
      </c>
      <c r="W88" s="4">
        <v>375.34</v>
      </c>
      <c r="X88" s="4">
        <v>0</v>
      </c>
      <c r="Y88" s="4">
        <v>0</v>
      </c>
      <c r="Z88" s="5">
        <f>1090 / 86400</f>
        <v>1.2615740740740742E-2</v>
      </c>
      <c r="AA88" s="4">
        <v>2.67</v>
      </c>
      <c r="AB88" s="4" t="s">
        <v>28</v>
      </c>
    </row>
    <row r="89" spans="1:28" s="6" customFormat="1" ht="15.75" x14ac:dyDescent="0.25">
      <c r="A89" s="6" t="s">
        <v>28</v>
      </c>
      <c r="B89" s="6" t="s">
        <v>29</v>
      </c>
      <c r="C89" s="6">
        <v>25.2</v>
      </c>
      <c r="D89" s="6">
        <v>12.14</v>
      </c>
      <c r="E89" s="6">
        <v>0</v>
      </c>
      <c r="F89" s="6">
        <v>0</v>
      </c>
      <c r="G89" s="6">
        <v>0</v>
      </c>
      <c r="H89" s="6">
        <v>207.55</v>
      </c>
      <c r="I89" s="7">
        <f>40757 / 86400</f>
        <v>0.47172453703703704</v>
      </c>
      <c r="J89" s="6">
        <v>0</v>
      </c>
      <c r="K89" s="6">
        <v>0</v>
      </c>
      <c r="L89" s="6">
        <v>18.329999999999998</v>
      </c>
      <c r="M89" s="6">
        <v>78</v>
      </c>
      <c r="N89" s="7">
        <f>0 / 86400</f>
        <v>0</v>
      </c>
      <c r="O89" s="6">
        <v>0</v>
      </c>
      <c r="P89" s="6" t="s">
        <v>28</v>
      </c>
      <c r="Q89" s="6" t="s">
        <v>28</v>
      </c>
      <c r="R89" s="6">
        <v>4</v>
      </c>
      <c r="S89" s="6">
        <v>1.93</v>
      </c>
      <c r="T89" s="6">
        <v>244</v>
      </c>
      <c r="U89" s="6">
        <v>117.56</v>
      </c>
      <c r="V89" s="6">
        <v>779</v>
      </c>
      <c r="W89" s="6">
        <v>375.34</v>
      </c>
      <c r="X89" s="6">
        <v>0</v>
      </c>
      <c r="Y89" s="6">
        <v>0</v>
      </c>
      <c r="Z89" s="7">
        <f>1090 / 86400</f>
        <v>1.2615740740740742E-2</v>
      </c>
      <c r="AA89" s="6">
        <v>2.67</v>
      </c>
      <c r="AB89" s="6" t="s">
        <v>28</v>
      </c>
    </row>
    <row r="90" spans="1:28" s="3" customFormat="1" ht="15.75" x14ac:dyDescent="0.25">
      <c r="A90" s="4" t="s">
        <v>75</v>
      </c>
      <c r="B90" s="4" t="s">
        <v>28</v>
      </c>
      <c r="C90" s="4">
        <v>167.91</v>
      </c>
      <c r="D90" s="4">
        <v>84.01</v>
      </c>
      <c r="E90" s="4">
        <v>0</v>
      </c>
      <c r="F90" s="4">
        <v>0</v>
      </c>
      <c r="G90" s="4">
        <v>0</v>
      </c>
      <c r="H90" s="4">
        <v>199.87</v>
      </c>
      <c r="I90" s="5">
        <f>45325 / 86400</f>
        <v>0.52459490740740744</v>
      </c>
      <c r="J90" s="4">
        <v>0</v>
      </c>
      <c r="K90" s="4">
        <v>0</v>
      </c>
      <c r="L90" s="4">
        <v>15.88</v>
      </c>
      <c r="M90" s="4">
        <v>98</v>
      </c>
      <c r="N90" s="5">
        <f>103 / 86400</f>
        <v>1.1921296296296296E-3</v>
      </c>
      <c r="O90" s="4">
        <v>0.23</v>
      </c>
      <c r="P90" s="4" t="s">
        <v>28</v>
      </c>
      <c r="Q90" s="4" t="s">
        <v>28</v>
      </c>
      <c r="R90" s="4">
        <v>256</v>
      </c>
      <c r="S90" s="4">
        <v>128.08000000000001</v>
      </c>
      <c r="T90" s="4">
        <v>1015</v>
      </c>
      <c r="U90" s="4">
        <v>507.82</v>
      </c>
      <c r="V90" s="4">
        <v>618</v>
      </c>
      <c r="W90" s="4">
        <v>309.2</v>
      </c>
      <c r="X90" s="4">
        <v>130</v>
      </c>
      <c r="Y90" s="4">
        <v>65.040000000000006</v>
      </c>
      <c r="Z90" s="5">
        <f>3351 / 86400</f>
        <v>3.878472222222222E-2</v>
      </c>
      <c r="AA90" s="4">
        <v>7.39</v>
      </c>
      <c r="AB90" s="4" t="s">
        <v>28</v>
      </c>
    </row>
    <row r="91" spans="1:28" s="6" customFormat="1" ht="15.75" x14ac:dyDescent="0.25">
      <c r="A91" s="6" t="s">
        <v>28</v>
      </c>
      <c r="B91" s="6" t="s">
        <v>29</v>
      </c>
      <c r="C91" s="6">
        <v>167.91</v>
      </c>
      <c r="D91" s="6">
        <v>84.01</v>
      </c>
      <c r="E91" s="6">
        <v>0</v>
      </c>
      <c r="F91" s="6">
        <v>0</v>
      </c>
      <c r="G91" s="6">
        <v>0</v>
      </c>
      <c r="H91" s="6">
        <v>199.87</v>
      </c>
      <c r="I91" s="7">
        <f>45325 / 86400</f>
        <v>0.52459490740740744</v>
      </c>
      <c r="J91" s="6">
        <v>0</v>
      </c>
      <c r="K91" s="6">
        <v>0</v>
      </c>
      <c r="L91" s="6">
        <v>15.88</v>
      </c>
      <c r="M91" s="6">
        <v>98</v>
      </c>
      <c r="N91" s="7">
        <f>103 / 86400</f>
        <v>1.1921296296296296E-3</v>
      </c>
      <c r="O91" s="6">
        <v>0.23</v>
      </c>
      <c r="P91" s="6" t="s">
        <v>28</v>
      </c>
      <c r="Q91" s="6" t="s">
        <v>28</v>
      </c>
      <c r="R91" s="6">
        <v>256</v>
      </c>
      <c r="S91" s="6">
        <v>128.08000000000001</v>
      </c>
      <c r="T91" s="6">
        <v>1015</v>
      </c>
      <c r="U91" s="6">
        <v>507.82</v>
      </c>
      <c r="V91" s="6">
        <v>618</v>
      </c>
      <c r="W91" s="6">
        <v>309.2</v>
      </c>
      <c r="X91" s="6">
        <v>130</v>
      </c>
      <c r="Y91" s="6">
        <v>65.040000000000006</v>
      </c>
      <c r="Z91" s="7">
        <f>3351 / 86400</f>
        <v>3.878472222222222E-2</v>
      </c>
      <c r="AA91" s="6">
        <v>7.39</v>
      </c>
      <c r="AB91" s="6" t="s">
        <v>28</v>
      </c>
    </row>
    <row r="92" spans="1:28" s="3" customFormat="1" ht="15.75" x14ac:dyDescent="0.25">
      <c r="A92" s="4" t="s">
        <v>76</v>
      </c>
      <c r="B92" s="4" t="s">
        <v>28</v>
      </c>
      <c r="C92" s="4">
        <v>341.45</v>
      </c>
      <c r="D92" s="4">
        <v>107.41</v>
      </c>
      <c r="E92" s="4">
        <v>0</v>
      </c>
      <c r="F92" s="4">
        <v>0</v>
      </c>
      <c r="G92" s="4">
        <v>0</v>
      </c>
      <c r="H92" s="4">
        <v>317.91000000000003</v>
      </c>
      <c r="I92" s="5">
        <f>61864 / 86400</f>
        <v>0.7160185185185185</v>
      </c>
      <c r="J92" s="4">
        <v>0</v>
      </c>
      <c r="K92" s="4">
        <v>0</v>
      </c>
      <c r="L92" s="4">
        <v>18.5</v>
      </c>
      <c r="M92" s="4">
        <v>96</v>
      </c>
      <c r="N92" s="5">
        <f>51 / 86400</f>
        <v>5.9027777777777778E-4</v>
      </c>
      <c r="O92" s="4">
        <v>0.08</v>
      </c>
      <c r="P92" s="4" t="s">
        <v>28</v>
      </c>
      <c r="Q92" s="4" t="s">
        <v>28</v>
      </c>
      <c r="R92" s="4">
        <v>618</v>
      </c>
      <c r="S92" s="4">
        <v>194.4</v>
      </c>
      <c r="T92" s="4">
        <v>1754</v>
      </c>
      <c r="U92" s="4">
        <v>551.73</v>
      </c>
      <c r="V92" s="4">
        <v>756</v>
      </c>
      <c r="W92" s="4">
        <v>237.81</v>
      </c>
      <c r="X92" s="4">
        <v>417</v>
      </c>
      <c r="Y92" s="4">
        <v>131.16999999999999</v>
      </c>
      <c r="Z92" s="5">
        <f>5114 / 86400</f>
        <v>5.9189814814814813E-2</v>
      </c>
      <c r="AA92" s="4">
        <v>8.27</v>
      </c>
      <c r="AB92" s="4" t="s">
        <v>28</v>
      </c>
    </row>
    <row r="93" spans="1:28" s="6" customFormat="1" ht="15.75" x14ac:dyDescent="0.25">
      <c r="A93" s="6" t="s">
        <v>28</v>
      </c>
      <c r="B93" s="6" t="s">
        <v>29</v>
      </c>
      <c r="C93" s="6">
        <v>341.45</v>
      </c>
      <c r="D93" s="6">
        <v>107.41</v>
      </c>
      <c r="E93" s="6">
        <v>0</v>
      </c>
      <c r="F93" s="6">
        <v>0</v>
      </c>
      <c r="G93" s="6">
        <v>0</v>
      </c>
      <c r="H93" s="6">
        <v>317.91000000000003</v>
      </c>
      <c r="I93" s="7">
        <f>61864 / 86400</f>
        <v>0.7160185185185185</v>
      </c>
      <c r="J93" s="6">
        <v>0</v>
      </c>
      <c r="K93" s="6">
        <v>0</v>
      </c>
      <c r="L93" s="6">
        <v>18.5</v>
      </c>
      <c r="M93" s="6">
        <v>96</v>
      </c>
      <c r="N93" s="7">
        <f>51 / 86400</f>
        <v>5.9027777777777778E-4</v>
      </c>
      <c r="O93" s="6">
        <v>0.08</v>
      </c>
      <c r="P93" s="6" t="s">
        <v>28</v>
      </c>
      <c r="Q93" s="6" t="s">
        <v>28</v>
      </c>
      <c r="R93" s="6">
        <v>618</v>
      </c>
      <c r="S93" s="6">
        <v>194.4</v>
      </c>
      <c r="T93" s="6">
        <v>1754</v>
      </c>
      <c r="U93" s="6">
        <v>551.73</v>
      </c>
      <c r="V93" s="6">
        <v>756</v>
      </c>
      <c r="W93" s="6">
        <v>237.81</v>
      </c>
      <c r="X93" s="6">
        <v>417</v>
      </c>
      <c r="Y93" s="6">
        <v>131.16999999999999</v>
      </c>
      <c r="Z93" s="7">
        <f>5114 / 86400</f>
        <v>5.9189814814814813E-2</v>
      </c>
      <c r="AA93" s="6">
        <v>8.27</v>
      </c>
      <c r="AB93" s="6" t="s">
        <v>28</v>
      </c>
    </row>
    <row r="94" spans="1:28" s="3" customFormat="1" ht="15.75" x14ac:dyDescent="0.25">
      <c r="A94" s="4" t="s">
        <v>77</v>
      </c>
      <c r="B94" s="4" t="s">
        <v>28</v>
      </c>
      <c r="C94" s="4">
        <v>103.5</v>
      </c>
      <c r="D94" s="4">
        <v>48.43</v>
      </c>
      <c r="E94" s="4">
        <v>0</v>
      </c>
      <c r="F94" s="4">
        <v>0</v>
      </c>
      <c r="G94" s="4">
        <v>0</v>
      </c>
      <c r="H94" s="4">
        <v>213.7</v>
      </c>
      <c r="I94" s="5">
        <f>0 / 86400</f>
        <v>0</v>
      </c>
      <c r="J94" s="4">
        <v>0</v>
      </c>
      <c r="K94" s="4">
        <v>0</v>
      </c>
      <c r="L94" s="4">
        <v>0</v>
      </c>
      <c r="M94" s="4">
        <v>93</v>
      </c>
      <c r="N94" s="5">
        <f>47 / 86400</f>
        <v>5.4398148148148144E-4</v>
      </c>
      <c r="O94" s="4">
        <v>0</v>
      </c>
      <c r="P94" s="4" t="s">
        <v>28</v>
      </c>
      <c r="Q94" s="4" t="s">
        <v>28</v>
      </c>
      <c r="R94" s="4">
        <v>137</v>
      </c>
      <c r="S94" s="4">
        <v>64.11</v>
      </c>
      <c r="T94" s="4">
        <v>717</v>
      </c>
      <c r="U94" s="4">
        <v>335.52</v>
      </c>
      <c r="V94" s="4">
        <v>422</v>
      </c>
      <c r="W94" s="4">
        <v>197.47</v>
      </c>
      <c r="X94" s="4">
        <v>44</v>
      </c>
      <c r="Y94" s="4">
        <v>20.59</v>
      </c>
      <c r="Z94" s="5">
        <f>0 / 86400</f>
        <v>0</v>
      </c>
      <c r="AA94" s="4">
        <v>0</v>
      </c>
      <c r="AB94" s="4" t="s">
        <v>28</v>
      </c>
    </row>
    <row r="95" spans="1:28" s="6" customFormat="1" ht="15.75" x14ac:dyDescent="0.25">
      <c r="A95" s="6" t="s">
        <v>28</v>
      </c>
      <c r="B95" s="6" t="s">
        <v>29</v>
      </c>
      <c r="C95" s="6">
        <v>103.5</v>
      </c>
      <c r="D95" s="6">
        <v>48.43</v>
      </c>
      <c r="E95" s="6">
        <v>0</v>
      </c>
      <c r="F95" s="6">
        <v>0</v>
      </c>
      <c r="G95" s="6">
        <v>0</v>
      </c>
      <c r="H95" s="6">
        <v>213.7</v>
      </c>
      <c r="I95" s="7">
        <f>0 / 86400</f>
        <v>0</v>
      </c>
      <c r="J95" s="6">
        <v>0</v>
      </c>
      <c r="K95" s="6">
        <v>0</v>
      </c>
      <c r="L95" s="6">
        <v>0</v>
      </c>
      <c r="M95" s="6">
        <v>93</v>
      </c>
      <c r="N95" s="7">
        <f>47 / 86400</f>
        <v>5.4398148148148144E-4</v>
      </c>
      <c r="O95" s="6">
        <v>0</v>
      </c>
      <c r="P95" s="6" t="s">
        <v>28</v>
      </c>
      <c r="Q95" s="6" t="s">
        <v>28</v>
      </c>
      <c r="R95" s="6">
        <v>137</v>
      </c>
      <c r="S95" s="6">
        <v>64.11</v>
      </c>
      <c r="T95" s="6">
        <v>717</v>
      </c>
      <c r="U95" s="6">
        <v>335.52</v>
      </c>
      <c r="V95" s="6">
        <v>422</v>
      </c>
      <c r="W95" s="6">
        <v>197.47</v>
      </c>
      <c r="X95" s="6">
        <v>44</v>
      </c>
      <c r="Y95" s="6">
        <v>20.59</v>
      </c>
      <c r="Z95" s="7">
        <f>0 / 86400</f>
        <v>0</v>
      </c>
      <c r="AA95" s="6">
        <v>0</v>
      </c>
      <c r="AB95" s="6" t="s">
        <v>28</v>
      </c>
    </row>
    <row r="96" spans="1:28" s="3" customFormat="1" ht="15.75" x14ac:dyDescent="0.25">
      <c r="A96" s="4" t="s">
        <v>78</v>
      </c>
      <c r="B96" s="4" t="s">
        <v>28</v>
      </c>
      <c r="C96" s="4">
        <v>226.5</v>
      </c>
      <c r="D96" s="4">
        <v>5071.6499999999996</v>
      </c>
      <c r="E96" s="4">
        <v>0</v>
      </c>
      <c r="F96" s="4">
        <v>0</v>
      </c>
      <c r="G96" s="4">
        <v>0</v>
      </c>
      <c r="H96" s="4">
        <v>4.47</v>
      </c>
      <c r="I96" s="5">
        <f>48074 / 86400</f>
        <v>0.55641203703703701</v>
      </c>
      <c r="J96" s="4">
        <v>0</v>
      </c>
      <c r="K96" s="4">
        <v>0</v>
      </c>
      <c r="L96" s="4">
        <v>0.33</v>
      </c>
      <c r="M96" s="4">
        <v>71</v>
      </c>
      <c r="N96" s="5">
        <f t="shared" ref="N96:N101" si="2">0 / 86400</f>
        <v>0</v>
      </c>
      <c r="O96" s="4">
        <v>0</v>
      </c>
      <c r="P96" s="4" t="s">
        <v>28</v>
      </c>
      <c r="Q96" s="4" t="s">
        <v>28</v>
      </c>
      <c r="R96" s="4">
        <v>449</v>
      </c>
      <c r="S96" s="4">
        <v>10053.74</v>
      </c>
      <c r="T96" s="4">
        <v>1113</v>
      </c>
      <c r="U96" s="4">
        <v>24921.63</v>
      </c>
      <c r="V96" s="4">
        <v>870</v>
      </c>
      <c r="W96" s="4">
        <v>19480.52</v>
      </c>
      <c r="X96" s="4">
        <v>254</v>
      </c>
      <c r="Y96" s="4">
        <v>5687.42</v>
      </c>
      <c r="Z96" s="5">
        <f>44886 / 86400</f>
        <v>0.51951388888888894</v>
      </c>
      <c r="AA96" s="4">
        <v>93.37</v>
      </c>
      <c r="AB96" s="4" t="s">
        <v>28</v>
      </c>
    </row>
    <row r="97" spans="1:28" s="6" customFormat="1" ht="15.75" x14ac:dyDescent="0.25">
      <c r="A97" s="6" t="s">
        <v>28</v>
      </c>
      <c r="B97" s="6" t="s">
        <v>29</v>
      </c>
      <c r="C97" s="6">
        <v>226.5</v>
      </c>
      <c r="D97" s="6">
        <v>5071.6499999999996</v>
      </c>
      <c r="E97" s="6">
        <v>0</v>
      </c>
      <c r="F97" s="6">
        <v>0</v>
      </c>
      <c r="G97" s="6">
        <v>0</v>
      </c>
      <c r="H97" s="6">
        <v>4.47</v>
      </c>
      <c r="I97" s="7">
        <f>48074 / 86400</f>
        <v>0.55641203703703701</v>
      </c>
      <c r="J97" s="6">
        <v>0</v>
      </c>
      <c r="K97" s="6">
        <v>0</v>
      </c>
      <c r="L97" s="6">
        <v>0.33</v>
      </c>
      <c r="M97" s="6">
        <v>71</v>
      </c>
      <c r="N97" s="7">
        <f t="shared" si="2"/>
        <v>0</v>
      </c>
      <c r="O97" s="6">
        <v>0</v>
      </c>
      <c r="P97" s="6" t="s">
        <v>28</v>
      </c>
      <c r="Q97" s="6" t="s">
        <v>28</v>
      </c>
      <c r="R97" s="6">
        <v>449</v>
      </c>
      <c r="S97" s="6">
        <v>10053.74</v>
      </c>
      <c r="T97" s="6">
        <v>1113</v>
      </c>
      <c r="U97" s="6">
        <v>24921.63</v>
      </c>
      <c r="V97" s="6">
        <v>870</v>
      </c>
      <c r="W97" s="6">
        <v>19480.52</v>
      </c>
      <c r="X97" s="6">
        <v>254</v>
      </c>
      <c r="Y97" s="6">
        <v>5687.42</v>
      </c>
      <c r="Z97" s="7">
        <f>44886 / 86400</f>
        <v>0.51951388888888894</v>
      </c>
      <c r="AA97" s="6">
        <v>93.37</v>
      </c>
      <c r="AB97" s="6" t="s">
        <v>28</v>
      </c>
    </row>
    <row r="98" spans="1:28" s="3" customFormat="1" ht="15.75" x14ac:dyDescent="0.25">
      <c r="A98" s="4" t="s">
        <v>79</v>
      </c>
      <c r="B98" s="4" t="s">
        <v>28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f>2289 / 86400</f>
        <v>2.6493055555555554E-2</v>
      </c>
      <c r="J98" s="4">
        <v>0</v>
      </c>
      <c r="K98" s="4">
        <v>0</v>
      </c>
      <c r="L98" s="4">
        <v>0</v>
      </c>
      <c r="M98" s="4">
        <v>0</v>
      </c>
      <c r="N98" s="5">
        <f t="shared" si="2"/>
        <v>0</v>
      </c>
      <c r="O98" s="4">
        <v>0</v>
      </c>
      <c r="P98" s="4" t="s">
        <v>28</v>
      </c>
      <c r="Q98" s="4" t="s">
        <v>28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5">
        <f>931 / 86400</f>
        <v>1.0775462962962962E-2</v>
      </c>
      <c r="AA98" s="4">
        <v>40.67</v>
      </c>
      <c r="AB98" s="4" t="s">
        <v>28</v>
      </c>
    </row>
    <row r="99" spans="1:28" s="6" customFormat="1" ht="15.75" x14ac:dyDescent="0.25">
      <c r="A99" s="6" t="s">
        <v>28</v>
      </c>
      <c r="B99" s="6" t="s">
        <v>29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7">
        <f>2289 / 86400</f>
        <v>2.6493055555555554E-2</v>
      </c>
      <c r="J99" s="6">
        <v>0</v>
      </c>
      <c r="K99" s="6">
        <v>0</v>
      </c>
      <c r="L99" s="6">
        <v>0</v>
      </c>
      <c r="M99" s="6">
        <v>0</v>
      </c>
      <c r="N99" s="7">
        <f t="shared" si="2"/>
        <v>0</v>
      </c>
      <c r="O99" s="6">
        <v>0</v>
      </c>
      <c r="P99" s="6" t="s">
        <v>28</v>
      </c>
      <c r="Q99" s="6" t="s">
        <v>28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7">
        <f>931 / 86400</f>
        <v>1.0775462962962962E-2</v>
      </c>
      <c r="AA99" s="6">
        <v>40.67</v>
      </c>
      <c r="AB99" s="6" t="s">
        <v>28</v>
      </c>
    </row>
    <row r="100" spans="1:28" s="3" customFormat="1" ht="15.75" x14ac:dyDescent="0.25">
      <c r="A100" s="4" t="s">
        <v>80</v>
      </c>
      <c r="B100" s="4" t="s">
        <v>28</v>
      </c>
      <c r="C100" s="4">
        <v>26.7</v>
      </c>
      <c r="D100" s="4">
        <v>13.4</v>
      </c>
      <c r="E100" s="4">
        <v>0</v>
      </c>
      <c r="F100" s="4">
        <v>0</v>
      </c>
      <c r="G100" s="4">
        <v>0</v>
      </c>
      <c r="H100" s="4">
        <v>199.23</v>
      </c>
      <c r="I100" s="5">
        <f>45156 / 86400</f>
        <v>0.52263888888888888</v>
      </c>
      <c r="J100" s="4">
        <v>0</v>
      </c>
      <c r="K100" s="4">
        <v>0</v>
      </c>
      <c r="L100" s="4">
        <v>15.88</v>
      </c>
      <c r="M100" s="4">
        <v>68</v>
      </c>
      <c r="N100" s="5">
        <f t="shared" si="2"/>
        <v>0</v>
      </c>
      <c r="O100" s="4">
        <v>0</v>
      </c>
      <c r="P100" s="4" t="s">
        <v>28</v>
      </c>
      <c r="Q100" s="4" t="s">
        <v>28</v>
      </c>
      <c r="R100" s="4">
        <v>5</v>
      </c>
      <c r="S100" s="4">
        <v>2.5099999999999998</v>
      </c>
      <c r="T100" s="4">
        <v>255</v>
      </c>
      <c r="U100" s="4">
        <v>127.99</v>
      </c>
      <c r="V100" s="4">
        <v>855</v>
      </c>
      <c r="W100" s="4">
        <v>429.15</v>
      </c>
      <c r="X100" s="4">
        <v>2</v>
      </c>
      <c r="Y100" s="4">
        <v>1</v>
      </c>
      <c r="Z100" s="5">
        <f>1965 / 86400</f>
        <v>2.2743055555555555E-2</v>
      </c>
      <c r="AA100" s="4">
        <v>4.3499999999999996</v>
      </c>
      <c r="AB100" s="4" t="s">
        <v>28</v>
      </c>
    </row>
    <row r="101" spans="1:28" s="6" customFormat="1" ht="15.75" x14ac:dyDescent="0.25">
      <c r="A101" s="6" t="s">
        <v>28</v>
      </c>
      <c r="B101" s="6" t="s">
        <v>29</v>
      </c>
      <c r="C101" s="6">
        <v>26.7</v>
      </c>
      <c r="D101" s="6">
        <v>13.4</v>
      </c>
      <c r="E101" s="6">
        <v>0</v>
      </c>
      <c r="F101" s="6">
        <v>0</v>
      </c>
      <c r="G101" s="6">
        <v>0</v>
      </c>
      <c r="H101" s="6">
        <v>199.23</v>
      </c>
      <c r="I101" s="7">
        <f>45156 / 86400</f>
        <v>0.52263888888888888</v>
      </c>
      <c r="J101" s="6">
        <v>0</v>
      </c>
      <c r="K101" s="6">
        <v>0</v>
      </c>
      <c r="L101" s="6">
        <v>15.88</v>
      </c>
      <c r="M101" s="6">
        <v>68</v>
      </c>
      <c r="N101" s="7">
        <f t="shared" si="2"/>
        <v>0</v>
      </c>
      <c r="O101" s="6">
        <v>0</v>
      </c>
      <c r="P101" s="6" t="s">
        <v>28</v>
      </c>
      <c r="Q101" s="6" t="s">
        <v>28</v>
      </c>
      <c r="R101" s="6">
        <v>5</v>
      </c>
      <c r="S101" s="6">
        <v>2.5099999999999998</v>
      </c>
      <c r="T101" s="6">
        <v>255</v>
      </c>
      <c r="U101" s="6">
        <v>127.99</v>
      </c>
      <c r="V101" s="6">
        <v>855</v>
      </c>
      <c r="W101" s="6">
        <v>429.15</v>
      </c>
      <c r="X101" s="6">
        <v>2</v>
      </c>
      <c r="Y101" s="6">
        <v>1</v>
      </c>
      <c r="Z101" s="7">
        <f>1965 / 86400</f>
        <v>2.2743055555555555E-2</v>
      </c>
      <c r="AA101" s="6">
        <v>4.3499999999999996</v>
      </c>
      <c r="AB101" s="6" t="s">
        <v>28</v>
      </c>
    </row>
    <row r="102" spans="1:28" s="3" customFormat="1" ht="15.75" x14ac:dyDescent="0.25">
      <c r="A102" s="4" t="s">
        <v>81</v>
      </c>
      <c r="B102" s="4" t="s">
        <v>28</v>
      </c>
      <c r="C102" s="4">
        <v>139.72</v>
      </c>
      <c r="D102" s="4">
        <v>63.4</v>
      </c>
      <c r="E102" s="4">
        <v>0</v>
      </c>
      <c r="F102" s="4">
        <v>0</v>
      </c>
      <c r="G102" s="4">
        <v>0</v>
      </c>
      <c r="H102" s="4">
        <v>220.38</v>
      </c>
      <c r="I102" s="5">
        <f>56170 / 86400</f>
        <v>0.65011574074074074</v>
      </c>
      <c r="J102" s="4">
        <v>0</v>
      </c>
      <c r="K102" s="4">
        <v>0</v>
      </c>
      <c r="L102" s="4">
        <v>14.12</v>
      </c>
      <c r="M102" s="4">
        <v>91</v>
      </c>
      <c r="N102" s="5">
        <f>32 / 86400</f>
        <v>3.7037037037037035E-4</v>
      </c>
      <c r="O102" s="4">
        <v>0.06</v>
      </c>
      <c r="P102" s="4" t="s">
        <v>28</v>
      </c>
      <c r="Q102" s="4" t="s">
        <v>28</v>
      </c>
      <c r="R102" s="4">
        <v>187</v>
      </c>
      <c r="S102" s="4">
        <v>84.85</v>
      </c>
      <c r="T102" s="4">
        <v>939</v>
      </c>
      <c r="U102" s="4">
        <v>426.08</v>
      </c>
      <c r="V102" s="4">
        <v>492</v>
      </c>
      <c r="W102" s="4">
        <v>223.25</v>
      </c>
      <c r="X102" s="4">
        <v>80</v>
      </c>
      <c r="Y102" s="4">
        <v>36.299999999999997</v>
      </c>
      <c r="Z102" s="5">
        <f>2081 / 86400</f>
        <v>2.4085648148148148E-2</v>
      </c>
      <c r="AA102" s="4">
        <v>3.7</v>
      </c>
      <c r="AB102" s="4" t="s">
        <v>28</v>
      </c>
    </row>
    <row r="103" spans="1:28" s="6" customFormat="1" ht="15.75" x14ac:dyDescent="0.25">
      <c r="A103" s="6" t="s">
        <v>28</v>
      </c>
      <c r="B103" s="6" t="s">
        <v>29</v>
      </c>
      <c r="C103" s="6">
        <v>139.72</v>
      </c>
      <c r="D103" s="6">
        <v>63.4</v>
      </c>
      <c r="E103" s="6">
        <v>0</v>
      </c>
      <c r="F103" s="6">
        <v>0</v>
      </c>
      <c r="G103" s="6">
        <v>0</v>
      </c>
      <c r="H103" s="6">
        <v>220.38</v>
      </c>
      <c r="I103" s="7">
        <f>56170 / 86400</f>
        <v>0.65011574074074074</v>
      </c>
      <c r="J103" s="6">
        <v>0</v>
      </c>
      <c r="K103" s="6">
        <v>0</v>
      </c>
      <c r="L103" s="6">
        <v>14.12</v>
      </c>
      <c r="M103" s="6">
        <v>91</v>
      </c>
      <c r="N103" s="7">
        <f>32 / 86400</f>
        <v>3.7037037037037035E-4</v>
      </c>
      <c r="O103" s="6">
        <v>0.06</v>
      </c>
      <c r="P103" s="6" t="s">
        <v>28</v>
      </c>
      <c r="Q103" s="6" t="s">
        <v>28</v>
      </c>
      <c r="R103" s="6">
        <v>187</v>
      </c>
      <c r="S103" s="6">
        <v>84.85</v>
      </c>
      <c r="T103" s="6">
        <v>939</v>
      </c>
      <c r="U103" s="6">
        <v>426.08</v>
      </c>
      <c r="V103" s="6">
        <v>492</v>
      </c>
      <c r="W103" s="6">
        <v>223.25</v>
      </c>
      <c r="X103" s="6">
        <v>80</v>
      </c>
      <c r="Y103" s="6">
        <v>36.299999999999997</v>
      </c>
      <c r="Z103" s="7">
        <f>2081 / 86400</f>
        <v>2.4085648148148148E-2</v>
      </c>
      <c r="AA103" s="6">
        <v>3.7</v>
      </c>
      <c r="AB103" s="6" t="s">
        <v>28</v>
      </c>
    </row>
    <row r="104" spans="1:28" s="3" customFormat="1" ht="15.75" x14ac:dyDescent="0.25">
      <c r="A104" s="4" t="s">
        <v>82</v>
      </c>
      <c r="B104" s="4" t="s">
        <v>28</v>
      </c>
      <c r="C104" s="4">
        <v>65.87</v>
      </c>
      <c r="D104" s="4">
        <v>23.33</v>
      </c>
      <c r="E104" s="4">
        <v>0</v>
      </c>
      <c r="F104" s="4">
        <v>0</v>
      </c>
      <c r="G104" s="4">
        <v>0</v>
      </c>
      <c r="H104" s="4">
        <v>282.37</v>
      </c>
      <c r="I104" s="5">
        <f>58840 / 86400</f>
        <v>0.68101851851851847</v>
      </c>
      <c r="J104" s="4">
        <v>0</v>
      </c>
      <c r="K104" s="4">
        <v>0</v>
      </c>
      <c r="L104" s="4">
        <v>17.28</v>
      </c>
      <c r="M104" s="4">
        <v>93</v>
      </c>
      <c r="N104" s="5">
        <f>84 / 86400</f>
        <v>9.7222222222222219E-4</v>
      </c>
      <c r="O104" s="4">
        <v>0.14000000000000001</v>
      </c>
      <c r="P104" s="4" t="s">
        <v>28</v>
      </c>
      <c r="Q104" s="4" t="s">
        <v>28</v>
      </c>
      <c r="R104" s="4">
        <v>44</v>
      </c>
      <c r="S104" s="4">
        <v>15.58</v>
      </c>
      <c r="T104" s="4">
        <v>559</v>
      </c>
      <c r="U104" s="4">
        <v>197.97</v>
      </c>
      <c r="V104" s="4">
        <v>1353</v>
      </c>
      <c r="W104" s="4">
        <v>479.17</v>
      </c>
      <c r="X104" s="4">
        <v>0</v>
      </c>
      <c r="Y104" s="4">
        <v>0</v>
      </c>
      <c r="Z104" s="5">
        <f>1925 / 86400</f>
        <v>2.2280092592592591E-2</v>
      </c>
      <c r="AA104" s="4">
        <v>3.27</v>
      </c>
      <c r="AB104" s="4" t="s">
        <v>28</v>
      </c>
    </row>
    <row r="105" spans="1:28" s="6" customFormat="1" ht="15.75" x14ac:dyDescent="0.25">
      <c r="A105" s="6" t="s">
        <v>28</v>
      </c>
      <c r="B105" s="6" t="s">
        <v>29</v>
      </c>
      <c r="C105" s="6">
        <v>65.87</v>
      </c>
      <c r="D105" s="6">
        <v>23.33</v>
      </c>
      <c r="E105" s="6">
        <v>0</v>
      </c>
      <c r="F105" s="6">
        <v>0</v>
      </c>
      <c r="G105" s="6">
        <v>0</v>
      </c>
      <c r="H105" s="6">
        <v>282.37</v>
      </c>
      <c r="I105" s="7">
        <f>58840 / 86400</f>
        <v>0.68101851851851847</v>
      </c>
      <c r="J105" s="6">
        <v>0</v>
      </c>
      <c r="K105" s="6">
        <v>0</v>
      </c>
      <c r="L105" s="6">
        <v>17.28</v>
      </c>
      <c r="M105" s="6">
        <v>93</v>
      </c>
      <c r="N105" s="7">
        <f>84 / 86400</f>
        <v>9.7222222222222219E-4</v>
      </c>
      <c r="O105" s="6">
        <v>0.14000000000000001</v>
      </c>
      <c r="P105" s="6" t="s">
        <v>28</v>
      </c>
      <c r="Q105" s="6" t="s">
        <v>28</v>
      </c>
      <c r="R105" s="6">
        <v>44</v>
      </c>
      <c r="S105" s="6">
        <v>15.58</v>
      </c>
      <c r="T105" s="6">
        <v>559</v>
      </c>
      <c r="U105" s="6">
        <v>197.97</v>
      </c>
      <c r="V105" s="6">
        <v>1353</v>
      </c>
      <c r="W105" s="6">
        <v>479.17</v>
      </c>
      <c r="X105" s="6">
        <v>0</v>
      </c>
      <c r="Y105" s="6">
        <v>0</v>
      </c>
      <c r="Z105" s="7">
        <f>1925 / 86400</f>
        <v>2.2280092592592591E-2</v>
      </c>
      <c r="AA105" s="6">
        <v>3.27</v>
      </c>
      <c r="AB105" s="6" t="s">
        <v>28</v>
      </c>
    </row>
    <row r="106" spans="1:28" s="3" customFormat="1" ht="15.75" x14ac:dyDescent="0.25">
      <c r="A106" s="4" t="s">
        <v>83</v>
      </c>
      <c r="B106" s="4" t="s">
        <v>28</v>
      </c>
      <c r="C106" s="4">
        <v>25.91</v>
      </c>
      <c r="D106" s="4">
        <v>15.18</v>
      </c>
      <c r="E106" s="4">
        <v>0</v>
      </c>
      <c r="F106" s="4">
        <v>0</v>
      </c>
      <c r="G106" s="4">
        <v>0</v>
      </c>
      <c r="H106" s="4">
        <v>170.65</v>
      </c>
      <c r="I106" s="5">
        <f>42918 / 86400</f>
        <v>0.4967361111111111</v>
      </c>
      <c r="J106" s="4">
        <v>0</v>
      </c>
      <c r="K106" s="4">
        <v>0</v>
      </c>
      <c r="L106" s="4">
        <v>14.31</v>
      </c>
      <c r="M106" s="4">
        <v>85</v>
      </c>
      <c r="N106" s="5">
        <f>7 / 86400</f>
        <v>8.1018518518518516E-5</v>
      </c>
      <c r="O106" s="4">
        <v>0.02</v>
      </c>
      <c r="P106" s="4" t="s">
        <v>28</v>
      </c>
      <c r="Q106" s="4" t="s">
        <v>28</v>
      </c>
      <c r="R106" s="4">
        <v>14</v>
      </c>
      <c r="S106" s="4">
        <v>8.1999999999999993</v>
      </c>
      <c r="T106" s="4">
        <v>230</v>
      </c>
      <c r="U106" s="4">
        <v>134.78</v>
      </c>
      <c r="V106" s="4">
        <v>628</v>
      </c>
      <c r="W106" s="4">
        <v>368.01</v>
      </c>
      <c r="X106" s="4">
        <v>0</v>
      </c>
      <c r="Y106" s="4">
        <v>0</v>
      </c>
      <c r="Z106" s="5">
        <f>0 / 86400</f>
        <v>0</v>
      </c>
      <c r="AA106" s="4">
        <v>0</v>
      </c>
      <c r="AB106" s="4" t="s">
        <v>28</v>
      </c>
    </row>
    <row r="107" spans="1:28" s="6" customFormat="1" ht="15.75" x14ac:dyDescent="0.25">
      <c r="A107" s="6" t="s">
        <v>28</v>
      </c>
      <c r="B107" s="6" t="s">
        <v>29</v>
      </c>
      <c r="C107" s="6">
        <v>25.91</v>
      </c>
      <c r="D107" s="6">
        <v>15.18</v>
      </c>
      <c r="E107" s="6">
        <v>0</v>
      </c>
      <c r="F107" s="6">
        <v>0</v>
      </c>
      <c r="G107" s="6">
        <v>0</v>
      </c>
      <c r="H107" s="6">
        <v>170.65</v>
      </c>
      <c r="I107" s="7">
        <f>42918 / 86400</f>
        <v>0.4967361111111111</v>
      </c>
      <c r="J107" s="6">
        <v>0</v>
      </c>
      <c r="K107" s="6">
        <v>0</v>
      </c>
      <c r="L107" s="6">
        <v>14.31</v>
      </c>
      <c r="M107" s="6">
        <v>85</v>
      </c>
      <c r="N107" s="7">
        <f>7 / 86400</f>
        <v>8.1018518518518516E-5</v>
      </c>
      <c r="O107" s="6">
        <v>0.02</v>
      </c>
      <c r="P107" s="6" t="s">
        <v>28</v>
      </c>
      <c r="Q107" s="6" t="s">
        <v>28</v>
      </c>
      <c r="R107" s="6">
        <v>14</v>
      </c>
      <c r="S107" s="6">
        <v>8.1999999999999993</v>
      </c>
      <c r="T107" s="6">
        <v>230</v>
      </c>
      <c r="U107" s="6">
        <v>134.78</v>
      </c>
      <c r="V107" s="6">
        <v>628</v>
      </c>
      <c r="W107" s="6">
        <v>368.01</v>
      </c>
      <c r="X107" s="6">
        <v>0</v>
      </c>
      <c r="Y107" s="6">
        <v>0</v>
      </c>
      <c r="Z107" s="7">
        <f>0 / 86400</f>
        <v>0</v>
      </c>
      <c r="AA107" s="6">
        <v>0</v>
      </c>
      <c r="AB107" s="6" t="s">
        <v>28</v>
      </c>
    </row>
    <row r="108" spans="1:28" s="3" customFormat="1" ht="15.75" x14ac:dyDescent="0.25">
      <c r="A108" s="4" t="s">
        <v>84</v>
      </c>
      <c r="B108" s="4" t="s">
        <v>28</v>
      </c>
      <c r="C108" s="4">
        <v>79.459999999999994</v>
      </c>
      <c r="D108" s="4">
        <v>77.680000000000007</v>
      </c>
      <c r="E108" s="4">
        <v>0</v>
      </c>
      <c r="F108" s="4">
        <v>0</v>
      </c>
      <c r="G108" s="4">
        <v>0</v>
      </c>
      <c r="H108" s="4">
        <v>102.29</v>
      </c>
      <c r="I108" s="5">
        <f>28345 / 86400</f>
        <v>0.32806712962962964</v>
      </c>
      <c r="J108" s="4">
        <v>0</v>
      </c>
      <c r="K108" s="4">
        <v>0</v>
      </c>
      <c r="L108" s="4">
        <v>12.99</v>
      </c>
      <c r="M108" s="4">
        <v>82</v>
      </c>
      <c r="N108" s="5">
        <f>4 / 86400</f>
        <v>4.6296296296296294E-5</v>
      </c>
      <c r="O108" s="4">
        <v>0.01</v>
      </c>
      <c r="P108" s="4" t="s">
        <v>28</v>
      </c>
      <c r="Q108" s="4" t="s">
        <v>28</v>
      </c>
      <c r="R108" s="4">
        <v>112</v>
      </c>
      <c r="S108" s="4">
        <v>109.49</v>
      </c>
      <c r="T108" s="4">
        <v>558</v>
      </c>
      <c r="U108" s="4">
        <v>545.51</v>
      </c>
      <c r="V108" s="4">
        <v>339</v>
      </c>
      <c r="W108" s="4">
        <v>331.41</v>
      </c>
      <c r="X108" s="4">
        <v>12</v>
      </c>
      <c r="Y108" s="4">
        <v>11.73</v>
      </c>
      <c r="Z108" s="5">
        <f>3250 / 86400</f>
        <v>3.7615740740740741E-2</v>
      </c>
      <c r="AA108" s="4">
        <v>11.47</v>
      </c>
      <c r="AB108" s="4" t="s">
        <v>28</v>
      </c>
    </row>
    <row r="109" spans="1:28" s="6" customFormat="1" ht="15.75" x14ac:dyDescent="0.25">
      <c r="A109" s="6" t="s">
        <v>28</v>
      </c>
      <c r="B109" s="6" t="s">
        <v>29</v>
      </c>
      <c r="C109" s="6">
        <v>79.459999999999994</v>
      </c>
      <c r="D109" s="6">
        <v>77.680000000000007</v>
      </c>
      <c r="E109" s="6">
        <v>0</v>
      </c>
      <c r="F109" s="6">
        <v>0</v>
      </c>
      <c r="G109" s="6">
        <v>0</v>
      </c>
      <c r="H109" s="6">
        <v>102.29</v>
      </c>
      <c r="I109" s="7">
        <f>28345 / 86400</f>
        <v>0.32806712962962964</v>
      </c>
      <c r="J109" s="6">
        <v>0</v>
      </c>
      <c r="K109" s="6">
        <v>0</v>
      </c>
      <c r="L109" s="6">
        <v>12.99</v>
      </c>
      <c r="M109" s="6">
        <v>82</v>
      </c>
      <c r="N109" s="7">
        <f>4 / 86400</f>
        <v>4.6296296296296294E-5</v>
      </c>
      <c r="O109" s="6">
        <v>0.01</v>
      </c>
      <c r="P109" s="6" t="s">
        <v>28</v>
      </c>
      <c r="Q109" s="6" t="s">
        <v>28</v>
      </c>
      <c r="R109" s="6">
        <v>112</v>
      </c>
      <c r="S109" s="6">
        <v>109.49</v>
      </c>
      <c r="T109" s="6">
        <v>558</v>
      </c>
      <c r="U109" s="6">
        <v>545.51</v>
      </c>
      <c r="V109" s="6">
        <v>339</v>
      </c>
      <c r="W109" s="6">
        <v>331.41</v>
      </c>
      <c r="X109" s="6">
        <v>12</v>
      </c>
      <c r="Y109" s="6">
        <v>11.73</v>
      </c>
      <c r="Z109" s="7">
        <f>3250 / 86400</f>
        <v>3.7615740740740741E-2</v>
      </c>
      <c r="AA109" s="6">
        <v>11.47</v>
      </c>
      <c r="AB109" s="6" t="s">
        <v>28</v>
      </c>
    </row>
    <row r="110" spans="1:28" s="3" customFormat="1" ht="15.75" x14ac:dyDescent="0.25">
      <c r="A110" s="4" t="s">
        <v>85</v>
      </c>
      <c r="B110" s="4" t="s">
        <v>28</v>
      </c>
      <c r="C110" s="4">
        <v>251.52</v>
      </c>
      <c r="D110" s="4">
        <v>118.38</v>
      </c>
      <c r="E110" s="4">
        <v>0</v>
      </c>
      <c r="F110" s="4">
        <v>0</v>
      </c>
      <c r="G110" s="4">
        <v>0</v>
      </c>
      <c r="H110" s="4">
        <v>212.48</v>
      </c>
      <c r="I110" s="5">
        <f>47060 / 86400</f>
        <v>0.54467592592592595</v>
      </c>
      <c r="J110" s="4">
        <v>0</v>
      </c>
      <c r="K110" s="4">
        <v>0</v>
      </c>
      <c r="L110" s="4">
        <v>16.25</v>
      </c>
      <c r="M110" s="4">
        <v>91</v>
      </c>
      <c r="N110" s="5">
        <f>65 / 86400</f>
        <v>7.5231481481481482E-4</v>
      </c>
      <c r="O110" s="4">
        <v>0.14000000000000001</v>
      </c>
      <c r="P110" s="4" t="s">
        <v>28</v>
      </c>
      <c r="Q110" s="4" t="s">
        <v>28</v>
      </c>
      <c r="R110" s="4">
        <v>393</v>
      </c>
      <c r="S110" s="4">
        <v>184.96</v>
      </c>
      <c r="T110" s="4">
        <v>1279</v>
      </c>
      <c r="U110" s="4">
        <v>601.95000000000005</v>
      </c>
      <c r="V110" s="4">
        <v>839</v>
      </c>
      <c r="W110" s="4">
        <v>394.87</v>
      </c>
      <c r="X110" s="4">
        <v>441</v>
      </c>
      <c r="Y110" s="4">
        <v>207.55</v>
      </c>
      <c r="Z110" s="5">
        <f>2244 / 86400</f>
        <v>2.5972222222222223E-2</v>
      </c>
      <c r="AA110" s="4">
        <v>4.7699999999999996</v>
      </c>
      <c r="AB110" s="4" t="s">
        <v>28</v>
      </c>
    </row>
    <row r="111" spans="1:28" s="6" customFormat="1" ht="15.75" x14ac:dyDescent="0.25">
      <c r="A111" s="6" t="s">
        <v>28</v>
      </c>
      <c r="B111" s="6" t="s">
        <v>29</v>
      </c>
      <c r="C111" s="6">
        <v>251.52</v>
      </c>
      <c r="D111" s="6">
        <v>118.38</v>
      </c>
      <c r="E111" s="6">
        <v>0</v>
      </c>
      <c r="F111" s="6">
        <v>0</v>
      </c>
      <c r="G111" s="6">
        <v>0</v>
      </c>
      <c r="H111" s="6">
        <v>212.48</v>
      </c>
      <c r="I111" s="7">
        <f>47060 / 86400</f>
        <v>0.54467592592592595</v>
      </c>
      <c r="J111" s="6">
        <v>0</v>
      </c>
      <c r="K111" s="6">
        <v>0</v>
      </c>
      <c r="L111" s="6">
        <v>16.25</v>
      </c>
      <c r="M111" s="6">
        <v>91</v>
      </c>
      <c r="N111" s="7">
        <f>65 / 86400</f>
        <v>7.5231481481481482E-4</v>
      </c>
      <c r="O111" s="6">
        <v>0.14000000000000001</v>
      </c>
      <c r="P111" s="6" t="s">
        <v>28</v>
      </c>
      <c r="Q111" s="6" t="s">
        <v>28</v>
      </c>
      <c r="R111" s="6">
        <v>393</v>
      </c>
      <c r="S111" s="6">
        <v>184.96</v>
      </c>
      <c r="T111" s="6">
        <v>1279</v>
      </c>
      <c r="U111" s="6">
        <v>601.95000000000005</v>
      </c>
      <c r="V111" s="6">
        <v>839</v>
      </c>
      <c r="W111" s="6">
        <v>394.87</v>
      </c>
      <c r="X111" s="6">
        <v>441</v>
      </c>
      <c r="Y111" s="6">
        <v>207.55</v>
      </c>
      <c r="Z111" s="7">
        <f>2244 / 86400</f>
        <v>2.5972222222222223E-2</v>
      </c>
      <c r="AA111" s="6">
        <v>4.7699999999999996</v>
      </c>
      <c r="AB111" s="6" t="s">
        <v>28</v>
      </c>
    </row>
    <row r="112" spans="1:28" s="3" customFormat="1" ht="15.75" x14ac:dyDescent="0.25">
      <c r="A112" s="4" t="s">
        <v>86</v>
      </c>
      <c r="B112" s="4" t="s">
        <v>28</v>
      </c>
      <c r="C112" s="4">
        <v>18.55</v>
      </c>
      <c r="D112" s="4">
        <v>51.57</v>
      </c>
      <c r="E112" s="4">
        <v>0</v>
      </c>
      <c r="F112" s="4">
        <v>0</v>
      </c>
      <c r="G112" s="4">
        <v>0</v>
      </c>
      <c r="H112" s="4">
        <v>35.97</v>
      </c>
      <c r="I112" s="5">
        <f>9182 / 86400</f>
        <v>0.10627314814814814</v>
      </c>
      <c r="J112" s="4">
        <v>0</v>
      </c>
      <c r="K112" s="4">
        <v>0</v>
      </c>
      <c r="L112" s="4">
        <v>14.1</v>
      </c>
      <c r="M112" s="4">
        <v>82</v>
      </c>
      <c r="N112" s="5">
        <f>9 / 86400</f>
        <v>1.0416666666666667E-4</v>
      </c>
      <c r="O112" s="4">
        <v>0.1</v>
      </c>
      <c r="P112" s="4" t="s">
        <v>28</v>
      </c>
      <c r="Q112" s="4" t="s">
        <v>28</v>
      </c>
      <c r="R112" s="4">
        <v>32</v>
      </c>
      <c r="S112" s="4">
        <v>88.96</v>
      </c>
      <c r="T112" s="4">
        <v>112</v>
      </c>
      <c r="U112" s="4">
        <v>311.36</v>
      </c>
      <c r="V112" s="4">
        <v>54</v>
      </c>
      <c r="W112" s="4">
        <v>150.12</v>
      </c>
      <c r="X112" s="4">
        <v>8</v>
      </c>
      <c r="Y112" s="4">
        <v>22.24</v>
      </c>
      <c r="Z112" s="5">
        <f>1060 / 86400</f>
        <v>1.2268518518518519E-2</v>
      </c>
      <c r="AA112" s="4">
        <v>11.54</v>
      </c>
      <c r="AB112" s="4" t="s">
        <v>28</v>
      </c>
    </row>
    <row r="113" spans="1:28" s="6" customFormat="1" ht="15.75" x14ac:dyDescent="0.25">
      <c r="A113" s="6" t="s">
        <v>28</v>
      </c>
      <c r="B113" s="6" t="s">
        <v>29</v>
      </c>
      <c r="C113" s="6">
        <v>18.55</v>
      </c>
      <c r="D113" s="6">
        <v>51.57</v>
      </c>
      <c r="E113" s="6">
        <v>0</v>
      </c>
      <c r="F113" s="6">
        <v>0</v>
      </c>
      <c r="G113" s="6">
        <v>0</v>
      </c>
      <c r="H113" s="6">
        <v>35.97</v>
      </c>
      <c r="I113" s="7">
        <f>9182 / 86400</f>
        <v>0.10627314814814814</v>
      </c>
      <c r="J113" s="6">
        <v>0</v>
      </c>
      <c r="K113" s="6">
        <v>0</v>
      </c>
      <c r="L113" s="6">
        <v>14.1</v>
      </c>
      <c r="M113" s="6">
        <v>82</v>
      </c>
      <c r="N113" s="7">
        <f>9 / 86400</f>
        <v>1.0416666666666667E-4</v>
      </c>
      <c r="O113" s="6">
        <v>0.1</v>
      </c>
      <c r="P113" s="6" t="s">
        <v>28</v>
      </c>
      <c r="Q113" s="6" t="s">
        <v>28</v>
      </c>
      <c r="R113" s="6">
        <v>32</v>
      </c>
      <c r="S113" s="6">
        <v>88.96</v>
      </c>
      <c r="T113" s="6">
        <v>112</v>
      </c>
      <c r="U113" s="6">
        <v>311.36</v>
      </c>
      <c r="V113" s="6">
        <v>54</v>
      </c>
      <c r="W113" s="6">
        <v>150.12</v>
      </c>
      <c r="X113" s="6">
        <v>8</v>
      </c>
      <c r="Y113" s="6">
        <v>22.24</v>
      </c>
      <c r="Z113" s="7">
        <f>1060 / 86400</f>
        <v>1.2268518518518519E-2</v>
      </c>
      <c r="AA113" s="6">
        <v>11.54</v>
      </c>
      <c r="AB113" s="6" t="s">
        <v>28</v>
      </c>
    </row>
    <row r="114" spans="1:28" s="3" customFormat="1" ht="15.75" x14ac:dyDescent="0.25">
      <c r="A114" s="4" t="s">
        <v>87</v>
      </c>
      <c r="B114" s="4" t="s">
        <v>28</v>
      </c>
      <c r="C114" s="4">
        <v>0.4</v>
      </c>
      <c r="D114" s="4">
        <v>5.45</v>
      </c>
      <c r="E114" s="4">
        <v>0</v>
      </c>
      <c r="F114" s="4">
        <v>0</v>
      </c>
      <c r="G114" s="4">
        <v>0</v>
      </c>
      <c r="H114" s="4">
        <v>7.35</v>
      </c>
      <c r="I114" s="5">
        <f>3904 / 86400</f>
        <v>4.5185185185185182E-2</v>
      </c>
      <c r="J114" s="4">
        <v>0</v>
      </c>
      <c r="K114" s="4">
        <v>0</v>
      </c>
      <c r="L114" s="4">
        <v>6.77</v>
      </c>
      <c r="M114" s="4">
        <v>57</v>
      </c>
      <c r="N114" s="5">
        <f>0 / 86400</f>
        <v>0</v>
      </c>
      <c r="O114" s="4">
        <v>0</v>
      </c>
      <c r="P114" s="4" t="s">
        <v>28</v>
      </c>
      <c r="Q114" s="4" t="s">
        <v>28</v>
      </c>
      <c r="R114" s="4">
        <v>0</v>
      </c>
      <c r="S114" s="4">
        <v>0</v>
      </c>
      <c r="T114" s="4">
        <v>4</v>
      </c>
      <c r="U114" s="4">
        <v>54.45</v>
      </c>
      <c r="V114" s="4">
        <v>23</v>
      </c>
      <c r="W114" s="4">
        <v>313.10000000000002</v>
      </c>
      <c r="X114" s="4">
        <v>0</v>
      </c>
      <c r="Y114" s="4">
        <v>0</v>
      </c>
      <c r="Z114" s="5">
        <f>1641 / 86400</f>
        <v>1.8993055555555555E-2</v>
      </c>
      <c r="AA114" s="4">
        <v>42.03</v>
      </c>
      <c r="AB114" s="4" t="s">
        <v>28</v>
      </c>
    </row>
    <row r="115" spans="1:28" s="6" customFormat="1" ht="15.75" x14ac:dyDescent="0.25">
      <c r="A115" s="6" t="s">
        <v>28</v>
      </c>
      <c r="B115" s="6" t="s">
        <v>29</v>
      </c>
      <c r="C115" s="6">
        <v>0.4</v>
      </c>
      <c r="D115" s="6">
        <v>5.45</v>
      </c>
      <c r="E115" s="6">
        <v>0</v>
      </c>
      <c r="F115" s="6">
        <v>0</v>
      </c>
      <c r="G115" s="6">
        <v>0</v>
      </c>
      <c r="H115" s="6">
        <v>7.35</v>
      </c>
      <c r="I115" s="7">
        <f>3904 / 86400</f>
        <v>4.5185185185185182E-2</v>
      </c>
      <c r="J115" s="6">
        <v>0</v>
      </c>
      <c r="K115" s="6">
        <v>0</v>
      </c>
      <c r="L115" s="6">
        <v>6.77</v>
      </c>
      <c r="M115" s="6">
        <v>57</v>
      </c>
      <c r="N115" s="7">
        <f>0 / 86400</f>
        <v>0</v>
      </c>
      <c r="O115" s="6">
        <v>0</v>
      </c>
      <c r="P115" s="6" t="s">
        <v>28</v>
      </c>
      <c r="Q115" s="6" t="s">
        <v>28</v>
      </c>
      <c r="R115" s="6">
        <v>0</v>
      </c>
      <c r="S115" s="6">
        <v>0</v>
      </c>
      <c r="T115" s="6">
        <v>4</v>
      </c>
      <c r="U115" s="6">
        <v>54.45</v>
      </c>
      <c r="V115" s="6">
        <v>23</v>
      </c>
      <c r="W115" s="6">
        <v>313.10000000000002</v>
      </c>
      <c r="X115" s="6">
        <v>0</v>
      </c>
      <c r="Y115" s="6">
        <v>0</v>
      </c>
      <c r="Z115" s="7">
        <f>1641 / 86400</f>
        <v>1.8993055555555555E-2</v>
      </c>
      <c r="AA115" s="6">
        <v>42.03</v>
      </c>
      <c r="AB115" s="6" t="s">
        <v>28</v>
      </c>
    </row>
    <row r="116" spans="1:28" s="3" customFormat="1" ht="15.75" x14ac:dyDescent="0.25">
      <c r="A116" s="4" t="s">
        <v>88</v>
      </c>
      <c r="B116" s="4" t="s">
        <v>28</v>
      </c>
      <c r="C116" s="4">
        <v>307.04000000000002</v>
      </c>
      <c r="D116" s="4">
        <v>168.16</v>
      </c>
      <c r="E116" s="4">
        <v>0</v>
      </c>
      <c r="F116" s="4">
        <v>0</v>
      </c>
      <c r="G116" s="4">
        <v>0</v>
      </c>
      <c r="H116" s="4">
        <v>182.59</v>
      </c>
      <c r="I116" s="5">
        <f>39528 / 86400</f>
        <v>0.45750000000000002</v>
      </c>
      <c r="J116" s="4">
        <v>0</v>
      </c>
      <c r="K116" s="4">
        <v>0</v>
      </c>
      <c r="L116" s="4">
        <v>16.63</v>
      </c>
      <c r="M116" s="4">
        <v>84</v>
      </c>
      <c r="N116" s="5">
        <f>17 / 86400</f>
        <v>1.9675925925925926E-4</v>
      </c>
      <c r="O116" s="4">
        <v>0.04</v>
      </c>
      <c r="P116" s="4" t="s">
        <v>28</v>
      </c>
      <c r="Q116" s="4" t="s">
        <v>28</v>
      </c>
      <c r="R116" s="4">
        <v>514</v>
      </c>
      <c r="S116" s="4">
        <v>281.5</v>
      </c>
      <c r="T116" s="4">
        <v>1283</v>
      </c>
      <c r="U116" s="4">
        <v>702.66</v>
      </c>
      <c r="V116" s="4">
        <v>708</v>
      </c>
      <c r="W116" s="4">
        <v>387.75</v>
      </c>
      <c r="X116" s="4">
        <v>757</v>
      </c>
      <c r="Y116" s="4">
        <v>414.59</v>
      </c>
      <c r="Z116" s="5">
        <f>2089 / 86400</f>
        <v>2.417824074074074E-2</v>
      </c>
      <c r="AA116" s="4">
        <v>5.28</v>
      </c>
      <c r="AB116" s="4" t="s">
        <v>28</v>
      </c>
    </row>
    <row r="117" spans="1:28" s="6" customFormat="1" ht="15.75" x14ac:dyDescent="0.25">
      <c r="A117" s="6" t="s">
        <v>28</v>
      </c>
      <c r="B117" s="6" t="s">
        <v>29</v>
      </c>
      <c r="C117" s="6">
        <v>307.04000000000002</v>
      </c>
      <c r="D117" s="6">
        <v>168.16</v>
      </c>
      <c r="E117" s="6">
        <v>0</v>
      </c>
      <c r="F117" s="6">
        <v>0</v>
      </c>
      <c r="G117" s="6">
        <v>0</v>
      </c>
      <c r="H117" s="6">
        <v>182.59</v>
      </c>
      <c r="I117" s="7">
        <f>39528 / 86400</f>
        <v>0.45750000000000002</v>
      </c>
      <c r="J117" s="6">
        <v>0</v>
      </c>
      <c r="K117" s="6">
        <v>0</v>
      </c>
      <c r="L117" s="6">
        <v>16.63</v>
      </c>
      <c r="M117" s="6">
        <v>84</v>
      </c>
      <c r="N117" s="7">
        <f>17 / 86400</f>
        <v>1.9675925925925926E-4</v>
      </c>
      <c r="O117" s="6">
        <v>0.04</v>
      </c>
      <c r="P117" s="6" t="s">
        <v>28</v>
      </c>
      <c r="Q117" s="6" t="s">
        <v>28</v>
      </c>
      <c r="R117" s="6">
        <v>514</v>
      </c>
      <c r="S117" s="6">
        <v>281.5</v>
      </c>
      <c r="T117" s="6">
        <v>1283</v>
      </c>
      <c r="U117" s="6">
        <v>702.66</v>
      </c>
      <c r="V117" s="6">
        <v>708</v>
      </c>
      <c r="W117" s="6">
        <v>387.75</v>
      </c>
      <c r="X117" s="6">
        <v>757</v>
      </c>
      <c r="Y117" s="6">
        <v>414.59</v>
      </c>
      <c r="Z117" s="7">
        <f>2089 / 86400</f>
        <v>2.417824074074074E-2</v>
      </c>
      <c r="AA117" s="6">
        <v>5.28</v>
      </c>
      <c r="AB117" s="6" t="s">
        <v>28</v>
      </c>
    </row>
    <row r="118" spans="1:28" s="3" customFormat="1" ht="15.75" x14ac:dyDescent="0.25">
      <c r="A118" s="4" t="s">
        <v>89</v>
      </c>
      <c r="B118" s="4" t="s">
        <v>28</v>
      </c>
      <c r="C118" s="4">
        <v>115.83</v>
      </c>
      <c r="D118" s="4">
        <v>62.79</v>
      </c>
      <c r="E118" s="4">
        <v>0</v>
      </c>
      <c r="F118" s="4">
        <v>0</v>
      </c>
      <c r="G118" s="4">
        <v>0</v>
      </c>
      <c r="H118" s="4">
        <v>184.47</v>
      </c>
      <c r="I118" s="5">
        <f>42768 / 86400</f>
        <v>0.495</v>
      </c>
      <c r="J118" s="4">
        <v>0</v>
      </c>
      <c r="K118" s="4">
        <v>0</v>
      </c>
      <c r="L118" s="4">
        <v>15.53</v>
      </c>
      <c r="M118" s="4">
        <v>87</v>
      </c>
      <c r="N118" s="5">
        <f>9 / 86400</f>
        <v>1.0416666666666667E-4</v>
      </c>
      <c r="O118" s="4">
        <v>0.02</v>
      </c>
      <c r="P118" s="4" t="s">
        <v>28</v>
      </c>
      <c r="Q118" s="4" t="s">
        <v>28</v>
      </c>
      <c r="R118" s="4">
        <v>158</v>
      </c>
      <c r="S118" s="4">
        <v>85.65</v>
      </c>
      <c r="T118" s="4">
        <v>753</v>
      </c>
      <c r="U118" s="4">
        <v>408.21</v>
      </c>
      <c r="V118" s="4">
        <v>386</v>
      </c>
      <c r="W118" s="4">
        <v>209.25</v>
      </c>
      <c r="X118" s="4">
        <v>88</v>
      </c>
      <c r="Y118" s="4">
        <v>47.71</v>
      </c>
      <c r="Z118" s="5">
        <f>3241 / 86400</f>
        <v>3.7511574074074072E-2</v>
      </c>
      <c r="AA118" s="4">
        <v>7.58</v>
      </c>
      <c r="AB118" s="4" t="s">
        <v>28</v>
      </c>
    </row>
    <row r="119" spans="1:28" s="6" customFormat="1" ht="15.75" x14ac:dyDescent="0.25">
      <c r="A119" s="6" t="s">
        <v>28</v>
      </c>
      <c r="B119" s="6" t="s">
        <v>29</v>
      </c>
      <c r="C119" s="6">
        <v>115.83</v>
      </c>
      <c r="D119" s="6">
        <v>62.79</v>
      </c>
      <c r="E119" s="6">
        <v>0</v>
      </c>
      <c r="F119" s="6">
        <v>0</v>
      </c>
      <c r="G119" s="6">
        <v>0</v>
      </c>
      <c r="H119" s="6">
        <v>184.47</v>
      </c>
      <c r="I119" s="7">
        <f>42768 / 86400</f>
        <v>0.495</v>
      </c>
      <c r="J119" s="6">
        <v>0</v>
      </c>
      <c r="K119" s="6">
        <v>0</v>
      </c>
      <c r="L119" s="6">
        <v>15.53</v>
      </c>
      <c r="M119" s="6">
        <v>87</v>
      </c>
      <c r="N119" s="7">
        <f>9 / 86400</f>
        <v>1.0416666666666667E-4</v>
      </c>
      <c r="O119" s="6">
        <v>0.02</v>
      </c>
      <c r="P119" s="6" t="s">
        <v>28</v>
      </c>
      <c r="Q119" s="6" t="s">
        <v>28</v>
      </c>
      <c r="R119" s="6">
        <v>158</v>
      </c>
      <c r="S119" s="6">
        <v>85.65</v>
      </c>
      <c r="T119" s="6">
        <v>753</v>
      </c>
      <c r="U119" s="6">
        <v>408.21</v>
      </c>
      <c r="V119" s="6">
        <v>386</v>
      </c>
      <c r="W119" s="6">
        <v>209.25</v>
      </c>
      <c r="X119" s="6">
        <v>88</v>
      </c>
      <c r="Y119" s="6">
        <v>47.71</v>
      </c>
      <c r="Z119" s="7">
        <f>3241 / 86400</f>
        <v>3.7511574074074072E-2</v>
      </c>
      <c r="AA119" s="6">
        <v>7.58</v>
      </c>
      <c r="AB119" s="6" t="s">
        <v>28</v>
      </c>
    </row>
    <row r="120" spans="1:28" s="3" customFormat="1" ht="15.75" x14ac:dyDescent="0.25">
      <c r="A120" s="4" t="s">
        <v>90</v>
      </c>
      <c r="B120" s="4" t="s">
        <v>28</v>
      </c>
      <c r="C120" s="4">
        <v>82.56</v>
      </c>
      <c r="D120" s="4">
        <v>44.43</v>
      </c>
      <c r="E120" s="4">
        <v>0</v>
      </c>
      <c r="F120" s="4">
        <v>0</v>
      </c>
      <c r="G120" s="4">
        <v>0</v>
      </c>
      <c r="H120" s="4">
        <v>185.82</v>
      </c>
      <c r="I120" s="5">
        <f>48974 / 86400</f>
        <v>0.56682870370370375</v>
      </c>
      <c r="J120" s="4">
        <v>0</v>
      </c>
      <c r="K120" s="4">
        <v>0</v>
      </c>
      <c r="L120" s="4">
        <v>13.66</v>
      </c>
      <c r="M120" s="4">
        <v>85</v>
      </c>
      <c r="N120" s="5">
        <f>19 / 86400</f>
        <v>2.199074074074074E-4</v>
      </c>
      <c r="O120" s="4">
        <v>0.04</v>
      </c>
      <c r="P120" s="4" t="s">
        <v>28</v>
      </c>
      <c r="Q120" s="4" t="s">
        <v>28</v>
      </c>
      <c r="R120" s="4">
        <v>120</v>
      </c>
      <c r="S120" s="4">
        <v>64.58</v>
      </c>
      <c r="T120" s="4">
        <v>563</v>
      </c>
      <c r="U120" s="4">
        <v>302.97000000000003</v>
      </c>
      <c r="V120" s="4">
        <v>288</v>
      </c>
      <c r="W120" s="4">
        <v>154.99</v>
      </c>
      <c r="X120" s="4">
        <v>20</v>
      </c>
      <c r="Y120" s="4">
        <v>10.76</v>
      </c>
      <c r="Z120" s="5">
        <f>6536 / 86400</f>
        <v>7.5648148148148145E-2</v>
      </c>
      <c r="AA120" s="4">
        <v>13.35</v>
      </c>
      <c r="AB120" s="4" t="s">
        <v>28</v>
      </c>
    </row>
    <row r="121" spans="1:28" s="6" customFormat="1" ht="15.75" x14ac:dyDescent="0.25">
      <c r="A121" s="6" t="s">
        <v>28</v>
      </c>
      <c r="B121" s="6" t="s">
        <v>29</v>
      </c>
      <c r="C121" s="6">
        <v>82.56</v>
      </c>
      <c r="D121" s="6">
        <v>44.43</v>
      </c>
      <c r="E121" s="6">
        <v>0</v>
      </c>
      <c r="F121" s="6">
        <v>0</v>
      </c>
      <c r="G121" s="6">
        <v>0</v>
      </c>
      <c r="H121" s="6">
        <v>185.82</v>
      </c>
      <c r="I121" s="7">
        <f>48974 / 86400</f>
        <v>0.56682870370370375</v>
      </c>
      <c r="J121" s="6">
        <v>0</v>
      </c>
      <c r="K121" s="6">
        <v>0</v>
      </c>
      <c r="L121" s="6">
        <v>13.66</v>
      </c>
      <c r="M121" s="6">
        <v>85</v>
      </c>
      <c r="N121" s="7">
        <f>19 / 86400</f>
        <v>2.199074074074074E-4</v>
      </c>
      <c r="O121" s="6">
        <v>0.04</v>
      </c>
      <c r="P121" s="6" t="s">
        <v>28</v>
      </c>
      <c r="Q121" s="6" t="s">
        <v>28</v>
      </c>
      <c r="R121" s="6">
        <v>120</v>
      </c>
      <c r="S121" s="6">
        <v>64.58</v>
      </c>
      <c r="T121" s="6">
        <v>563</v>
      </c>
      <c r="U121" s="6">
        <v>302.97000000000003</v>
      </c>
      <c r="V121" s="6">
        <v>288</v>
      </c>
      <c r="W121" s="6">
        <v>154.99</v>
      </c>
      <c r="X121" s="6">
        <v>20</v>
      </c>
      <c r="Y121" s="6">
        <v>10.76</v>
      </c>
      <c r="Z121" s="7">
        <f>6536 / 86400</f>
        <v>7.5648148148148145E-2</v>
      </c>
      <c r="AA121" s="6">
        <v>13.35</v>
      </c>
      <c r="AB121" s="6" t="s">
        <v>28</v>
      </c>
    </row>
    <row r="122" spans="1:28" s="3" customFormat="1" ht="15.75" x14ac:dyDescent="0.25">
      <c r="A122" s="4" t="s">
        <v>91</v>
      </c>
      <c r="B122" s="4" t="s">
        <v>28</v>
      </c>
      <c r="C122" s="4">
        <v>129.15</v>
      </c>
      <c r="D122" s="4">
        <v>68.239999999999995</v>
      </c>
      <c r="E122" s="4">
        <v>0</v>
      </c>
      <c r="F122" s="4">
        <v>0</v>
      </c>
      <c r="G122" s="4">
        <v>0</v>
      </c>
      <c r="H122" s="4">
        <v>189.25</v>
      </c>
      <c r="I122" s="5">
        <f>42475 / 86400</f>
        <v>0.49160879629629628</v>
      </c>
      <c r="J122" s="4">
        <v>0</v>
      </c>
      <c r="K122" s="4">
        <v>0</v>
      </c>
      <c r="L122" s="4">
        <v>16.04</v>
      </c>
      <c r="M122" s="4">
        <v>89</v>
      </c>
      <c r="N122" s="5">
        <f>25 / 86400</f>
        <v>2.8935185185185184E-4</v>
      </c>
      <c r="O122" s="4">
        <v>0.06</v>
      </c>
      <c r="P122" s="4" t="s">
        <v>28</v>
      </c>
      <c r="Q122" s="4" t="s">
        <v>28</v>
      </c>
      <c r="R122" s="4">
        <v>228</v>
      </c>
      <c r="S122" s="4">
        <v>120.47</v>
      </c>
      <c r="T122" s="4">
        <v>767</v>
      </c>
      <c r="U122" s="4">
        <v>405.28</v>
      </c>
      <c r="V122" s="4">
        <v>586</v>
      </c>
      <c r="W122" s="4">
        <v>309.64</v>
      </c>
      <c r="X122" s="4">
        <v>65</v>
      </c>
      <c r="Y122" s="4">
        <v>34.35</v>
      </c>
      <c r="Z122" s="5">
        <f>6541 / 86400</f>
        <v>7.570601851851852E-2</v>
      </c>
      <c r="AA122" s="4">
        <v>15.4</v>
      </c>
      <c r="AB122" s="4" t="s">
        <v>28</v>
      </c>
    </row>
    <row r="123" spans="1:28" s="6" customFormat="1" ht="15.75" x14ac:dyDescent="0.25">
      <c r="A123" s="6" t="s">
        <v>28</v>
      </c>
      <c r="B123" s="6" t="s">
        <v>29</v>
      </c>
      <c r="C123" s="6">
        <v>129.15</v>
      </c>
      <c r="D123" s="6">
        <v>68.239999999999995</v>
      </c>
      <c r="E123" s="6">
        <v>0</v>
      </c>
      <c r="F123" s="6">
        <v>0</v>
      </c>
      <c r="G123" s="6">
        <v>0</v>
      </c>
      <c r="H123" s="6">
        <v>189.25</v>
      </c>
      <c r="I123" s="7">
        <f>42475 / 86400</f>
        <v>0.49160879629629628</v>
      </c>
      <c r="J123" s="6">
        <v>0</v>
      </c>
      <c r="K123" s="6">
        <v>0</v>
      </c>
      <c r="L123" s="6">
        <v>16.04</v>
      </c>
      <c r="M123" s="6">
        <v>89</v>
      </c>
      <c r="N123" s="7">
        <f>25 / 86400</f>
        <v>2.8935185185185184E-4</v>
      </c>
      <c r="O123" s="6">
        <v>0.06</v>
      </c>
      <c r="P123" s="6" t="s">
        <v>28</v>
      </c>
      <c r="Q123" s="6" t="s">
        <v>28</v>
      </c>
      <c r="R123" s="6">
        <v>228</v>
      </c>
      <c r="S123" s="6">
        <v>120.47</v>
      </c>
      <c r="T123" s="6">
        <v>767</v>
      </c>
      <c r="U123" s="6">
        <v>405.28</v>
      </c>
      <c r="V123" s="6">
        <v>586</v>
      </c>
      <c r="W123" s="6">
        <v>309.64</v>
      </c>
      <c r="X123" s="6">
        <v>65</v>
      </c>
      <c r="Y123" s="6">
        <v>34.35</v>
      </c>
      <c r="Z123" s="7">
        <f>6541 / 86400</f>
        <v>7.570601851851852E-2</v>
      </c>
      <c r="AA123" s="6">
        <v>15.4</v>
      </c>
      <c r="AB123" s="6" t="s">
        <v>28</v>
      </c>
    </row>
    <row r="124" spans="1:28" s="3" customFormat="1" ht="15.75" x14ac:dyDescent="0.25">
      <c r="A124" s="4" t="s">
        <v>92</v>
      </c>
      <c r="B124" s="4" t="s">
        <v>28</v>
      </c>
      <c r="C124" s="4">
        <v>275.91000000000003</v>
      </c>
      <c r="D124" s="4">
        <v>106.1</v>
      </c>
      <c r="E124" s="4">
        <v>0</v>
      </c>
      <c r="F124" s="4">
        <v>0</v>
      </c>
      <c r="G124" s="4">
        <v>0</v>
      </c>
      <c r="H124" s="4">
        <v>260.05</v>
      </c>
      <c r="I124" s="5">
        <f>82322 / 86400</f>
        <v>0.95280092592592591</v>
      </c>
      <c r="J124" s="4">
        <v>0</v>
      </c>
      <c r="K124" s="4">
        <v>0</v>
      </c>
      <c r="L124" s="4">
        <v>11.37</v>
      </c>
      <c r="M124" s="4">
        <v>100</v>
      </c>
      <c r="N124" s="5">
        <f>180 / 86400</f>
        <v>2.0833333333333333E-3</v>
      </c>
      <c r="O124" s="4">
        <v>0.22</v>
      </c>
      <c r="P124" s="4" t="s">
        <v>28</v>
      </c>
      <c r="Q124" s="4" t="s">
        <v>28</v>
      </c>
      <c r="R124" s="4">
        <v>436</v>
      </c>
      <c r="S124" s="4">
        <v>167.66</v>
      </c>
      <c r="T124" s="4">
        <v>1553</v>
      </c>
      <c r="U124" s="4">
        <v>597.20000000000005</v>
      </c>
      <c r="V124" s="4">
        <v>1107</v>
      </c>
      <c r="W124" s="4">
        <v>425.69</v>
      </c>
      <c r="X124" s="4">
        <v>306</v>
      </c>
      <c r="Y124" s="4">
        <v>117.67</v>
      </c>
      <c r="Z124" s="5">
        <f>17734 / 86400</f>
        <v>0.20525462962962962</v>
      </c>
      <c r="AA124" s="4">
        <v>21.54</v>
      </c>
      <c r="AB124" s="4" t="s">
        <v>28</v>
      </c>
    </row>
    <row r="125" spans="1:28" s="6" customFormat="1" ht="15.75" x14ac:dyDescent="0.25">
      <c r="A125" s="6" t="s">
        <v>28</v>
      </c>
      <c r="B125" s="6" t="s">
        <v>29</v>
      </c>
      <c r="C125" s="6">
        <v>275.91000000000003</v>
      </c>
      <c r="D125" s="6">
        <v>106.1</v>
      </c>
      <c r="E125" s="6">
        <v>0</v>
      </c>
      <c r="F125" s="6">
        <v>0</v>
      </c>
      <c r="G125" s="6">
        <v>0</v>
      </c>
      <c r="H125" s="6">
        <v>260.05</v>
      </c>
      <c r="I125" s="7">
        <f>82322 / 86400</f>
        <v>0.95280092592592591</v>
      </c>
      <c r="J125" s="6">
        <v>0</v>
      </c>
      <c r="K125" s="6">
        <v>0</v>
      </c>
      <c r="L125" s="6">
        <v>11.37</v>
      </c>
      <c r="M125" s="6">
        <v>100</v>
      </c>
      <c r="N125" s="7">
        <f>180 / 86400</f>
        <v>2.0833333333333333E-3</v>
      </c>
      <c r="O125" s="6">
        <v>0.22</v>
      </c>
      <c r="P125" s="6" t="s">
        <v>28</v>
      </c>
      <c r="Q125" s="6" t="s">
        <v>28</v>
      </c>
      <c r="R125" s="6">
        <v>436</v>
      </c>
      <c r="S125" s="6">
        <v>167.66</v>
      </c>
      <c r="T125" s="6">
        <v>1553</v>
      </c>
      <c r="U125" s="6">
        <v>597.20000000000005</v>
      </c>
      <c r="V125" s="6">
        <v>1107</v>
      </c>
      <c r="W125" s="6">
        <v>425.69</v>
      </c>
      <c r="X125" s="6">
        <v>306</v>
      </c>
      <c r="Y125" s="6">
        <v>117.67</v>
      </c>
      <c r="Z125" s="7">
        <f>17734 / 86400</f>
        <v>0.20525462962962962</v>
      </c>
      <c r="AA125" s="6">
        <v>21.54</v>
      </c>
      <c r="AB125" s="6" t="s">
        <v>28</v>
      </c>
    </row>
    <row r="126" spans="1:28" s="3" customFormat="1" ht="15.75" x14ac:dyDescent="0.25">
      <c r="A126" s="4" t="s">
        <v>93</v>
      </c>
      <c r="B126" s="4" t="s">
        <v>28</v>
      </c>
      <c r="C126" s="4">
        <v>31.36</v>
      </c>
      <c r="D126" s="4">
        <v>15.63</v>
      </c>
      <c r="E126" s="4">
        <v>0</v>
      </c>
      <c r="F126" s="4">
        <v>0</v>
      </c>
      <c r="G126" s="4">
        <v>0</v>
      </c>
      <c r="H126" s="4">
        <v>200.61</v>
      </c>
      <c r="I126" s="5">
        <f>55117 / 86400</f>
        <v>0.63792824074074073</v>
      </c>
      <c r="J126" s="4">
        <v>0</v>
      </c>
      <c r="K126" s="4">
        <v>0</v>
      </c>
      <c r="L126" s="4">
        <v>13.1</v>
      </c>
      <c r="M126" s="4">
        <v>96</v>
      </c>
      <c r="N126" s="5">
        <f>33 / 86400</f>
        <v>3.8194444444444446E-4</v>
      </c>
      <c r="O126" s="4">
        <v>0.06</v>
      </c>
      <c r="P126" s="4" t="s">
        <v>28</v>
      </c>
      <c r="Q126" s="4" t="s">
        <v>28</v>
      </c>
      <c r="R126" s="4">
        <v>7</v>
      </c>
      <c r="S126" s="4">
        <v>3.49</v>
      </c>
      <c r="T126" s="4">
        <v>295</v>
      </c>
      <c r="U126" s="4">
        <v>147.05000000000001</v>
      </c>
      <c r="V126" s="4">
        <v>853</v>
      </c>
      <c r="W126" s="4">
        <v>425.2</v>
      </c>
      <c r="X126" s="4">
        <v>0</v>
      </c>
      <c r="Y126" s="4">
        <v>0</v>
      </c>
      <c r="Z126" s="5">
        <f>3770 / 86400</f>
        <v>4.3634259259259262E-2</v>
      </c>
      <c r="AA126" s="4">
        <v>6.84</v>
      </c>
      <c r="AB126" s="4" t="s">
        <v>28</v>
      </c>
    </row>
    <row r="127" spans="1:28" s="6" customFormat="1" ht="15.75" x14ac:dyDescent="0.25">
      <c r="A127" s="6" t="s">
        <v>28</v>
      </c>
      <c r="B127" s="6" t="s">
        <v>29</v>
      </c>
      <c r="C127" s="6">
        <v>31.36</v>
      </c>
      <c r="D127" s="6">
        <v>15.63</v>
      </c>
      <c r="E127" s="6">
        <v>0</v>
      </c>
      <c r="F127" s="6">
        <v>0</v>
      </c>
      <c r="G127" s="6">
        <v>0</v>
      </c>
      <c r="H127" s="6">
        <v>200.61</v>
      </c>
      <c r="I127" s="7">
        <f>55117 / 86400</f>
        <v>0.63792824074074073</v>
      </c>
      <c r="J127" s="6">
        <v>0</v>
      </c>
      <c r="K127" s="6">
        <v>0</v>
      </c>
      <c r="L127" s="6">
        <v>13.1</v>
      </c>
      <c r="M127" s="6">
        <v>96</v>
      </c>
      <c r="N127" s="7">
        <f>33 / 86400</f>
        <v>3.8194444444444446E-4</v>
      </c>
      <c r="O127" s="6">
        <v>0.06</v>
      </c>
      <c r="P127" s="6" t="s">
        <v>28</v>
      </c>
      <c r="Q127" s="6" t="s">
        <v>28</v>
      </c>
      <c r="R127" s="6">
        <v>7</v>
      </c>
      <c r="S127" s="6">
        <v>3.49</v>
      </c>
      <c r="T127" s="6">
        <v>295</v>
      </c>
      <c r="U127" s="6">
        <v>147.05000000000001</v>
      </c>
      <c r="V127" s="6">
        <v>853</v>
      </c>
      <c r="W127" s="6">
        <v>425.2</v>
      </c>
      <c r="X127" s="6">
        <v>0</v>
      </c>
      <c r="Y127" s="6">
        <v>0</v>
      </c>
      <c r="Z127" s="7">
        <f>3770 / 86400</f>
        <v>4.3634259259259262E-2</v>
      </c>
      <c r="AA127" s="6">
        <v>6.84</v>
      </c>
      <c r="AB127" s="6" t="s">
        <v>28</v>
      </c>
    </row>
    <row r="128" spans="1:28" s="3" customFormat="1" ht="15.75" x14ac:dyDescent="0.25">
      <c r="A128" s="4" t="s">
        <v>94</v>
      </c>
      <c r="B128" s="4" t="s">
        <v>28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0.21</v>
      </c>
      <c r="I128" s="5">
        <f>264 / 86400</f>
        <v>3.0555555555555557E-3</v>
      </c>
      <c r="J128" s="4">
        <v>0</v>
      </c>
      <c r="K128" s="4">
        <v>0</v>
      </c>
      <c r="L128" s="4">
        <v>2.82</v>
      </c>
      <c r="M128" s="4">
        <v>16</v>
      </c>
      <c r="N128" s="5">
        <f t="shared" ref="N128:N133" si="3">0 / 86400</f>
        <v>0</v>
      </c>
      <c r="O128" s="4">
        <v>0</v>
      </c>
      <c r="P128" s="4" t="s">
        <v>28</v>
      </c>
      <c r="Q128" s="4" t="s">
        <v>28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5">
        <f>0 / 86400</f>
        <v>0</v>
      </c>
      <c r="AA128" s="4">
        <v>0</v>
      </c>
      <c r="AB128" s="4" t="s">
        <v>28</v>
      </c>
    </row>
    <row r="129" spans="1:28" s="6" customFormat="1" ht="15.75" x14ac:dyDescent="0.25">
      <c r="A129" s="6" t="s">
        <v>28</v>
      </c>
      <c r="B129" s="6" t="s">
        <v>29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0.21</v>
      </c>
      <c r="I129" s="7">
        <f>264 / 86400</f>
        <v>3.0555555555555557E-3</v>
      </c>
      <c r="J129" s="6">
        <v>0</v>
      </c>
      <c r="K129" s="6">
        <v>0</v>
      </c>
      <c r="L129" s="6">
        <v>2.82</v>
      </c>
      <c r="M129" s="6">
        <v>16</v>
      </c>
      <c r="N129" s="7">
        <f t="shared" si="3"/>
        <v>0</v>
      </c>
      <c r="O129" s="6">
        <v>0</v>
      </c>
      <c r="P129" s="6" t="s">
        <v>28</v>
      </c>
      <c r="Q129" s="6" t="s">
        <v>28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7">
        <f>0 / 86400</f>
        <v>0</v>
      </c>
      <c r="AA129" s="6">
        <v>0</v>
      </c>
      <c r="AB129" s="6" t="s">
        <v>28</v>
      </c>
    </row>
    <row r="130" spans="1:28" s="3" customFormat="1" ht="15.75" x14ac:dyDescent="0.25">
      <c r="A130" s="4" t="s">
        <v>95</v>
      </c>
      <c r="B130" s="4" t="s">
        <v>28</v>
      </c>
      <c r="C130" s="4">
        <v>31.3</v>
      </c>
      <c r="D130" s="4">
        <v>15.25</v>
      </c>
      <c r="E130" s="4">
        <v>0</v>
      </c>
      <c r="F130" s="4">
        <v>0</v>
      </c>
      <c r="G130" s="4">
        <v>0</v>
      </c>
      <c r="H130" s="4">
        <v>205.26</v>
      </c>
      <c r="I130" s="5">
        <f>47814 / 86400</f>
        <v>0.5534027777777778</v>
      </c>
      <c r="J130" s="4">
        <v>0</v>
      </c>
      <c r="K130" s="4">
        <v>0</v>
      </c>
      <c r="L130" s="4">
        <v>15.45</v>
      </c>
      <c r="M130" s="4">
        <v>81</v>
      </c>
      <c r="N130" s="5">
        <f t="shared" si="3"/>
        <v>0</v>
      </c>
      <c r="O130" s="4">
        <v>0</v>
      </c>
      <c r="P130" s="4" t="s">
        <v>28</v>
      </c>
      <c r="Q130" s="4" t="s">
        <v>28</v>
      </c>
      <c r="R130" s="4">
        <v>10</v>
      </c>
      <c r="S130" s="4">
        <v>4.87</v>
      </c>
      <c r="T130" s="4">
        <v>290</v>
      </c>
      <c r="U130" s="4">
        <v>141.29</v>
      </c>
      <c r="V130" s="4">
        <v>871</v>
      </c>
      <c r="W130" s="4">
        <v>424.35</v>
      </c>
      <c r="X130" s="4">
        <v>3</v>
      </c>
      <c r="Y130" s="4">
        <v>1.46</v>
      </c>
      <c r="Z130" s="5">
        <f>4868 / 86400</f>
        <v>5.634259259259259E-2</v>
      </c>
      <c r="AA130" s="4">
        <v>10.18</v>
      </c>
      <c r="AB130" s="4" t="s">
        <v>28</v>
      </c>
    </row>
    <row r="131" spans="1:28" s="6" customFormat="1" ht="15.75" x14ac:dyDescent="0.25">
      <c r="A131" s="6" t="s">
        <v>28</v>
      </c>
      <c r="B131" s="6" t="s">
        <v>29</v>
      </c>
      <c r="C131" s="6">
        <v>31.3</v>
      </c>
      <c r="D131" s="6">
        <v>15.25</v>
      </c>
      <c r="E131" s="6">
        <v>0</v>
      </c>
      <c r="F131" s="6">
        <v>0</v>
      </c>
      <c r="G131" s="6">
        <v>0</v>
      </c>
      <c r="H131" s="6">
        <v>205.26</v>
      </c>
      <c r="I131" s="7">
        <f>47814 / 86400</f>
        <v>0.5534027777777778</v>
      </c>
      <c r="J131" s="6">
        <v>0</v>
      </c>
      <c r="K131" s="6">
        <v>0</v>
      </c>
      <c r="L131" s="6">
        <v>15.45</v>
      </c>
      <c r="M131" s="6">
        <v>81</v>
      </c>
      <c r="N131" s="7">
        <f t="shared" si="3"/>
        <v>0</v>
      </c>
      <c r="O131" s="6">
        <v>0</v>
      </c>
      <c r="P131" s="6" t="s">
        <v>28</v>
      </c>
      <c r="Q131" s="6" t="s">
        <v>28</v>
      </c>
      <c r="R131" s="6">
        <v>10</v>
      </c>
      <c r="S131" s="6">
        <v>4.87</v>
      </c>
      <c r="T131" s="6">
        <v>290</v>
      </c>
      <c r="U131" s="6">
        <v>141.29</v>
      </c>
      <c r="V131" s="6">
        <v>871</v>
      </c>
      <c r="W131" s="6">
        <v>424.35</v>
      </c>
      <c r="X131" s="6">
        <v>3</v>
      </c>
      <c r="Y131" s="6">
        <v>1.46</v>
      </c>
      <c r="Z131" s="7">
        <f>4868 / 86400</f>
        <v>5.634259259259259E-2</v>
      </c>
      <c r="AA131" s="6">
        <v>10.18</v>
      </c>
      <c r="AB131" s="6" t="s">
        <v>28</v>
      </c>
    </row>
    <row r="132" spans="1:28" s="3" customFormat="1" ht="15.75" x14ac:dyDescent="0.25">
      <c r="A132" s="4" t="s">
        <v>96</v>
      </c>
      <c r="B132" s="4" t="s">
        <v>28</v>
      </c>
      <c r="C132" s="4">
        <v>111.4</v>
      </c>
      <c r="D132" s="4">
        <v>88.29</v>
      </c>
      <c r="E132" s="4">
        <v>0</v>
      </c>
      <c r="F132" s="4">
        <v>0</v>
      </c>
      <c r="G132" s="4">
        <v>0</v>
      </c>
      <c r="H132" s="4">
        <v>126.18</v>
      </c>
      <c r="I132" s="5">
        <f>31305 / 86400</f>
        <v>0.36232638888888891</v>
      </c>
      <c r="J132" s="4">
        <v>0</v>
      </c>
      <c r="K132" s="4">
        <v>0</v>
      </c>
      <c r="L132" s="4">
        <v>14.51</v>
      </c>
      <c r="M132" s="4">
        <v>78</v>
      </c>
      <c r="N132" s="5">
        <f t="shared" si="3"/>
        <v>0</v>
      </c>
      <c r="O132" s="4">
        <v>0</v>
      </c>
      <c r="P132" s="4" t="s">
        <v>28</v>
      </c>
      <c r="Q132" s="4" t="s">
        <v>28</v>
      </c>
      <c r="R132" s="4">
        <v>170</v>
      </c>
      <c r="S132" s="4">
        <v>134.72999999999999</v>
      </c>
      <c r="T132" s="4">
        <v>653</v>
      </c>
      <c r="U132" s="4">
        <v>517.52</v>
      </c>
      <c r="V132" s="4">
        <v>290</v>
      </c>
      <c r="W132" s="4">
        <v>229.83</v>
      </c>
      <c r="X132" s="4">
        <v>121</v>
      </c>
      <c r="Y132" s="4">
        <v>95.9</v>
      </c>
      <c r="Z132" s="5">
        <f>2722 / 86400</f>
        <v>3.1504629629629632E-2</v>
      </c>
      <c r="AA132" s="4">
        <v>8.6999999999999993</v>
      </c>
      <c r="AB132" s="4" t="s">
        <v>28</v>
      </c>
    </row>
    <row r="133" spans="1:28" s="6" customFormat="1" ht="15.75" x14ac:dyDescent="0.25">
      <c r="A133" s="6" t="s">
        <v>28</v>
      </c>
      <c r="B133" s="6" t="s">
        <v>29</v>
      </c>
      <c r="C133" s="6">
        <v>111.4</v>
      </c>
      <c r="D133" s="6">
        <v>88.29</v>
      </c>
      <c r="E133" s="6">
        <v>0</v>
      </c>
      <c r="F133" s="6">
        <v>0</v>
      </c>
      <c r="G133" s="6">
        <v>0</v>
      </c>
      <c r="H133" s="6">
        <v>126.18</v>
      </c>
      <c r="I133" s="7">
        <f>31305 / 86400</f>
        <v>0.36232638888888891</v>
      </c>
      <c r="J133" s="6">
        <v>0</v>
      </c>
      <c r="K133" s="6">
        <v>0</v>
      </c>
      <c r="L133" s="6">
        <v>14.51</v>
      </c>
      <c r="M133" s="6">
        <v>78</v>
      </c>
      <c r="N133" s="7">
        <f t="shared" si="3"/>
        <v>0</v>
      </c>
      <c r="O133" s="6">
        <v>0</v>
      </c>
      <c r="P133" s="6" t="s">
        <v>28</v>
      </c>
      <c r="Q133" s="6" t="s">
        <v>28</v>
      </c>
      <c r="R133" s="6">
        <v>170</v>
      </c>
      <c r="S133" s="6">
        <v>134.72999999999999</v>
      </c>
      <c r="T133" s="6">
        <v>653</v>
      </c>
      <c r="U133" s="6">
        <v>517.52</v>
      </c>
      <c r="V133" s="6">
        <v>290</v>
      </c>
      <c r="W133" s="6">
        <v>229.83</v>
      </c>
      <c r="X133" s="6">
        <v>121</v>
      </c>
      <c r="Y133" s="6">
        <v>95.9</v>
      </c>
      <c r="Z133" s="7">
        <f>2722 / 86400</f>
        <v>3.1504629629629632E-2</v>
      </c>
      <c r="AA133" s="6">
        <v>8.6999999999999993</v>
      </c>
      <c r="AB133" s="6" t="s">
        <v>28</v>
      </c>
    </row>
    <row r="134" spans="1:28" s="3" customFormat="1" ht="15.75" x14ac:dyDescent="0.25">
      <c r="A134" s="4" t="s">
        <v>97</v>
      </c>
      <c r="B134" s="4" t="s">
        <v>28</v>
      </c>
      <c r="C134" s="4">
        <v>148.99</v>
      </c>
      <c r="D134" s="4">
        <v>65.09</v>
      </c>
      <c r="E134" s="4">
        <v>0</v>
      </c>
      <c r="F134" s="4">
        <v>0</v>
      </c>
      <c r="G134" s="4">
        <v>0</v>
      </c>
      <c r="H134" s="4">
        <v>228.89</v>
      </c>
      <c r="I134" s="5">
        <f>229 / 86400</f>
        <v>2.650462962962963E-3</v>
      </c>
      <c r="J134" s="4">
        <v>0</v>
      </c>
      <c r="K134" s="4">
        <v>0</v>
      </c>
      <c r="L134" s="4">
        <v>3598.21</v>
      </c>
      <c r="M134" s="4">
        <v>86</v>
      </c>
      <c r="N134" s="5">
        <f>22 / 86400</f>
        <v>2.5462962962962961E-4</v>
      </c>
      <c r="O134" s="4">
        <v>9.61</v>
      </c>
      <c r="P134" s="4" t="s">
        <v>28</v>
      </c>
      <c r="Q134" s="4" t="s">
        <v>28</v>
      </c>
      <c r="R134" s="4">
        <v>198</v>
      </c>
      <c r="S134" s="4">
        <v>86.51</v>
      </c>
      <c r="T134" s="4">
        <v>693</v>
      </c>
      <c r="U134" s="4">
        <v>302.77</v>
      </c>
      <c r="V134" s="4">
        <v>373</v>
      </c>
      <c r="W134" s="4">
        <v>162.96</v>
      </c>
      <c r="X134" s="4">
        <v>8</v>
      </c>
      <c r="Y134" s="4">
        <v>3.5</v>
      </c>
      <c r="Z134" s="5">
        <f>0 / 86400</f>
        <v>0</v>
      </c>
      <c r="AA134" s="4">
        <v>0</v>
      </c>
      <c r="AB134" s="4" t="s">
        <v>28</v>
      </c>
    </row>
    <row r="135" spans="1:28" s="6" customFormat="1" ht="15.75" x14ac:dyDescent="0.25">
      <c r="A135" s="6" t="s">
        <v>28</v>
      </c>
      <c r="B135" s="6" t="s">
        <v>29</v>
      </c>
      <c r="C135" s="6">
        <v>148.99</v>
      </c>
      <c r="D135" s="6">
        <v>65.09</v>
      </c>
      <c r="E135" s="6">
        <v>0</v>
      </c>
      <c r="F135" s="6">
        <v>0</v>
      </c>
      <c r="G135" s="6">
        <v>0</v>
      </c>
      <c r="H135" s="6">
        <v>228.89</v>
      </c>
      <c r="I135" s="7">
        <f>229 / 86400</f>
        <v>2.650462962962963E-3</v>
      </c>
      <c r="J135" s="6">
        <v>0</v>
      </c>
      <c r="K135" s="6">
        <v>0</v>
      </c>
      <c r="L135" s="6">
        <v>3598.21</v>
      </c>
      <c r="M135" s="6">
        <v>86</v>
      </c>
      <c r="N135" s="7">
        <f>22 / 86400</f>
        <v>2.5462962962962961E-4</v>
      </c>
      <c r="O135" s="6">
        <v>9.61</v>
      </c>
      <c r="P135" s="6" t="s">
        <v>28</v>
      </c>
      <c r="Q135" s="6" t="s">
        <v>28</v>
      </c>
      <c r="R135" s="6">
        <v>198</v>
      </c>
      <c r="S135" s="6">
        <v>86.51</v>
      </c>
      <c r="T135" s="6">
        <v>693</v>
      </c>
      <c r="U135" s="6">
        <v>302.77</v>
      </c>
      <c r="V135" s="6">
        <v>373</v>
      </c>
      <c r="W135" s="6">
        <v>162.96</v>
      </c>
      <c r="X135" s="6">
        <v>8</v>
      </c>
      <c r="Y135" s="6">
        <v>3.5</v>
      </c>
      <c r="Z135" s="7">
        <f>0 / 86400</f>
        <v>0</v>
      </c>
      <c r="AA135" s="6">
        <v>0</v>
      </c>
      <c r="AB135" s="6" t="s">
        <v>28</v>
      </c>
    </row>
    <row r="136" spans="1:28" s="3" customFormat="1" ht="15.75" x14ac:dyDescent="0.25">
      <c r="A136" s="4" t="s">
        <v>98</v>
      </c>
      <c r="B136" s="4" t="s">
        <v>28</v>
      </c>
      <c r="C136" s="4">
        <v>50.65</v>
      </c>
      <c r="D136" s="4">
        <v>25.08</v>
      </c>
      <c r="E136" s="4">
        <v>0</v>
      </c>
      <c r="F136" s="4">
        <v>0</v>
      </c>
      <c r="G136" s="4">
        <v>0</v>
      </c>
      <c r="H136" s="4">
        <v>201.93</v>
      </c>
      <c r="I136" s="5">
        <f>31119 / 86400</f>
        <v>0.36017361111111112</v>
      </c>
      <c r="J136" s="4">
        <v>0</v>
      </c>
      <c r="K136" s="4">
        <v>0</v>
      </c>
      <c r="L136" s="4">
        <v>23.36</v>
      </c>
      <c r="M136" s="4">
        <v>96</v>
      </c>
      <c r="N136" s="5">
        <f>76 / 86400</f>
        <v>8.7962962962962962E-4</v>
      </c>
      <c r="O136" s="4">
        <v>0.24</v>
      </c>
      <c r="P136" s="4" t="s">
        <v>28</v>
      </c>
      <c r="Q136" s="4" t="s">
        <v>28</v>
      </c>
      <c r="R136" s="4">
        <v>41</v>
      </c>
      <c r="S136" s="4">
        <v>20.3</v>
      </c>
      <c r="T136" s="4">
        <v>400</v>
      </c>
      <c r="U136" s="4">
        <v>198.08</v>
      </c>
      <c r="V136" s="4">
        <v>915</v>
      </c>
      <c r="W136" s="4">
        <v>453.12</v>
      </c>
      <c r="X136" s="4">
        <v>0</v>
      </c>
      <c r="Y136" s="4">
        <v>0</v>
      </c>
      <c r="Z136" s="5">
        <f>0 / 86400</f>
        <v>0</v>
      </c>
      <c r="AA136" s="4">
        <v>0</v>
      </c>
      <c r="AB136" s="4" t="s">
        <v>28</v>
      </c>
    </row>
    <row r="137" spans="1:28" s="6" customFormat="1" ht="15.75" x14ac:dyDescent="0.25">
      <c r="A137" s="6" t="s">
        <v>28</v>
      </c>
      <c r="B137" s="6" t="s">
        <v>29</v>
      </c>
      <c r="C137" s="6">
        <v>50.65</v>
      </c>
      <c r="D137" s="6">
        <v>25.08</v>
      </c>
      <c r="E137" s="6">
        <v>0</v>
      </c>
      <c r="F137" s="6">
        <v>0</v>
      </c>
      <c r="G137" s="6">
        <v>0</v>
      </c>
      <c r="H137" s="6">
        <v>201.93</v>
      </c>
      <c r="I137" s="7">
        <f>31119 / 86400</f>
        <v>0.36017361111111112</v>
      </c>
      <c r="J137" s="6">
        <v>0</v>
      </c>
      <c r="K137" s="6">
        <v>0</v>
      </c>
      <c r="L137" s="6">
        <v>23.36</v>
      </c>
      <c r="M137" s="6">
        <v>96</v>
      </c>
      <c r="N137" s="7">
        <f>76 / 86400</f>
        <v>8.7962962962962962E-4</v>
      </c>
      <c r="O137" s="6">
        <v>0.24</v>
      </c>
      <c r="P137" s="6" t="s">
        <v>28</v>
      </c>
      <c r="Q137" s="6" t="s">
        <v>28</v>
      </c>
      <c r="R137" s="6">
        <v>41</v>
      </c>
      <c r="S137" s="6">
        <v>20.3</v>
      </c>
      <c r="T137" s="6">
        <v>400</v>
      </c>
      <c r="U137" s="6">
        <v>198.08</v>
      </c>
      <c r="V137" s="6">
        <v>915</v>
      </c>
      <c r="W137" s="6">
        <v>453.12</v>
      </c>
      <c r="X137" s="6">
        <v>0</v>
      </c>
      <c r="Y137" s="6">
        <v>0</v>
      </c>
      <c r="Z137" s="7">
        <f>0 / 86400</f>
        <v>0</v>
      </c>
      <c r="AA137" s="6">
        <v>0</v>
      </c>
      <c r="AB137" s="6" t="s">
        <v>28</v>
      </c>
    </row>
    <row r="138" spans="1:28" s="3" customFormat="1" ht="15.75" x14ac:dyDescent="0.25">
      <c r="A138" s="4" t="s">
        <v>99</v>
      </c>
      <c r="B138" s="4" t="s">
        <v>28</v>
      </c>
      <c r="C138" s="4">
        <v>10.199999999999999</v>
      </c>
      <c r="D138" s="4">
        <v>181.3</v>
      </c>
      <c r="E138" s="4">
        <v>0</v>
      </c>
      <c r="F138" s="4">
        <v>0</v>
      </c>
      <c r="G138" s="4">
        <v>0</v>
      </c>
      <c r="H138" s="4">
        <v>5.63</v>
      </c>
      <c r="I138" s="5">
        <f>4032 / 86400</f>
        <v>4.6666666666666669E-2</v>
      </c>
      <c r="J138" s="4">
        <v>0</v>
      </c>
      <c r="K138" s="4">
        <v>0</v>
      </c>
      <c r="L138" s="4">
        <v>5.0199999999999996</v>
      </c>
      <c r="M138" s="4">
        <v>49</v>
      </c>
      <c r="N138" s="5">
        <f>0 / 86400</f>
        <v>0</v>
      </c>
      <c r="O138" s="4">
        <v>0</v>
      </c>
      <c r="P138" s="4" t="s">
        <v>28</v>
      </c>
      <c r="Q138" s="4" t="s">
        <v>28</v>
      </c>
      <c r="R138" s="4">
        <v>8</v>
      </c>
      <c r="S138" s="4">
        <v>142.19999999999999</v>
      </c>
      <c r="T138" s="4">
        <v>85</v>
      </c>
      <c r="U138" s="4">
        <v>1510.84</v>
      </c>
      <c r="V138" s="4">
        <v>26</v>
      </c>
      <c r="W138" s="4">
        <v>462.14</v>
      </c>
      <c r="X138" s="4">
        <v>1</v>
      </c>
      <c r="Y138" s="4">
        <v>17.77</v>
      </c>
      <c r="Z138" s="5">
        <f>1337 / 86400</f>
        <v>1.5474537037037037E-2</v>
      </c>
      <c r="AA138" s="4">
        <v>33.159999999999997</v>
      </c>
      <c r="AB138" s="4" t="s">
        <v>28</v>
      </c>
    </row>
    <row r="139" spans="1:28" s="6" customFormat="1" ht="15.75" x14ac:dyDescent="0.25">
      <c r="A139" s="6" t="s">
        <v>28</v>
      </c>
      <c r="B139" s="6" t="s">
        <v>29</v>
      </c>
      <c r="C139" s="6">
        <v>10.199999999999999</v>
      </c>
      <c r="D139" s="6">
        <v>181.3</v>
      </c>
      <c r="E139" s="6">
        <v>0</v>
      </c>
      <c r="F139" s="6">
        <v>0</v>
      </c>
      <c r="G139" s="6">
        <v>0</v>
      </c>
      <c r="H139" s="6">
        <v>5.63</v>
      </c>
      <c r="I139" s="7">
        <f>4032 / 86400</f>
        <v>4.6666666666666669E-2</v>
      </c>
      <c r="J139" s="6">
        <v>0</v>
      </c>
      <c r="K139" s="6">
        <v>0</v>
      </c>
      <c r="L139" s="6">
        <v>5.0199999999999996</v>
      </c>
      <c r="M139" s="6">
        <v>49</v>
      </c>
      <c r="N139" s="7">
        <f>0 / 86400</f>
        <v>0</v>
      </c>
      <c r="O139" s="6">
        <v>0</v>
      </c>
      <c r="P139" s="6" t="s">
        <v>28</v>
      </c>
      <c r="Q139" s="6" t="s">
        <v>28</v>
      </c>
      <c r="R139" s="6">
        <v>8</v>
      </c>
      <c r="S139" s="6">
        <v>142.19999999999999</v>
      </c>
      <c r="T139" s="6">
        <v>85</v>
      </c>
      <c r="U139" s="6">
        <v>1510.84</v>
      </c>
      <c r="V139" s="6">
        <v>26</v>
      </c>
      <c r="W139" s="6">
        <v>462.14</v>
      </c>
      <c r="X139" s="6">
        <v>1</v>
      </c>
      <c r="Y139" s="6">
        <v>17.77</v>
      </c>
      <c r="Z139" s="7">
        <f>1337 / 86400</f>
        <v>1.5474537037037037E-2</v>
      </c>
      <c r="AA139" s="6">
        <v>33.159999999999997</v>
      </c>
      <c r="AB139" s="6" t="s">
        <v>28</v>
      </c>
    </row>
    <row r="140" spans="1:28" s="3" customFormat="1" ht="15.75" x14ac:dyDescent="0.25">
      <c r="A140" s="4" t="s">
        <v>100</v>
      </c>
      <c r="B140" s="4" t="s">
        <v>28</v>
      </c>
      <c r="C140" s="4">
        <v>159.59</v>
      </c>
      <c r="D140" s="4">
        <v>79.150000000000006</v>
      </c>
      <c r="E140" s="4">
        <v>0</v>
      </c>
      <c r="F140" s="4">
        <v>0</v>
      </c>
      <c r="G140" s="4">
        <v>0</v>
      </c>
      <c r="H140" s="4">
        <v>201.65</v>
      </c>
      <c r="I140" s="5">
        <f>46165 / 86400</f>
        <v>0.53431712962962963</v>
      </c>
      <c r="J140" s="4">
        <v>0</v>
      </c>
      <c r="K140" s="4">
        <v>0</v>
      </c>
      <c r="L140" s="4">
        <v>15.72</v>
      </c>
      <c r="M140" s="4">
        <v>85</v>
      </c>
      <c r="N140" s="5">
        <f>14 / 86400</f>
        <v>1.6203703703703703E-4</v>
      </c>
      <c r="O140" s="4">
        <v>0.03</v>
      </c>
      <c r="P140" s="4" t="s">
        <v>28</v>
      </c>
      <c r="Q140" s="4" t="s">
        <v>28</v>
      </c>
      <c r="R140" s="4">
        <v>280</v>
      </c>
      <c r="S140" s="4">
        <v>138.86000000000001</v>
      </c>
      <c r="T140" s="4">
        <v>944</v>
      </c>
      <c r="U140" s="4">
        <v>468.14</v>
      </c>
      <c r="V140" s="4">
        <v>497</v>
      </c>
      <c r="W140" s="4">
        <v>246.47</v>
      </c>
      <c r="X140" s="4">
        <v>90</v>
      </c>
      <c r="Y140" s="4">
        <v>44.63</v>
      </c>
      <c r="Z140" s="5">
        <f>2605 / 86400</f>
        <v>3.0150462962962962E-2</v>
      </c>
      <c r="AA140" s="4">
        <v>5.64</v>
      </c>
      <c r="AB140" s="4" t="s">
        <v>28</v>
      </c>
    </row>
    <row r="141" spans="1:28" s="6" customFormat="1" ht="15.75" x14ac:dyDescent="0.25">
      <c r="A141" s="6" t="s">
        <v>28</v>
      </c>
      <c r="B141" s="6" t="s">
        <v>29</v>
      </c>
      <c r="C141" s="6">
        <v>159.59</v>
      </c>
      <c r="D141" s="6">
        <v>79.150000000000006</v>
      </c>
      <c r="E141" s="6">
        <v>0</v>
      </c>
      <c r="F141" s="6">
        <v>0</v>
      </c>
      <c r="G141" s="6">
        <v>0</v>
      </c>
      <c r="H141" s="6">
        <v>201.65</v>
      </c>
      <c r="I141" s="7">
        <f>46165 / 86400</f>
        <v>0.53431712962962963</v>
      </c>
      <c r="J141" s="6">
        <v>0</v>
      </c>
      <c r="K141" s="6">
        <v>0</v>
      </c>
      <c r="L141" s="6">
        <v>15.72</v>
      </c>
      <c r="M141" s="6">
        <v>85</v>
      </c>
      <c r="N141" s="7">
        <f>14 / 86400</f>
        <v>1.6203703703703703E-4</v>
      </c>
      <c r="O141" s="6">
        <v>0.03</v>
      </c>
      <c r="P141" s="6" t="s">
        <v>28</v>
      </c>
      <c r="Q141" s="6" t="s">
        <v>28</v>
      </c>
      <c r="R141" s="6">
        <v>280</v>
      </c>
      <c r="S141" s="6">
        <v>138.86000000000001</v>
      </c>
      <c r="T141" s="6">
        <v>944</v>
      </c>
      <c r="U141" s="6">
        <v>468.14</v>
      </c>
      <c r="V141" s="6">
        <v>497</v>
      </c>
      <c r="W141" s="6">
        <v>246.47</v>
      </c>
      <c r="X141" s="6">
        <v>90</v>
      </c>
      <c r="Y141" s="6">
        <v>44.63</v>
      </c>
      <c r="Z141" s="7">
        <f>2605 / 86400</f>
        <v>3.0150462962962962E-2</v>
      </c>
      <c r="AA141" s="6">
        <v>5.64</v>
      </c>
      <c r="AB141" s="6" t="s">
        <v>28</v>
      </c>
    </row>
    <row r="142" spans="1:28" s="3" customFormat="1" ht="15.75" x14ac:dyDescent="0.25">
      <c r="A142" s="4" t="s">
        <v>101</v>
      </c>
      <c r="B142" s="4" t="s">
        <v>28</v>
      </c>
      <c r="C142" s="4">
        <v>154.4</v>
      </c>
      <c r="D142" s="4">
        <v>82.36</v>
      </c>
      <c r="E142" s="4">
        <v>0</v>
      </c>
      <c r="F142" s="4">
        <v>0</v>
      </c>
      <c r="G142" s="4">
        <v>0</v>
      </c>
      <c r="H142" s="4">
        <v>187.47</v>
      </c>
      <c r="I142" s="5">
        <f>17986 / 86400</f>
        <v>0.2081712962962963</v>
      </c>
      <c r="J142" s="4">
        <v>0</v>
      </c>
      <c r="K142" s="4">
        <v>0</v>
      </c>
      <c r="L142" s="4">
        <v>37.520000000000003</v>
      </c>
      <c r="M142" s="4">
        <v>76</v>
      </c>
      <c r="N142" s="5">
        <f t="shared" ref="N142:N151" si="4">0 / 86400</f>
        <v>0</v>
      </c>
      <c r="O142" s="4">
        <v>0</v>
      </c>
      <c r="P142" s="4" t="s">
        <v>28</v>
      </c>
      <c r="Q142" s="4" t="s">
        <v>28</v>
      </c>
      <c r="R142" s="4">
        <v>233</v>
      </c>
      <c r="S142" s="4">
        <v>124.29</v>
      </c>
      <c r="T142" s="4">
        <v>931</v>
      </c>
      <c r="U142" s="4">
        <v>496.62</v>
      </c>
      <c r="V142" s="4">
        <v>604</v>
      </c>
      <c r="W142" s="4">
        <v>322.19</v>
      </c>
      <c r="X142" s="4">
        <v>147</v>
      </c>
      <c r="Y142" s="4">
        <v>78.41</v>
      </c>
      <c r="Z142" s="5">
        <f>0 / 86400</f>
        <v>0</v>
      </c>
      <c r="AA142" s="4">
        <v>0</v>
      </c>
      <c r="AB142" s="4" t="s">
        <v>28</v>
      </c>
    </row>
    <row r="143" spans="1:28" s="6" customFormat="1" ht="15.75" x14ac:dyDescent="0.25">
      <c r="A143" s="6" t="s">
        <v>28</v>
      </c>
      <c r="B143" s="6" t="s">
        <v>29</v>
      </c>
      <c r="C143" s="6">
        <v>154.4</v>
      </c>
      <c r="D143" s="6">
        <v>82.36</v>
      </c>
      <c r="E143" s="6">
        <v>0</v>
      </c>
      <c r="F143" s="6">
        <v>0</v>
      </c>
      <c r="G143" s="6">
        <v>0</v>
      </c>
      <c r="H143" s="6">
        <v>187.47</v>
      </c>
      <c r="I143" s="7">
        <f>17986 / 86400</f>
        <v>0.2081712962962963</v>
      </c>
      <c r="J143" s="6">
        <v>0</v>
      </c>
      <c r="K143" s="6">
        <v>0</v>
      </c>
      <c r="L143" s="6">
        <v>37.520000000000003</v>
      </c>
      <c r="M143" s="6">
        <v>76</v>
      </c>
      <c r="N143" s="7">
        <f t="shared" si="4"/>
        <v>0</v>
      </c>
      <c r="O143" s="6">
        <v>0</v>
      </c>
      <c r="P143" s="6" t="s">
        <v>28</v>
      </c>
      <c r="Q143" s="6" t="s">
        <v>28</v>
      </c>
      <c r="R143" s="6">
        <v>233</v>
      </c>
      <c r="S143" s="6">
        <v>124.29</v>
      </c>
      <c r="T143" s="6">
        <v>931</v>
      </c>
      <c r="U143" s="6">
        <v>496.62</v>
      </c>
      <c r="V143" s="6">
        <v>604</v>
      </c>
      <c r="W143" s="6">
        <v>322.19</v>
      </c>
      <c r="X143" s="6">
        <v>147</v>
      </c>
      <c r="Y143" s="6">
        <v>78.41</v>
      </c>
      <c r="Z143" s="7">
        <f>0 / 86400</f>
        <v>0</v>
      </c>
      <c r="AA143" s="6">
        <v>0</v>
      </c>
      <c r="AB143" s="6" t="s">
        <v>28</v>
      </c>
    </row>
    <row r="144" spans="1:28" s="3" customFormat="1" ht="15.75" x14ac:dyDescent="0.25">
      <c r="A144" s="4" t="s">
        <v>102</v>
      </c>
      <c r="B144" s="4" t="s">
        <v>28</v>
      </c>
      <c r="C144" s="4">
        <v>74.5</v>
      </c>
      <c r="D144" s="4">
        <v>39.99</v>
      </c>
      <c r="E144" s="4">
        <v>0</v>
      </c>
      <c r="F144" s="4">
        <v>0</v>
      </c>
      <c r="G144" s="4">
        <v>0</v>
      </c>
      <c r="H144" s="4">
        <v>186.31</v>
      </c>
      <c r="I144" s="5">
        <f>51022 / 86400</f>
        <v>0.59053240740740742</v>
      </c>
      <c r="J144" s="4">
        <v>0</v>
      </c>
      <c r="K144" s="4">
        <v>0</v>
      </c>
      <c r="L144" s="4">
        <v>13.15</v>
      </c>
      <c r="M144" s="4">
        <v>76</v>
      </c>
      <c r="N144" s="5">
        <f t="shared" si="4"/>
        <v>0</v>
      </c>
      <c r="O144" s="4">
        <v>0</v>
      </c>
      <c r="P144" s="4" t="s">
        <v>28</v>
      </c>
      <c r="Q144" s="4" t="s">
        <v>28</v>
      </c>
      <c r="R144" s="4">
        <v>105</v>
      </c>
      <c r="S144" s="4">
        <v>56.36</v>
      </c>
      <c r="T144" s="4">
        <v>522</v>
      </c>
      <c r="U144" s="4">
        <v>280.17</v>
      </c>
      <c r="V144" s="4">
        <v>343</v>
      </c>
      <c r="W144" s="4">
        <v>184.1</v>
      </c>
      <c r="X144" s="4">
        <v>13</v>
      </c>
      <c r="Y144" s="4">
        <v>6.98</v>
      </c>
      <c r="Z144" s="5">
        <f>4965 / 86400</f>
        <v>5.7465277777777775E-2</v>
      </c>
      <c r="AA144" s="4">
        <v>9.73</v>
      </c>
      <c r="AB144" s="4" t="s">
        <v>28</v>
      </c>
    </row>
    <row r="145" spans="1:28" s="6" customFormat="1" ht="15.75" x14ac:dyDescent="0.25">
      <c r="A145" s="6" t="s">
        <v>28</v>
      </c>
      <c r="B145" s="6" t="s">
        <v>29</v>
      </c>
      <c r="C145" s="6">
        <v>74.5</v>
      </c>
      <c r="D145" s="6">
        <v>39.99</v>
      </c>
      <c r="E145" s="6">
        <v>0</v>
      </c>
      <c r="F145" s="6">
        <v>0</v>
      </c>
      <c r="G145" s="6">
        <v>0</v>
      </c>
      <c r="H145" s="6">
        <v>186.31</v>
      </c>
      <c r="I145" s="7">
        <f>51022 / 86400</f>
        <v>0.59053240740740742</v>
      </c>
      <c r="J145" s="6">
        <v>0</v>
      </c>
      <c r="K145" s="6">
        <v>0</v>
      </c>
      <c r="L145" s="6">
        <v>13.15</v>
      </c>
      <c r="M145" s="6">
        <v>76</v>
      </c>
      <c r="N145" s="7">
        <f t="shared" si="4"/>
        <v>0</v>
      </c>
      <c r="O145" s="6">
        <v>0</v>
      </c>
      <c r="P145" s="6" t="s">
        <v>28</v>
      </c>
      <c r="Q145" s="6" t="s">
        <v>28</v>
      </c>
      <c r="R145" s="6">
        <v>105</v>
      </c>
      <c r="S145" s="6">
        <v>56.36</v>
      </c>
      <c r="T145" s="6">
        <v>522</v>
      </c>
      <c r="U145" s="6">
        <v>280.17</v>
      </c>
      <c r="V145" s="6">
        <v>343</v>
      </c>
      <c r="W145" s="6">
        <v>184.1</v>
      </c>
      <c r="X145" s="6">
        <v>13</v>
      </c>
      <c r="Y145" s="6">
        <v>6.98</v>
      </c>
      <c r="Z145" s="7">
        <f>4965 / 86400</f>
        <v>5.7465277777777775E-2</v>
      </c>
      <c r="AA145" s="6">
        <v>9.73</v>
      </c>
      <c r="AB145" s="6" t="s">
        <v>28</v>
      </c>
    </row>
    <row r="146" spans="1:28" s="3" customFormat="1" ht="15.75" x14ac:dyDescent="0.25">
      <c r="A146" s="4" t="s">
        <v>103</v>
      </c>
      <c r="B146" s="4" t="s">
        <v>28</v>
      </c>
      <c r="C146" s="4">
        <v>40.4</v>
      </c>
      <c r="D146" s="4">
        <v>15.1</v>
      </c>
      <c r="E146" s="4">
        <v>0</v>
      </c>
      <c r="F146" s="4">
        <v>0</v>
      </c>
      <c r="G146" s="4">
        <v>0</v>
      </c>
      <c r="H146" s="4">
        <v>267.58999999999997</v>
      </c>
      <c r="I146" s="5">
        <f>58247 / 86400</f>
        <v>0.67415509259259254</v>
      </c>
      <c r="J146" s="4">
        <v>0</v>
      </c>
      <c r="K146" s="4">
        <v>0</v>
      </c>
      <c r="L146" s="4">
        <v>16.54</v>
      </c>
      <c r="M146" s="4">
        <v>74</v>
      </c>
      <c r="N146" s="5">
        <f t="shared" si="4"/>
        <v>0</v>
      </c>
      <c r="O146" s="4">
        <v>0</v>
      </c>
      <c r="P146" s="4" t="s">
        <v>28</v>
      </c>
      <c r="Q146" s="4" t="s">
        <v>28</v>
      </c>
      <c r="R146" s="4">
        <v>2</v>
      </c>
      <c r="S146" s="4">
        <v>0.75</v>
      </c>
      <c r="T146" s="4">
        <v>400</v>
      </c>
      <c r="U146" s="4">
        <v>149.47999999999999</v>
      </c>
      <c r="V146" s="4">
        <v>1081</v>
      </c>
      <c r="W146" s="4">
        <v>403.97</v>
      </c>
      <c r="X146" s="4">
        <v>0</v>
      </c>
      <c r="Y146" s="4">
        <v>0</v>
      </c>
      <c r="Z146" s="5">
        <f>1258 / 86400</f>
        <v>1.4560185185185185E-2</v>
      </c>
      <c r="AA146" s="4">
        <v>2.16</v>
      </c>
      <c r="AB146" s="4" t="s">
        <v>28</v>
      </c>
    </row>
    <row r="147" spans="1:28" s="6" customFormat="1" ht="15.75" x14ac:dyDescent="0.25">
      <c r="A147" s="6" t="s">
        <v>28</v>
      </c>
      <c r="B147" s="6" t="s">
        <v>29</v>
      </c>
      <c r="C147" s="6">
        <v>40.4</v>
      </c>
      <c r="D147" s="6">
        <v>15.1</v>
      </c>
      <c r="E147" s="6">
        <v>0</v>
      </c>
      <c r="F147" s="6">
        <v>0</v>
      </c>
      <c r="G147" s="6">
        <v>0</v>
      </c>
      <c r="H147" s="6">
        <v>267.58999999999997</v>
      </c>
      <c r="I147" s="7">
        <f>58247 / 86400</f>
        <v>0.67415509259259254</v>
      </c>
      <c r="J147" s="6">
        <v>0</v>
      </c>
      <c r="K147" s="6">
        <v>0</v>
      </c>
      <c r="L147" s="6">
        <v>16.54</v>
      </c>
      <c r="M147" s="6">
        <v>74</v>
      </c>
      <c r="N147" s="7">
        <f t="shared" si="4"/>
        <v>0</v>
      </c>
      <c r="O147" s="6">
        <v>0</v>
      </c>
      <c r="P147" s="6" t="s">
        <v>28</v>
      </c>
      <c r="Q147" s="6" t="s">
        <v>28</v>
      </c>
      <c r="R147" s="6">
        <v>2</v>
      </c>
      <c r="S147" s="6">
        <v>0.75</v>
      </c>
      <c r="T147" s="6">
        <v>400</v>
      </c>
      <c r="U147" s="6">
        <v>149.47999999999999</v>
      </c>
      <c r="V147" s="6">
        <v>1081</v>
      </c>
      <c r="W147" s="6">
        <v>403.97</v>
      </c>
      <c r="X147" s="6">
        <v>0</v>
      </c>
      <c r="Y147" s="6">
        <v>0</v>
      </c>
      <c r="Z147" s="7">
        <f>1258 / 86400</f>
        <v>1.4560185185185185E-2</v>
      </c>
      <c r="AA147" s="6">
        <v>2.16</v>
      </c>
      <c r="AB147" s="6" t="s">
        <v>28</v>
      </c>
    </row>
    <row r="148" spans="1:28" s="3" customFormat="1" ht="15.75" x14ac:dyDescent="0.25">
      <c r="A148" s="4" t="s">
        <v>104</v>
      </c>
      <c r="B148" s="4" t="s">
        <v>28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f>0 / 86400</f>
        <v>0</v>
      </c>
      <c r="J148" s="4">
        <v>0</v>
      </c>
      <c r="K148" s="4">
        <v>0</v>
      </c>
      <c r="L148" s="4">
        <v>0</v>
      </c>
      <c r="M148" s="4">
        <v>0</v>
      </c>
      <c r="N148" s="5">
        <f t="shared" si="4"/>
        <v>0</v>
      </c>
      <c r="O148" s="4">
        <v>0</v>
      </c>
      <c r="P148" s="4" t="s">
        <v>28</v>
      </c>
      <c r="Q148" s="4" t="s">
        <v>28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5">
        <f>0 / 86400</f>
        <v>0</v>
      </c>
      <c r="AA148" s="4">
        <v>0</v>
      </c>
      <c r="AB148" s="4" t="s">
        <v>28</v>
      </c>
    </row>
    <row r="149" spans="1:28" s="6" customFormat="1" ht="15.75" x14ac:dyDescent="0.25">
      <c r="A149" s="6" t="s">
        <v>28</v>
      </c>
      <c r="B149" s="6" t="s">
        <v>29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7">
        <f>0 / 86400</f>
        <v>0</v>
      </c>
      <c r="J149" s="6">
        <v>0</v>
      </c>
      <c r="K149" s="6">
        <v>0</v>
      </c>
      <c r="L149" s="6">
        <v>0</v>
      </c>
      <c r="M149" s="6">
        <v>0</v>
      </c>
      <c r="N149" s="7">
        <f t="shared" si="4"/>
        <v>0</v>
      </c>
      <c r="O149" s="6">
        <v>0</v>
      </c>
      <c r="P149" s="6" t="s">
        <v>28</v>
      </c>
      <c r="Q149" s="6" t="s">
        <v>28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7">
        <f>0 / 86400</f>
        <v>0</v>
      </c>
      <c r="AA149" s="6">
        <v>0</v>
      </c>
      <c r="AB149" s="6" t="s">
        <v>28</v>
      </c>
    </row>
    <row r="150" spans="1:28" s="3" customFormat="1" ht="15.75" x14ac:dyDescent="0.25">
      <c r="A150" s="4" t="s">
        <v>105</v>
      </c>
      <c r="B150" s="4" t="s">
        <v>28</v>
      </c>
      <c r="C150" s="4">
        <v>20.3</v>
      </c>
      <c r="D150" s="4">
        <v>9.74</v>
      </c>
      <c r="E150" s="4">
        <v>0</v>
      </c>
      <c r="F150" s="4">
        <v>0</v>
      </c>
      <c r="G150" s="4">
        <v>0</v>
      </c>
      <c r="H150" s="4">
        <v>208.49</v>
      </c>
      <c r="I150" s="5">
        <f>44880 / 86400</f>
        <v>0.51944444444444449</v>
      </c>
      <c r="J150" s="4">
        <v>0</v>
      </c>
      <c r="K150" s="4">
        <v>0</v>
      </c>
      <c r="L150" s="4">
        <v>16.72</v>
      </c>
      <c r="M150" s="4">
        <v>67</v>
      </c>
      <c r="N150" s="5">
        <f t="shared" si="4"/>
        <v>0</v>
      </c>
      <c r="O150" s="4">
        <v>0</v>
      </c>
      <c r="P150" s="4" t="s">
        <v>28</v>
      </c>
      <c r="Q150" s="4" t="s">
        <v>28</v>
      </c>
      <c r="R150" s="4">
        <v>3</v>
      </c>
      <c r="S150" s="4">
        <v>1.44</v>
      </c>
      <c r="T150" s="4">
        <v>197</v>
      </c>
      <c r="U150" s="4">
        <v>94.49</v>
      </c>
      <c r="V150" s="4">
        <v>622</v>
      </c>
      <c r="W150" s="4">
        <v>298.33999999999997</v>
      </c>
      <c r="X150" s="4">
        <v>0</v>
      </c>
      <c r="Y150" s="4">
        <v>0</v>
      </c>
      <c r="Z150" s="5">
        <f>410 / 86400</f>
        <v>4.7453703703703703E-3</v>
      </c>
      <c r="AA150" s="4">
        <v>0.91</v>
      </c>
      <c r="AB150" s="4" t="s">
        <v>28</v>
      </c>
    </row>
    <row r="151" spans="1:28" s="6" customFormat="1" ht="15.75" x14ac:dyDescent="0.25">
      <c r="A151" s="6" t="s">
        <v>28</v>
      </c>
      <c r="B151" s="6" t="s">
        <v>29</v>
      </c>
      <c r="C151" s="6">
        <v>20.3</v>
      </c>
      <c r="D151" s="6">
        <v>9.74</v>
      </c>
      <c r="E151" s="6">
        <v>0</v>
      </c>
      <c r="F151" s="6">
        <v>0</v>
      </c>
      <c r="G151" s="6">
        <v>0</v>
      </c>
      <c r="H151" s="6">
        <v>208.49</v>
      </c>
      <c r="I151" s="7">
        <f>44880 / 86400</f>
        <v>0.51944444444444449</v>
      </c>
      <c r="J151" s="6">
        <v>0</v>
      </c>
      <c r="K151" s="6">
        <v>0</v>
      </c>
      <c r="L151" s="6">
        <v>16.72</v>
      </c>
      <c r="M151" s="6">
        <v>67</v>
      </c>
      <c r="N151" s="7">
        <f t="shared" si="4"/>
        <v>0</v>
      </c>
      <c r="O151" s="6">
        <v>0</v>
      </c>
      <c r="P151" s="6" t="s">
        <v>28</v>
      </c>
      <c r="Q151" s="6" t="s">
        <v>28</v>
      </c>
      <c r="R151" s="6">
        <v>3</v>
      </c>
      <c r="S151" s="6">
        <v>1.44</v>
      </c>
      <c r="T151" s="6">
        <v>197</v>
      </c>
      <c r="U151" s="6">
        <v>94.49</v>
      </c>
      <c r="V151" s="6">
        <v>622</v>
      </c>
      <c r="W151" s="6">
        <v>298.33999999999997</v>
      </c>
      <c r="X151" s="6">
        <v>0</v>
      </c>
      <c r="Y151" s="6">
        <v>0</v>
      </c>
      <c r="Z151" s="7">
        <f>410 / 86400</f>
        <v>4.7453703703703703E-3</v>
      </c>
      <c r="AA151" s="6">
        <v>0.91</v>
      </c>
      <c r="AB151" s="6" t="s">
        <v>28</v>
      </c>
    </row>
    <row r="152" spans="1:28" s="3" customFormat="1" ht="15.75" x14ac:dyDescent="0.25">
      <c r="A152" s="4" t="s">
        <v>106</v>
      </c>
      <c r="B152" s="4" t="s">
        <v>28</v>
      </c>
      <c r="C152" s="4">
        <v>11.49</v>
      </c>
      <c r="D152" s="4">
        <v>22.49</v>
      </c>
      <c r="E152" s="4">
        <v>0</v>
      </c>
      <c r="F152" s="4">
        <v>0</v>
      </c>
      <c r="G152" s="4">
        <v>0</v>
      </c>
      <c r="H152" s="4">
        <v>51.07</v>
      </c>
      <c r="I152" s="5">
        <f>10947 / 86400</f>
        <v>0.12670138888888888</v>
      </c>
      <c r="J152" s="4">
        <v>0</v>
      </c>
      <c r="K152" s="4">
        <v>0</v>
      </c>
      <c r="L152" s="4">
        <v>16.79</v>
      </c>
      <c r="M152" s="4">
        <v>88</v>
      </c>
      <c r="N152" s="5">
        <f>49 / 86400</f>
        <v>5.6712962962962967E-4</v>
      </c>
      <c r="O152" s="4">
        <v>0.45</v>
      </c>
      <c r="P152" s="4" t="s">
        <v>28</v>
      </c>
      <c r="Q152" s="4" t="s">
        <v>28</v>
      </c>
      <c r="R152" s="4">
        <v>4</v>
      </c>
      <c r="S152" s="4">
        <v>7.83</v>
      </c>
      <c r="T152" s="4">
        <v>96</v>
      </c>
      <c r="U152" s="4">
        <v>187.98</v>
      </c>
      <c r="V152" s="4">
        <v>247</v>
      </c>
      <c r="W152" s="4">
        <v>483.65</v>
      </c>
      <c r="X152" s="4">
        <v>3</v>
      </c>
      <c r="Y152" s="4">
        <v>5.87</v>
      </c>
      <c r="Z152" s="5">
        <f>536 / 86400</f>
        <v>6.2037037037037035E-3</v>
      </c>
      <c r="AA152" s="4">
        <v>4.9000000000000004</v>
      </c>
      <c r="AB152" s="4" t="s">
        <v>28</v>
      </c>
    </row>
    <row r="153" spans="1:28" s="6" customFormat="1" ht="15.75" x14ac:dyDescent="0.25">
      <c r="A153" s="6" t="s">
        <v>28</v>
      </c>
      <c r="B153" s="6" t="s">
        <v>29</v>
      </c>
      <c r="C153" s="6">
        <v>11.49</v>
      </c>
      <c r="D153" s="6">
        <v>22.49</v>
      </c>
      <c r="E153" s="6">
        <v>0</v>
      </c>
      <c r="F153" s="6">
        <v>0</v>
      </c>
      <c r="G153" s="6">
        <v>0</v>
      </c>
      <c r="H153" s="6">
        <v>51.07</v>
      </c>
      <c r="I153" s="7">
        <f>10947 / 86400</f>
        <v>0.12670138888888888</v>
      </c>
      <c r="J153" s="6">
        <v>0</v>
      </c>
      <c r="K153" s="6">
        <v>0</v>
      </c>
      <c r="L153" s="6">
        <v>16.79</v>
      </c>
      <c r="M153" s="6">
        <v>88</v>
      </c>
      <c r="N153" s="7">
        <f>49 / 86400</f>
        <v>5.6712962962962967E-4</v>
      </c>
      <c r="O153" s="6">
        <v>0.45</v>
      </c>
      <c r="P153" s="6" t="s">
        <v>28</v>
      </c>
      <c r="Q153" s="6" t="s">
        <v>28</v>
      </c>
      <c r="R153" s="6">
        <v>4</v>
      </c>
      <c r="S153" s="6">
        <v>7.83</v>
      </c>
      <c r="T153" s="6">
        <v>96</v>
      </c>
      <c r="U153" s="6">
        <v>187.98</v>
      </c>
      <c r="V153" s="6">
        <v>247</v>
      </c>
      <c r="W153" s="6">
        <v>483.65</v>
      </c>
      <c r="X153" s="6">
        <v>3</v>
      </c>
      <c r="Y153" s="6">
        <v>5.87</v>
      </c>
      <c r="Z153" s="7">
        <f>536 / 86400</f>
        <v>6.2037037037037035E-3</v>
      </c>
      <c r="AA153" s="6">
        <v>4.9000000000000004</v>
      </c>
      <c r="AB153" s="6" t="s">
        <v>28</v>
      </c>
    </row>
    <row r="154" spans="1:28" s="3" customFormat="1" ht="15.75" x14ac:dyDescent="0.25">
      <c r="A154" s="4" t="s">
        <v>107</v>
      </c>
      <c r="B154" s="4" t="s">
        <v>28</v>
      </c>
      <c r="C154" s="4">
        <v>407.7</v>
      </c>
      <c r="D154" s="4">
        <v>178.5</v>
      </c>
      <c r="E154" s="4">
        <v>0</v>
      </c>
      <c r="F154" s="4">
        <v>0</v>
      </c>
      <c r="G154" s="4">
        <v>0</v>
      </c>
      <c r="H154" s="4">
        <v>228.41</v>
      </c>
      <c r="I154" s="5">
        <f>5755 / 86400</f>
        <v>6.6608796296296291E-2</v>
      </c>
      <c r="J154" s="4">
        <v>0</v>
      </c>
      <c r="K154" s="4">
        <v>0</v>
      </c>
      <c r="L154" s="4">
        <v>142.88</v>
      </c>
      <c r="M154" s="4">
        <v>79</v>
      </c>
      <c r="N154" s="5">
        <f>0 / 86400</f>
        <v>0</v>
      </c>
      <c r="O154" s="4">
        <v>0</v>
      </c>
      <c r="P154" s="4" t="s">
        <v>28</v>
      </c>
      <c r="Q154" s="4" t="s">
        <v>28</v>
      </c>
      <c r="R154" s="4">
        <v>973</v>
      </c>
      <c r="S154" s="4">
        <v>425.99</v>
      </c>
      <c r="T154" s="4">
        <v>1984</v>
      </c>
      <c r="U154" s="4">
        <v>868.62</v>
      </c>
      <c r="V154" s="4">
        <v>1633</v>
      </c>
      <c r="W154" s="4">
        <v>714.95</v>
      </c>
      <c r="X154" s="4">
        <v>147</v>
      </c>
      <c r="Y154" s="4">
        <v>64.36</v>
      </c>
      <c r="Z154" s="5">
        <f>0 / 86400</f>
        <v>0</v>
      </c>
      <c r="AA154" s="4">
        <v>0</v>
      </c>
      <c r="AB154" s="4" t="s">
        <v>28</v>
      </c>
    </row>
    <row r="155" spans="1:28" s="6" customFormat="1" ht="15.75" x14ac:dyDescent="0.25">
      <c r="A155" s="6" t="s">
        <v>28</v>
      </c>
      <c r="B155" s="6" t="s">
        <v>29</v>
      </c>
      <c r="C155" s="6">
        <v>407.7</v>
      </c>
      <c r="D155" s="6">
        <v>178.5</v>
      </c>
      <c r="E155" s="6">
        <v>0</v>
      </c>
      <c r="F155" s="6">
        <v>0</v>
      </c>
      <c r="G155" s="6">
        <v>0</v>
      </c>
      <c r="H155" s="6">
        <v>228.41</v>
      </c>
      <c r="I155" s="7">
        <f>5755 / 86400</f>
        <v>6.6608796296296291E-2</v>
      </c>
      <c r="J155" s="6">
        <v>0</v>
      </c>
      <c r="K155" s="6">
        <v>0</v>
      </c>
      <c r="L155" s="6">
        <v>142.88</v>
      </c>
      <c r="M155" s="6">
        <v>79</v>
      </c>
      <c r="N155" s="7">
        <f>0 / 86400</f>
        <v>0</v>
      </c>
      <c r="O155" s="6">
        <v>0</v>
      </c>
      <c r="P155" s="6" t="s">
        <v>28</v>
      </c>
      <c r="Q155" s="6" t="s">
        <v>28</v>
      </c>
      <c r="R155" s="6">
        <v>973</v>
      </c>
      <c r="S155" s="6">
        <v>425.99</v>
      </c>
      <c r="T155" s="6">
        <v>1984</v>
      </c>
      <c r="U155" s="6">
        <v>868.62</v>
      </c>
      <c r="V155" s="6">
        <v>1633</v>
      </c>
      <c r="W155" s="6">
        <v>714.95</v>
      </c>
      <c r="X155" s="6">
        <v>147</v>
      </c>
      <c r="Y155" s="6">
        <v>64.36</v>
      </c>
      <c r="Z155" s="7">
        <f>0 / 86400</f>
        <v>0</v>
      </c>
      <c r="AA155" s="6">
        <v>0</v>
      </c>
      <c r="AB155" s="6" t="s">
        <v>28</v>
      </c>
    </row>
    <row r="156" spans="1:28" s="3" customFormat="1" ht="15.75" x14ac:dyDescent="0.25">
      <c r="A156" s="4" t="s">
        <v>108</v>
      </c>
      <c r="B156" s="4" t="s">
        <v>28</v>
      </c>
      <c r="C156" s="4">
        <v>397.41</v>
      </c>
      <c r="D156" s="4">
        <v>120.14</v>
      </c>
      <c r="E156" s="4">
        <v>0</v>
      </c>
      <c r="F156" s="4">
        <v>0</v>
      </c>
      <c r="G156" s="4">
        <v>0</v>
      </c>
      <c r="H156" s="4">
        <v>330.8</v>
      </c>
      <c r="I156" s="5">
        <f>64662 / 86400</f>
        <v>0.74840277777777775</v>
      </c>
      <c r="J156" s="4">
        <v>0</v>
      </c>
      <c r="K156" s="4">
        <v>0</v>
      </c>
      <c r="L156" s="4">
        <v>18.420000000000002</v>
      </c>
      <c r="M156" s="4">
        <v>100</v>
      </c>
      <c r="N156" s="5">
        <f>100 / 86400</f>
        <v>1.1574074074074073E-3</v>
      </c>
      <c r="O156" s="4">
        <v>0.15</v>
      </c>
      <c r="P156" s="4" t="s">
        <v>28</v>
      </c>
      <c r="Q156" s="4" t="s">
        <v>28</v>
      </c>
      <c r="R156" s="4">
        <v>747</v>
      </c>
      <c r="S156" s="4">
        <v>225.82</v>
      </c>
      <c r="T156" s="4">
        <v>2179</v>
      </c>
      <c r="U156" s="4">
        <v>658.71</v>
      </c>
      <c r="V156" s="4">
        <v>1583</v>
      </c>
      <c r="W156" s="4">
        <v>478.54</v>
      </c>
      <c r="X156" s="4">
        <v>287</v>
      </c>
      <c r="Y156" s="4">
        <v>86.76</v>
      </c>
      <c r="Z156" s="5">
        <f>1397 / 86400</f>
        <v>1.6168981481481482E-2</v>
      </c>
      <c r="AA156" s="4">
        <v>2.16</v>
      </c>
      <c r="AB156" s="4" t="s">
        <v>28</v>
      </c>
    </row>
    <row r="157" spans="1:28" s="6" customFormat="1" ht="15.75" x14ac:dyDescent="0.25">
      <c r="B157" s="6" t="s">
        <v>29</v>
      </c>
      <c r="C157" s="6">
        <v>397.41</v>
      </c>
      <c r="D157" s="6">
        <v>120.14</v>
      </c>
      <c r="E157" s="6">
        <v>0</v>
      </c>
      <c r="F157" s="6">
        <v>0</v>
      </c>
      <c r="G157" s="6">
        <v>0</v>
      </c>
      <c r="H157" s="6">
        <v>330.8</v>
      </c>
      <c r="I157" s="7">
        <f>64662 / 86400</f>
        <v>0.74840277777777775</v>
      </c>
      <c r="J157" s="6">
        <v>0</v>
      </c>
      <c r="K157" s="6">
        <v>0</v>
      </c>
      <c r="L157" s="6">
        <v>18.420000000000002</v>
      </c>
      <c r="M157" s="6">
        <v>100</v>
      </c>
      <c r="N157" s="7">
        <f>100 / 86400</f>
        <v>1.1574074074074073E-3</v>
      </c>
      <c r="O157" s="6">
        <v>0.15</v>
      </c>
      <c r="P157" s="6" t="s">
        <v>28</v>
      </c>
      <c r="Q157" s="6" t="s">
        <v>28</v>
      </c>
      <c r="R157" s="6">
        <v>747</v>
      </c>
      <c r="S157" s="6">
        <v>225.82</v>
      </c>
      <c r="T157" s="6">
        <v>2179</v>
      </c>
      <c r="U157" s="6">
        <v>658.71</v>
      </c>
      <c r="V157" s="6">
        <v>1583</v>
      </c>
      <c r="W157" s="6">
        <v>478.54</v>
      </c>
      <c r="X157" s="6">
        <v>287</v>
      </c>
      <c r="Y157" s="6">
        <v>86.76</v>
      </c>
      <c r="Z157" s="7">
        <f>1397 / 86400</f>
        <v>1.6168981481481482E-2</v>
      </c>
      <c r="AA157" s="6">
        <v>2.16</v>
      </c>
      <c r="AB157" s="6" t="s">
        <v>28</v>
      </c>
    </row>
    <row r="158" spans="1:28" s="3" customFormat="1" ht="15.75" x14ac:dyDescent="0.25">
      <c r="A158" s="8" t="s">
        <v>30</v>
      </c>
      <c r="B158" s="9" t="s">
        <v>28</v>
      </c>
      <c r="C158" s="9">
        <v>11685.06</v>
      </c>
      <c r="D158" s="9">
        <v>89.12</v>
      </c>
      <c r="E158" s="9">
        <v>0</v>
      </c>
      <c r="F158" s="9">
        <v>0</v>
      </c>
      <c r="G158" s="9">
        <v>0</v>
      </c>
      <c r="H158" s="9">
        <v>13112.33</v>
      </c>
      <c r="I158" s="10">
        <f>2571421 / 86400</f>
        <v>29.76181712962963</v>
      </c>
      <c r="J158" s="9">
        <v>0</v>
      </c>
      <c r="K158" s="9">
        <v>0</v>
      </c>
      <c r="L158" s="9">
        <v>18.36</v>
      </c>
      <c r="M158" s="9">
        <v>101</v>
      </c>
      <c r="N158" s="10">
        <f>2366 / 86400</f>
        <v>2.7384259259259261E-2</v>
      </c>
      <c r="O158" s="9">
        <v>0.09</v>
      </c>
      <c r="P158" s="9" t="s">
        <v>28</v>
      </c>
      <c r="Q158" s="9" t="s">
        <v>28</v>
      </c>
      <c r="R158" s="9">
        <v>19545</v>
      </c>
      <c r="S158" s="9">
        <v>149.06</v>
      </c>
      <c r="T158" s="9">
        <v>61625</v>
      </c>
      <c r="U158" s="9">
        <v>469.98</v>
      </c>
      <c r="V158" s="9">
        <v>50288</v>
      </c>
      <c r="W158" s="9">
        <v>383.52</v>
      </c>
      <c r="X158" s="9">
        <v>15370</v>
      </c>
      <c r="Y158" s="9">
        <v>117.22</v>
      </c>
      <c r="Z158" s="10">
        <f>240913 / 86400</f>
        <v>2.7883449074074074</v>
      </c>
      <c r="AA158" s="9">
        <v>9.3699999999999992</v>
      </c>
      <c r="AB158" s="9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By 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2025-03-13T23:19:11Z</dcterms:created>
  <dcterms:modified xsi:type="dcterms:W3CDTF">2025-09-22T20:30:15Z</dcterms:modified>
</cp:coreProperties>
</file>