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/>
  <xr:revisionPtr revIDLastSave="0" documentId="13_ncr:1_{798BDD7F-78D7-4E06-9026-659A5AFAEB6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definedNames>
    <definedName name="_xlnm._FilterDatabase" localSheetId="0" hidden="1">sheet1!$A$7:$M$7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083" i="1" l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6" i="1"/>
  <c r="K1056" i="1"/>
  <c r="H1056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9" i="1"/>
  <c r="K1029" i="1"/>
  <c r="H1029" i="1"/>
  <c r="L1028" i="1"/>
  <c r="K1028" i="1"/>
  <c r="H1028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8" i="1"/>
  <c r="K988" i="1"/>
  <c r="H988" i="1"/>
  <c r="L987" i="1"/>
  <c r="K987" i="1"/>
  <c r="H987" i="1"/>
  <c r="L986" i="1"/>
  <c r="K986" i="1"/>
  <c r="H986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51" i="1"/>
  <c r="K951" i="1"/>
  <c r="H951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1" i="1"/>
  <c r="K941" i="1"/>
  <c r="H941" i="1"/>
  <c r="L940" i="1"/>
  <c r="K940" i="1"/>
  <c r="H940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2" i="1"/>
  <c r="K842" i="1"/>
  <c r="H842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6" i="1"/>
  <c r="K756" i="1"/>
  <c r="H756" i="1"/>
  <c r="L755" i="1"/>
  <c r="K755" i="1"/>
  <c r="H755" i="1"/>
  <c r="L754" i="1"/>
  <c r="K754" i="1"/>
  <c r="H754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3" i="1"/>
  <c r="K623" i="1"/>
  <c r="H623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7" i="1"/>
  <c r="K147" i="1"/>
  <c r="H147" i="1"/>
  <c r="L146" i="1"/>
  <c r="K146" i="1"/>
  <c r="H146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L76" i="1"/>
  <c r="K76" i="1"/>
  <c r="H76" i="1"/>
  <c r="L70" i="1"/>
  <c r="K70" i="1"/>
  <c r="H70" i="1"/>
  <c r="L69" i="1"/>
  <c r="K69" i="1"/>
  <c r="H69" i="1"/>
  <c r="L68" i="1"/>
  <c r="K68" i="1"/>
  <c r="H68" i="1"/>
  <c r="L67" i="1"/>
  <c r="K67" i="1"/>
  <c r="H67" i="1"/>
  <c r="L66" i="1"/>
  <c r="K66" i="1"/>
  <c r="H66" i="1"/>
  <c r="L65" i="1"/>
  <c r="K65" i="1"/>
  <c r="H65" i="1"/>
  <c r="L64" i="1"/>
  <c r="K64" i="1"/>
  <c r="H64" i="1"/>
  <c r="L63" i="1"/>
  <c r="K63" i="1"/>
  <c r="H63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<sst xmlns="http://schemas.openxmlformats.org/spreadsheetml/2006/main" count="4039" uniqueCount="471">
  <si>
    <t>Informe de trayectos</t>
  </si>
  <si>
    <t>Periodo: 1 de febrero de 2025 0:00 - 1 de febrero de 2025 23:59</t>
  </si>
  <si>
    <t>Informe generado</t>
  </si>
  <si>
    <t>a: 22 de septiembre de 2025 13:09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</si>
  <si>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</si>
  <si>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</si>
  <si>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</si>
  <si>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</si>
  <si>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</si>
  <si>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</si>
  <si>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</si>
  <si>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</si>
  <si>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</si>
  <si>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</si>
  <si>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</si>
  <si>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</si>
  <si>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</si>
  <si>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</si>
  <si>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</si>
  <si>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91 km/h</t>
  </si>
  <si>
    <t>21 km/h</t>
  </si>
  <si>
    <t>Los Huancas, Ate, Lima Metropolitana, Lima, 15483, Perú</t>
  </si>
  <si>
    <t>81 km/h</t>
  </si>
  <si>
    <t>18 km/h</t>
  </si>
  <si>
    <t>Ate, Lima Metropolitana, Lima, 15483, Perú</t>
  </si>
  <si>
    <t>74 km/h</t>
  </si>
  <si>
    <t>16 km/h</t>
  </si>
  <si>
    <t>Carretera Central, Ate, Lima Metropolitana, Lima, 15487, Perú</t>
  </si>
  <si>
    <t>Calle Manantiales de Vida, Ate, Lima Metropolitana, Lima, 15487, Perú</t>
  </si>
  <si>
    <t>86 km/h</t>
  </si>
  <si>
    <t>17 km/h</t>
  </si>
  <si>
    <t>13 km/h</t>
  </si>
  <si>
    <t>87 km/h</t>
  </si>
  <si>
    <t>Avenida Metropolitana, Santa Anita, Lima Metropolitana, Lima, 15009, Perú, (RUTA DESVIO TEM.  4507)</t>
  </si>
  <si>
    <t>79 km/h</t>
  </si>
  <si>
    <t>23 km/h</t>
  </si>
  <si>
    <t>Carretera Central, Chaclacayo, Lima Metropolitana, Lima, 15476, Perú</t>
  </si>
  <si>
    <t>0 km/h</t>
  </si>
  <si>
    <t>Avenida Las Retamas, Ricardo Palma, Huarochirí, Lima, 15468, Perú</t>
  </si>
  <si>
    <t>Calle los Alamos, Chosica, Lima Metropolitana, Lima, 15468, Perú</t>
  </si>
  <si>
    <t>82 km/h</t>
  </si>
  <si>
    <t>Calle Las Gardenias, Ricardo Palma, Huarochirí, Lima, 15468, Perú</t>
  </si>
  <si>
    <t>72 km/h</t>
  </si>
  <si>
    <t>15 km/h</t>
  </si>
  <si>
    <t>Capitan Gamarra, Ricardo Palma, Huarochirí, Lima, 15468, Perú, (Ruta4507nueva era 23-10-23)</t>
  </si>
  <si>
    <t>Avenida José Santos Chocano, Ricardo Palma, Huarochirí, Lima, 15468, Perú</t>
  </si>
  <si>
    <t>Avenida Lima Norte, Santa Eulalia, Lima Metropolitana, Lima, 15468, Perú</t>
  </si>
  <si>
    <t>Calle A, Chosica, Lima Metropolitana, Lima, 15468, Perú</t>
  </si>
  <si>
    <t>98 km/h</t>
  </si>
  <si>
    <t>19 km/h</t>
  </si>
  <si>
    <t>Avenida José Carlos Mariátegui, Ricardo Palma, Huarochirí, Lima, 15468, Perú</t>
  </si>
  <si>
    <t>14 km/h</t>
  </si>
  <si>
    <t>Calle Huayna Cápac, 200, Chaclacayo, Lima Metropolitana, Lima, 15474, Perú</t>
  </si>
  <si>
    <t>130 km/h</t>
  </si>
  <si>
    <t>Avenida Micaela Bastidas, 382, Santa Eulalia, Huarochirí, Lima, 15468, Perú</t>
  </si>
  <si>
    <t>Calle Cerro de Pasco, Ate, Lima Metropolitana, Lima, 15498, Perú</t>
  </si>
  <si>
    <t>5 km/h</t>
  </si>
  <si>
    <t>76 km/h</t>
  </si>
  <si>
    <t>77 km/h</t>
  </si>
  <si>
    <t>Pasaje A, Ate, Lima Metropolitana, Lima, 15487, Perú</t>
  </si>
  <si>
    <t>80 km/h</t>
  </si>
  <si>
    <t>Calle 1, Ate, Lima Metropolitana, Lima, 15483, Perú</t>
  </si>
  <si>
    <t>20 km/h</t>
  </si>
  <si>
    <t>Avenida Las Retamas, Chaclacayo, Lima Metropolitana, Lima, 15474, Perú</t>
  </si>
  <si>
    <t>Carretera Central, Chaclacayo, Lima Metropolitana, Lima, 15474, Perú, (Ruta4507nueva era 23-10-23)</t>
  </si>
  <si>
    <t>69 km/h</t>
  </si>
  <si>
    <t>Calle Leoncio Prado, Santa Eulalia, Huarochirí, Lima, 15468, Perú</t>
  </si>
  <si>
    <t>90 km/h</t>
  </si>
  <si>
    <t>Calle El Rosario, Chaclacayo, Lima Metropolitana, Lima, 15472, Perú</t>
  </si>
  <si>
    <t>Avenida Simón Bolívar, Santa Eulalia, Huarochirí, Lima, 15468, Perú</t>
  </si>
  <si>
    <t>62 km/h</t>
  </si>
  <si>
    <t>11 km/h</t>
  </si>
  <si>
    <t>Calle Las Tunas, Santa Anita, Lima Metropolitana, Lima, 15007, Perú</t>
  </si>
  <si>
    <t>75 km/h</t>
  </si>
  <si>
    <t>Calle Los Topacios, Lurigancho, Lima Metropolitana, Lima, 15472, Perú</t>
  </si>
  <si>
    <t>Carretera Central, Ate, Lima Metropolitana, Lima, 15487, Perú, (Ruta4507nueva era 23-10-23)</t>
  </si>
  <si>
    <t>Carretera Panamericana Sur, Punta Negra, Lima Metropolitana, Lima, 15851, Perú</t>
  </si>
  <si>
    <t>84 km/h</t>
  </si>
  <si>
    <t>Pasaje 14, Chaclacayo, Lima Metropolitana, Lima, 15476, Perú</t>
  </si>
  <si>
    <t>Avenida Alfonso Cobián, Chaclacayo, Lima Metropolitana, Lima, 15476, Perú</t>
  </si>
  <si>
    <t>4 km/h</t>
  </si>
  <si>
    <t>Calle 11, Santa Anita, Lima Metropolitana, Lima, 15009, Perú</t>
  </si>
  <si>
    <t>Avenida 28 de Julio, 798, Lima, Lima Metropolitana, Lima, 15083, Perú</t>
  </si>
  <si>
    <t>100 km/h</t>
  </si>
  <si>
    <t>Ate, Lima Metropolitana, Lima, 15474, Perú</t>
  </si>
  <si>
    <t>9 km/h</t>
  </si>
  <si>
    <t>Carretera Central, Ricardo Palma, Huarochirí, Lima, 15468, Perú</t>
  </si>
  <si>
    <t>Jirón Argentina, Chosica, Lima Metropolitana, Lima, 15468, Perú</t>
  </si>
  <si>
    <t>85 km/h</t>
  </si>
  <si>
    <t>Calle Los Álamos, Ate, Lima Metropolitana, Lima, 15483, Perú</t>
  </si>
  <si>
    <t>Calle Los Pinos, Ate, Lima Metropolitana, Lima, 15483, Perú</t>
  </si>
  <si>
    <t>29 km/h</t>
  </si>
  <si>
    <t>6 km/h</t>
  </si>
  <si>
    <t>Avenida Nicolás de Ayllón, 4770, Ate, Lima Metropolitana, Lima, 15498, Perú, (Ruta4507nueva era 23-10-23)</t>
  </si>
  <si>
    <t>Avenida Huancaray, Santa Anita, Lima Metropolitana, Lima, 15007, Perú, (RUTA DESVIO TEM.  4507)</t>
  </si>
  <si>
    <t>78 km/h</t>
  </si>
  <si>
    <t>Santa Eulalia, Huarochirí, Lima, 15468, Perú</t>
  </si>
  <si>
    <t>102 km/h</t>
  </si>
  <si>
    <t>Calle 11, Ate, Lima Metropolitana, Lima, 15483, Perú</t>
  </si>
  <si>
    <t>12 km/h</t>
  </si>
  <si>
    <t>1 km/h</t>
  </si>
  <si>
    <t>Avenida Lima Norte, Chosica, Lima Metropolitana, Lima, 15468, Perú</t>
  </si>
  <si>
    <t>93 km/h</t>
  </si>
  <si>
    <t>Ate, Lima Metropolitana, Lima, 15487, Perú</t>
  </si>
  <si>
    <t>Carretera Central, Sol de Cupiche, Huarochirí, Lima, 15500, Perú</t>
  </si>
  <si>
    <t>Corcona, Huarochirí, Lima, Perú</t>
  </si>
  <si>
    <t>Lurigancho, Lima Metropolitana, Lima, 15468, Perú</t>
  </si>
  <si>
    <t>40 km/h</t>
  </si>
  <si>
    <t>Avenida Nicolás de Ayllón, Ate, Lima Metropolitana, Lima, 15022, Perú, (Ruta4507nueva era 23-10-23, RUTA DESVIO TEM.  4507)</t>
  </si>
  <si>
    <t>Avenida Almirante Miguel Grau, 113, Lima, Lima Metropolitana, Lima, 15001, Perú, (Ruta4507nueva era 23-10-23)</t>
  </si>
  <si>
    <t>95 km/h</t>
  </si>
  <si>
    <t>Totales:</t>
  </si>
  <si>
    <t/>
  </si>
  <si>
    <t>* Los datos de combustible se calculan de acuerdo con el consumo medio de combustible del vehículo especificado en su configuración</t>
  </si>
  <si>
    <t>Avenida José Carlos Mariátegui, Ricardo Palma, Huarochirí, Lima, 15468, Perú, (Ruta4507nueva era 23-10-23)</t>
  </si>
  <si>
    <t>Carretera Central, Lurigancho, Lima Metropolitana, Lima, 15472, Perú, (Ruta4507nueva era 23-10-23)</t>
  </si>
  <si>
    <t>10 km/h</t>
  </si>
  <si>
    <t>Simón Bolívar, Ricardo Palma, Huarochirí, Lima, 15468, Perú</t>
  </si>
  <si>
    <t>59 km/h</t>
  </si>
  <si>
    <t>22 km/h</t>
  </si>
  <si>
    <t>8 km/h</t>
  </si>
  <si>
    <t>3 km/h</t>
  </si>
  <si>
    <t>Carretera Central, Lurigancho, Lima Metropolitana, Lima, 15472, Perú</t>
  </si>
  <si>
    <t>25 km/h</t>
  </si>
  <si>
    <t>Calle Berlín, Ate, Lima Metropolitana, Lima, 15498, Perú</t>
  </si>
  <si>
    <t>24 km/h</t>
  </si>
  <si>
    <t>7 km/h</t>
  </si>
  <si>
    <t>Avenida Los Incas, Ate, Lima Metropolitana, Lima, 15483, Perú</t>
  </si>
  <si>
    <t>Carretera Central, Chaclacayo, Lima Metropolitana, Lima, 15476, Perú, (Ruta4507nueva era 23-10-23)</t>
  </si>
  <si>
    <t>66 km/h</t>
  </si>
  <si>
    <t>Avenida Inca Garcilazo de la Vega, Lima, Lima Metropolitana, Lima, 15004, Perú</t>
  </si>
  <si>
    <t>Calle Andrés Avelino Cáceres, El Agustino, Lima Metropolitana, Lima, 15004, Perú</t>
  </si>
  <si>
    <t>Avenida José de la Riva Aguero, El Agustino, Lima Metropolitana, Lima, 15004, Perú</t>
  </si>
  <si>
    <t>2 km/h</t>
  </si>
  <si>
    <t>Jirón Junín, El Agustino, Lima Metropolitana, Lima, 15003, Perú</t>
  </si>
  <si>
    <t>Avenida Paseo de la República, Lima, Lima Metropolitana, Lima, 15083, Perú, (Ruta4507nueva era 23-10-23)</t>
  </si>
  <si>
    <t>67 km/h</t>
  </si>
  <si>
    <t>Jose Carlos Mariátegui, Chosica, Lima Metropolitana, Lima, 15468, Perú, (PARADERO RICARDO PALMA)</t>
  </si>
  <si>
    <t>35 km/h</t>
  </si>
  <si>
    <t>Jose Carlos Mariátegui, Ricardo Palma, Lima Metropolitana, Lima, 15468, Perú, (PARADERO RICARDO PALMA)</t>
  </si>
  <si>
    <t>70 km/h</t>
  </si>
  <si>
    <t>27 km/h</t>
  </si>
  <si>
    <t>Ricardo Palma, Huarochirí, Lima, 15468, Perú, (Ruta4507nueva era 23-10-23)</t>
  </si>
  <si>
    <t>Ricardo Palma, Huarochirí, Lima, 15468, Perú, (CURVA RICARDO PALMA, Ruta4507nueva era 23-10-23)</t>
  </si>
  <si>
    <t>Pasaje Gould, Lima, Lima Metropolitana, Lima, 15082, Perú</t>
  </si>
  <si>
    <t>68 km/h</t>
  </si>
  <si>
    <t>Avenida Simón Bolívar, Santa Eulalia, Huarochirí, Lima, 15468, Perú, (Ruta4507nueva era 23-10-23)</t>
  </si>
  <si>
    <t>32 km/h</t>
  </si>
  <si>
    <t>Jirón Sánchez Pinillos, Lima, Lima Metropolitana, Lima, 15082, Perú</t>
  </si>
  <si>
    <t>28 km/h</t>
  </si>
  <si>
    <t>Carretera Central, Chaclacayo, Lima Metropolitana, Lima, 15474, Perú</t>
  </si>
  <si>
    <t>31 km/h</t>
  </si>
  <si>
    <t>48 km/h</t>
  </si>
  <si>
    <t>Avenida Andrés Avelino Cáceres, Ate, Lima Metropolitana, Lima, 15483, Perú</t>
  </si>
  <si>
    <t>44 km/h</t>
  </si>
  <si>
    <t>Pasaje Gould, Lima, Lima Metropolitana, Lima, 15082, Perú, (PARADERO DESTINO ASCOPE)</t>
  </si>
  <si>
    <t>Calle Los Ficus, Chaclacayo, Lima Metropolitana, Lima, 15472, Perú</t>
  </si>
  <si>
    <t>56 km/h</t>
  </si>
  <si>
    <t>Alameda D, Chaclacayo, Lima Metropolitana, Lima, 15474, Perú</t>
  </si>
  <si>
    <t>Avenida Unión, Chaclacayo, Lima Metropolitana, Lima, 15476, Perú</t>
  </si>
  <si>
    <t>53 km/h</t>
  </si>
  <si>
    <t>52 km/h</t>
  </si>
  <si>
    <t>Jirón Huarochirí, 643, Lima, Lima Metropolitana, Lima, 15082, Perú</t>
  </si>
  <si>
    <t>Avenida José Carlos Mariátegui, Ricardo Palma, Huarochirí, Lima, 15468, Perú, (CURVA RICARDO PALMA, Ruta4507nueva era 23-10-23)</t>
  </si>
  <si>
    <t>33 km/h</t>
  </si>
  <si>
    <t>43 km/h</t>
  </si>
  <si>
    <t>Avenida Huancaray, Santa Anita, Lima Metropolitana, Lima, 15009, Perú, (RUTA DESVIO TEM.  4507)</t>
  </si>
  <si>
    <t>34 km/h</t>
  </si>
  <si>
    <t>Avenida Huarochiri, Santa Anita, Lima Metropolitana, Lima, 15009, Perú, (RUTA DESVIO TEM.  4507)</t>
  </si>
  <si>
    <t>Avenida Huancaray, Santa Anita, Lima Metropolitana, Lima, 15009, Perú, (S04 AV. Metropolitana / Colectora Industrial, RUTA DESVIO TEM.  4507)</t>
  </si>
  <si>
    <t>47 km/h</t>
  </si>
  <si>
    <t>Avenida Huancaray, Santa Anita, Lima Metropolitana, Lima, 15008, Perú, (RUTA DESVIO TEM.  4507)</t>
  </si>
  <si>
    <t>Avenida Los Eucaliptos, Santa Anita, Lima Metropolitana, Lima, 15008, Perú, (RUTA DESVIO TEM.  4507)</t>
  </si>
  <si>
    <t>39 km/h</t>
  </si>
  <si>
    <t>Avenida Francisco Bolognesi, 1082, Santa Anita, Lima Metropolitana, Lima, 15008, Perú, (RUTA DESVIO TEM.  4507)</t>
  </si>
  <si>
    <t>Avenida 7 de Junio, Santa Anita, Lima Metropolitana, Lima, 15008, Perú, (RUTA DESVIO TEM.  4507)</t>
  </si>
  <si>
    <t>Avenida 7 de Junio, Santa Anita, Lima Metropolitana, Lima, 15008, Perú</t>
  </si>
  <si>
    <t>Avenida Nicolás de Ayllón, Santa Anita, Lima Metropolitana, Lima, 15008, Perú, (Ruta4507nueva era 23-10-23, RUTA DESVIO TEM.  4507)</t>
  </si>
  <si>
    <t>42 km/h</t>
  </si>
  <si>
    <t>46 km/h</t>
  </si>
  <si>
    <t>Auxiliar Avenida Circunvalación, San Luis, Lima Metropolitana, Lima, 15019, Perú</t>
  </si>
  <si>
    <t>51 km/h</t>
  </si>
  <si>
    <t>Avenida Nicolás de Ayllón, San Luis, Lima Metropolitana, Lima, 15019, Perú, (Ruta4507nueva era 23-10-23)</t>
  </si>
  <si>
    <t>Calle Ollanta, Lima, Lima Metropolitana, Lima, 15019, Perú</t>
  </si>
  <si>
    <t>26 km/h</t>
  </si>
  <si>
    <t>Avenida José de la Riva Aguero, Lima, Lima Metropolitana, Lima, 15004, Perú</t>
  </si>
  <si>
    <t>Avenida Nicolás Ayllón, 137, Lima, Lima Metropolitana, Lima, 15011, Perú, (Ruta4507nueva era 23-10-23)</t>
  </si>
  <si>
    <t>Avenida España, Lima, Lima Metropolitana, Lima, 15001, Perú</t>
  </si>
  <si>
    <t>71 km/h</t>
  </si>
  <si>
    <t>36 km/h</t>
  </si>
  <si>
    <t>Metropolitano, Lima, Lima Metropolitana, Lima, 15001, Perú</t>
  </si>
  <si>
    <t>Avenida España, Lima, Lima Metropolitana, Lima, 15083, Perú</t>
  </si>
  <si>
    <t>Metropolitano, Lima, Lima Metropolitana, Lima, 15083, Perú</t>
  </si>
  <si>
    <t>Jirón Washington, 1355, Lima, Lima Metropolitana, Lima, 15083, Perú</t>
  </si>
  <si>
    <t>Avenida Alfonso Ugarte, 1235, Lima, Lima Metropolitana, Lima, 15083, Perú</t>
  </si>
  <si>
    <t>Avenida Alfonso Ugarte, 1235, Lima, Lima Metropolitana, Lima, 15083, Perú, (Ruta4507nueva era 23-10-23)</t>
  </si>
  <si>
    <t>Plaza Francisco Bolognesi, Lima, Lima Metropolitana, Lima, 15083, Perú, (Ruta4507nueva era 23-10-23)</t>
  </si>
  <si>
    <t>Avenida 9 de Diciembre, 371, Lima, Lima Metropolitana, Lima, 15083, Perú, (Ruta4507nueva era 23-10-23)</t>
  </si>
  <si>
    <t>Avenida Paseo de la República, Lima, Lima Metropolitana, Lima, 15001, Perú, (Ruta4507nueva era 23-10-23)</t>
  </si>
  <si>
    <t>Avenida Almirante Miguel Grau, Lima, Lima Metropolitana, Lima, 15083, Perú, (Ruta4507nueva era 23-10-23)</t>
  </si>
  <si>
    <t>Prolongación Avenida San Pablo, Lima, Lima Metropolitana, Lima, 15011, Perú</t>
  </si>
  <si>
    <t>Avenida Inca Garcilazo de la Vega, El Agustino, Lima Metropolitana, Lima, 15004, Perú, (Ruta4507nueva era 23-10-23)</t>
  </si>
  <si>
    <t>Avenida Circunvalación, San Luis, Lima Metropolitana, Lima, 15019, Perú</t>
  </si>
  <si>
    <t>Avenida Circunvalación, La Victoria, Lima Metropolitana, Lima, 15019, Perú</t>
  </si>
  <si>
    <t>Avenida Nicolás de Ayllón, Ate, Lima Metropolitana, Lima, 15002, Perú, (Ruta4507nueva era 23-10-23, RUTA DESVIO TEM.  4507)</t>
  </si>
  <si>
    <t>Vía de Evitamiento, Ate, Lima Metropolitana, Lima, 15008, Perú, (Ruta4507nueva era 23-10-23, RUTA DESVIO TEM.  4507)</t>
  </si>
  <si>
    <t>30 km/h</t>
  </si>
  <si>
    <t>Calle Santa Inés, Ate, Lima Metropolitana, Lima, 15008, Perú, (Ruta4507nueva era 23-10-23, RUTA DESVIO TEM.  4507)</t>
  </si>
  <si>
    <t>Avenida Nicolás de Ayllón, Ate, Lima Metropolitana, Lima, 15008, Perú, (Ruta4507nueva era 23-10-23)</t>
  </si>
  <si>
    <t>Avenida La Molina, Ate, Lima Metropolitana, Lima, 15008, Perú, (Ruta4507nueva era 23-10-23)</t>
  </si>
  <si>
    <t>Las Alondras, 175, Santa Anita, Lima Metropolitana, Lima, 15008, Perú</t>
  </si>
  <si>
    <t>Avenida Los Ruiseñores, 206, Santa Anita, Lima Metropolitana, Lima, 15008, Perú</t>
  </si>
  <si>
    <t>Avenida Metropolitana, Ate, Lima Metropolitana, Lima, 15498, Perú, (RUTA DESVIO TEM.  4507)</t>
  </si>
  <si>
    <t>Avenida Nicolás de Ayllón, Ate, Lima Metropolitana, Lima, 15487, Perú, (Ruta4507nueva era 23-10-23)</t>
  </si>
  <si>
    <t>37 km/h</t>
  </si>
  <si>
    <t>Carretera Central, Ate, Lima Metropolitana, Lima, 15487, Perú, (S06 SANTA CLARA, Ruta4507nueva era 23-10-23)</t>
  </si>
  <si>
    <t>Carretera Central, Ate, Lima Metropolitana, Lima, 15483, Perú, (Ruta4507nueva era 23-10-23)</t>
  </si>
  <si>
    <t>Avenida Jaime Zubieta Calderón, Ate, Lima Metropolitana, Lima, 15483, Perú, (Ruta4507nueva era 23-10-23)</t>
  </si>
  <si>
    <t>Avenida Jaime Zubieta Calderon, Ate, Lima Metropolitana, Lima, 15483, Perú, (Ruta4507nueva era 23-10-23)</t>
  </si>
  <si>
    <t>Chaclacayo, Lima Metropolitana, Lima, 15474, Perú, (Ruta4507nueva era 23-10-23)</t>
  </si>
  <si>
    <t>50 km/h</t>
  </si>
  <si>
    <t>Carretera Central, Chaclacayo, Lima Metropolitana, Lima, 15474, Perú, (S07ÑAÑA, Ruta4507nueva era 23-10-23)</t>
  </si>
  <si>
    <t>Carretera Central, Ate, Lima Metropolitana, Lima, 15474, Perú, (Ruta4507nueva era 23-10-23)</t>
  </si>
  <si>
    <t>Carretera Central, Lurigancho, Lima Metropolitana, Lima, 15483, Perú, (Ruta4507nueva era 23-10-23)</t>
  </si>
  <si>
    <t>65 km/h</t>
  </si>
  <si>
    <t>Avenida Jaime Zubieta Calderon, Ate, Lima Metropolitana, Lima, 15483, Perú</t>
  </si>
  <si>
    <t>Carretera Central, Ate, Lima Metropolitana, Lima, 15474, Perú, (Horacio Zeballos)</t>
  </si>
  <si>
    <t>Avenida José Carlos Mariátegui, Ate, Lima Metropolitana, Lima, 15474, Perú, (Horacio Zeballos)</t>
  </si>
  <si>
    <t>Carretera Central, Chaclacayo, Lima Metropolitana, Lima, 15464, Perú</t>
  </si>
  <si>
    <t>Avenida Nicolás Ayllón, Chaclacayo, Lima Metropolitana, Lima, 15472, Perú, (Ruta4507nueva era 23-10-23)</t>
  </si>
  <si>
    <t>49 km/h</t>
  </si>
  <si>
    <t>Carretera Central, Frnt G3, Lurigancho, Lima Metropolitana, Lima, 15472, Perú, (Ruta4507nueva era 23-10-23)</t>
  </si>
  <si>
    <t>Avenida Las Flores, Lurigancho, Lima Metropolitana, Lima, 15472, Perú, (Ruta4507nueva era 23-10-23)</t>
  </si>
  <si>
    <t>55 km/h</t>
  </si>
  <si>
    <t>Avenida Las Flores, Lurigancho, Lima Metropolitana, Lima, 15468, Perú, (Ruta4507nueva era 23-10-23)</t>
  </si>
  <si>
    <t>Avenida Las Flores, Chosica, Lima Metropolitana, Lima, 15468, Perú, (Ruta4507nueva era 23-10-23)</t>
  </si>
  <si>
    <t>Avenida Lima Sur, 1205, Chosica, Lima Metropolitana, Lima, 15468, Perú</t>
  </si>
  <si>
    <t>Avenida Lima Sur, Chosica, Lima Metropolitana, Lima, 15468, Perú, (Ruta4507nueva era 23-10-23)</t>
  </si>
  <si>
    <t>Jirón Chucuito, 187, Chosica, Lima Metropolitana, Lima, 15468, Perú</t>
  </si>
  <si>
    <t>45 km/h</t>
  </si>
  <si>
    <t>Jirón Iquitos, Chosica, Lima Metropolitana, Lima, 15468, Perú, (Ruta4507nueva era 23-10-23)</t>
  </si>
  <si>
    <t>Avenida Lima Sur, 275, Chosica, Lima Metropolitana, Lima, 15468, Perú, (Ruta4507nueva era 23-10-23)</t>
  </si>
  <si>
    <t>Avenida Lima Norte, 246, Chosica, Lima Metropolitana, Lima, 15468, Perú, (Ruta4507nueva era 23-10-23)</t>
  </si>
  <si>
    <t>Avenida Lima Norte, 574, Santa Eulalia, Lima Metropolitana, Lima, 15468, Perú, (Ruta4507nueva era 23-10-23)</t>
  </si>
  <si>
    <t>Avenida Lima Norte, Santa Eulalia, Lima Metropolitana, Lima, 15468, Perú, (Ruta4507nueva era 23-10-23)</t>
  </si>
  <si>
    <t>38 km/h</t>
  </si>
  <si>
    <t>Santa Eulalia, Huarochirí, Lima, 15468, Perú, (Ruta4507nueva era 23-10-23)</t>
  </si>
  <si>
    <t>Simón Bolívar, Ricardo Palma, Huarochirí, Lima, 15468, Perú, (Ruta4507nueva era 23-10-23)</t>
  </si>
  <si>
    <t>Avenida Lima Norte, Chosica, Lima Metropolitana, Lima, 15468, Perú, (Ruta4507nueva era 23-10-23)</t>
  </si>
  <si>
    <t>Avenida Lima Norte, 178, Chosica, Lima Metropolitana, Lima, 15468, Perú, (Ruta4507nueva era 23-10-23)</t>
  </si>
  <si>
    <t>Jirón Tacna, Chosica, Lima Metropolitana, Lima, 15468, Perú, (Ruta4507nueva era 23-10-23)</t>
  </si>
  <si>
    <t>Avenida Lima Sur, 765, Chosica, Lima Metropolitana, Lima, 15468, Perú, (Ruta4507nueva era 23-10-23)</t>
  </si>
  <si>
    <t>Jirón Chucuito, 187, Chosica, Lima Metropolitana, Lima, 15468, Perú, (Ruta4507nueva era 23-10-23)</t>
  </si>
  <si>
    <t>Avenida Lima Sur, Chosica, Lima Metropolitana, Lima, 15468, Perú, (S09 CHOSICA/ PEDREGAL, Ruta4507nueva era 23-10-23)</t>
  </si>
  <si>
    <t>41 km/h</t>
  </si>
  <si>
    <t>61 km/h</t>
  </si>
  <si>
    <t>Avenida Malecón Manco Cápac, Chaclacayo, Lima Metropolitana, Lima, 15472, Perú, (Ruta4507nueva era 23-10-23)</t>
  </si>
  <si>
    <t>58 km/h</t>
  </si>
  <si>
    <t>Avenida Nicolás Ayllón, 161 C, Chaclacayo, Lima Metropolitana, Lima, 15464, Perú, (Ruta4507nueva era 23-10-23)</t>
  </si>
  <si>
    <t>Carretera Central, Chaclacayo, Lima Metropolitana, Lima, 15464, Perú, (Ruta4507nueva era 23-10-23)</t>
  </si>
  <si>
    <t>60 km/h</t>
  </si>
  <si>
    <t>63 km/h</t>
  </si>
  <si>
    <t>Avenida Nicolás de Ayllón, Ate, Lima Metropolitana, Lima, 15498, Perú, (Ruta4507nueva era 23-10-23, RUTA DESVIO TEM.  4507)</t>
  </si>
  <si>
    <t>Avenida Central, Ate, Lima Metropolitana, Lima, 15498, Perú, (Ruta4507nueva era 23-10-23, RUTA DESVIO TEM.  4507)</t>
  </si>
  <si>
    <t>Avenida Separadora Industrial, Ate, Lima Metropolitana, Lima, 15498, Perú, (RUTA DESVIO TEM.  4507)</t>
  </si>
  <si>
    <t>Avenida de La Cultura, Santa Anita, Lima Metropolitana, Lima, 15009, Perú</t>
  </si>
  <si>
    <t>Avenida Gran Chimu, Santa Anita, Lima Metropolitana, Lima, 15007, Perú</t>
  </si>
  <si>
    <t>Avenida Nicolás de Ayllón, Santa Anita, Lima Metropolitana, Lima, 15008, Perú, (RUTA DESVIO TEM.  4507)</t>
  </si>
  <si>
    <t>Avenida Nicolás de Ayllón, Santa Anita, Lima Metropolitana, Lima, 15008, Perú, (Ruta4507nueva era 23-10-23)</t>
  </si>
  <si>
    <t>Avenida Nicolás de Ayllón, El Agustino, Lima Metropolitana, Lima, 15008, Perú, (Ruta4507nueva era 23-10-23, RUTA DESVIO TEM.  4507)</t>
  </si>
  <si>
    <t>Avenida Nicolás de Ayllón, 2691, El Agustino, Lima Metropolitana, Lima, 15002, Perú, (Ruta4507nueva era 23-10-23)</t>
  </si>
  <si>
    <t>Avenida Andrés Avelino Cáceres, Ate, Lima Metropolitana, Lima, 15019, Perú</t>
  </si>
  <si>
    <t>Pasaje Tahuantinsuyo, San Luis, Lima Metropolitana, Lima, 15019, Perú</t>
  </si>
  <si>
    <t>Calle Ollanta, San Luis, Lima Metropolitana, Lima, 15019, Perú</t>
  </si>
  <si>
    <t>Avenida Inca Garcilazo de la Vega, El Agustino, Lima Metropolitana, Lima, 15004, Perú</t>
  </si>
  <si>
    <t>Calle El Pino, El Agustino, Lima Metropolitana, Lima, 15004, Perú</t>
  </si>
  <si>
    <t>Prolongación Alfonso Ugarte, El Agustino, Lima Metropolitana, Lima, 15004, Perú</t>
  </si>
  <si>
    <t>Jirón Junín, Lima, Lima Metropolitana, Lima, 15003, Perú</t>
  </si>
  <si>
    <t>Avenida Almirante Miguel Grau, 1772, Lima, Lima Metropolitana, Lima, 15011, Perú, (Ruta4507nueva era 23-10-23)</t>
  </si>
  <si>
    <t>Avenida Almirante Miguel Grau, 1715, Lima, Lima Metropolitana, Lima, 15011, Perú, (Ruta4507nueva era 23-10-23)</t>
  </si>
  <si>
    <t>Avenida Almirante Miguel Grau, 1553, Lima, Lima Metropolitana, Lima, 15011, Perú, (Ruta4507nueva era 23-10-23)</t>
  </si>
  <si>
    <t>Avenida Almirante Miguel Grau, 1380, Lima, Lima Metropolitana, Lima, 15011, Perú, (Ruta4507nueva era 23-10-23)</t>
  </si>
  <si>
    <t>Avenida Almirante Miguel Grau, 1169, Lima, Lima Metropolitana, Lima, 15011, Perú, (Ruta4507nueva era 23-10-23)</t>
  </si>
  <si>
    <t>Avenida Almirante Miguel Grau, 1110, La Victoria, Lima Metropolitana, Lima, 15011, Perú, (Ruta4507nueva era 23-10-23)</t>
  </si>
  <si>
    <t>Avenida Almirante Miguel Grau, La Victoria, Lima Metropolitana, Lima, 15001, Perú, (Ruta4507nueva era 23-10-23)</t>
  </si>
  <si>
    <t>Avenida Almirante Miguel Grau, 171, Lima, Lima Metropolitana, Lima, 15001, Perú, (Ruta4507nueva era 23-10-23)</t>
  </si>
  <si>
    <t>Avenida Almirante Miguel Grau, 369, Lima, Lima Metropolitana, Lima, 15001, Perú, (Ruta4507nueva era 23-10-23)</t>
  </si>
  <si>
    <t>Avenida Almirante Miguel Grau, 354, Lima, Lima Metropolitana, Lima, 15001, Perú, (Ruta4507nueva era 23-10-23)</t>
  </si>
  <si>
    <t>Avenida Almirante Miguel Grau, 800, La Victoria, Lima Metropolitana, Lima, 15011, Perú, (Ruta4507nueva era 23-10-23)</t>
  </si>
  <si>
    <t>Avenida Almirante Miguel Grau, 1400, Lima, Lima Metropolitana, Lima, 15011, Perú, (Ruta4507nueva era 23-10-23)</t>
  </si>
  <si>
    <t>Avenida Almirante Miguel Grau, Lima, Lima Metropolitana, Lima, 15011, Perú, (Ruta4507nueva era 23-10-23)</t>
  </si>
  <si>
    <t>Avenida Nicolás de Ayllón, Lima, Lima Metropolitana, Lima, 15011, Perú, (Ruta4507nueva era 23-10-23)</t>
  </si>
  <si>
    <t>Avenida José de la Riva Aguero, Lima, Lima Metropolitana, Lima, 15004, Perú, (Ruta4507nueva era 23-10-23)</t>
  </si>
  <si>
    <t>Pasaje 1 de Mayo, San Luis, Lima Metropolitana, Lima, 15019, Perú</t>
  </si>
  <si>
    <t>Calle Angel Cepollini, San Luis, Lima Metropolitana, Lima, 15019, Perú</t>
  </si>
  <si>
    <t>Auxiliar Avenida Circunvalación, La Victoria, Lima Metropolitana, Lima, 15019, Perú</t>
  </si>
  <si>
    <t>Avenida Nicolás de Ayllón, Ate, Lima Metropolitana, Lima, 15008, Perú, (Ruta4507nueva era 23-10-23, RUTA DESVIO TEM.  4507)</t>
  </si>
  <si>
    <t>Avenida Los Cipreses, Santa Anita, Lima Metropolitana, Lima, 15008, Perú, (RUTA DESVIO TEM.  4507)</t>
  </si>
  <si>
    <t>Avenida Los Cipreses, Santa Anita, Lima Metropolitana, Lima, 15002, Perú</t>
  </si>
  <si>
    <t>Avenida de La Cultura, Santa Anita, Lima Metropolitana, Lima, 15009, Perú, (RUTA DESVIO TEM.  4507)</t>
  </si>
  <si>
    <t>Avenida Metropolitana, Ate, Lima Metropolitana, Lima, 15498, Perú</t>
  </si>
  <si>
    <t>Prolongación Javier Prado Este, Ate, Lima Metropolitana, Lima, 15498, Perú, (Ruta4507nueva era 23-10-23)</t>
  </si>
  <si>
    <t>Prolongación Javier Prado Este, Ate, Lima Metropolitana, Lima, 15498, Perú</t>
  </si>
  <si>
    <t>Ate, Lima Metropolitana, Lima, 15498, Perú, (Ruta4507nueva era 23-10-23)</t>
  </si>
  <si>
    <t>Víctor Raúl Haya de la Torre, Ate, Lima Metropolitana, Lima, 15498, Perú</t>
  </si>
  <si>
    <t>Víctor Raúl Haya de la Torre, Ate, Lima Metropolitana, Lima, 15498, Perú, (Ruta4507nueva era 23-10-23)</t>
  </si>
  <si>
    <t>Avenida Nicolás de Ayllón, 5818, Ate, Lima Metropolitana, Lima, 15498, Perú, (Ruta4507nueva era 23-10-23)</t>
  </si>
  <si>
    <t>Avenida Nicolás de Ayllón, Ate, Lima Metropolitana, Lima, 15498, Perú, (Ruta4507nueva era 23-10-23)</t>
  </si>
  <si>
    <t>Avenida Nicolás de Ayllón, 836, Ate, Lima Metropolitana, Lima, 15487, Perú, (Ruta4507nueva era 23-10-23)</t>
  </si>
  <si>
    <t>Avenida Nueva Neópolis, Ate, Lima Metropolitana, Lima, 15487, Perú, (Ruta4507nueva era 23-10-23)</t>
  </si>
  <si>
    <t>Carretera Central, Ate, Lima Metropolitana, Lima, 15474, Perú, (Horacio Zeballos, Ruta4507nueva era 23-10-23)</t>
  </si>
  <si>
    <t>Avenida Nicolás Ayllón, Chaclacayo, Lima Metropolitana, Lima, 15464, Perú, (Ruta4507nueva era 23-10-23)</t>
  </si>
  <si>
    <t>Avenida Nicolás Ayllón, 432, Chaclacayo, Lima Metropolitana, Lima, 15472, Perú, (Ruta4507nueva era 23-10-23)</t>
  </si>
  <si>
    <t>Avenida Lima Sur, 1471, Chosica, Lima Metropolitana, Lima, 15468, Perú, (Ruta4507nueva era 23-10-23)</t>
  </si>
  <si>
    <t>Avenida Lima Sur, 465, Chosica, Lima Metropolitana, Lima, 15468, Perú, (Ruta4507nueva era 23-10-23)</t>
  </si>
  <si>
    <t>Chosica, Lima Metropolitana, Lima, 15468, Perú</t>
  </si>
  <si>
    <t>Jirón Los Próceres, Santa Eulalia, Huarochirí, Lima, 15468, Perú, (Ruta4507nueva era 23-10-23)</t>
  </si>
  <si>
    <t>Avenida Lima Norte, Santa Eulalia, Huarochirí, Lima, 15468, Perú, (Ruta4507nueva era 23-10-23)</t>
  </si>
  <si>
    <t>Jirón Trujillo Norte, Chosica, Lima Metropolitana, Lima, 15468, Perú</t>
  </si>
  <si>
    <t>Jirón Trujillo Norte, Chosica, Lima Metropolitana, Lima, 15468, Perú, (Ruta4507nueva era 23-10-23)</t>
  </si>
  <si>
    <t>Jirón Arequipa, 208, Chosica, Lima Metropolitana, Lima, 15468, Perú, (Ruta4507nueva era 23-10-23)</t>
  </si>
  <si>
    <t>Jirón Trujillo Sur, Chosica, Lima Metropolitana, Lima, 15468, Perú, (Ruta4507nueva era 23-10-23)</t>
  </si>
  <si>
    <t>Jirón Tacna, Chosica, Lima Metropolitana, Lima, 15468, Perú</t>
  </si>
  <si>
    <t>Avenida Las Flores, 29000, Lurigancho, Lima Metropolitana, Lima, 15472, Perú, (Ruta4507nueva era 23-10-23)</t>
  </si>
  <si>
    <t>Avenida Unión, Chaclacayo, Lima Metropolitana, Lima, 15474, Perú, (S07ÑAÑA)</t>
  </si>
  <si>
    <t>73 km/h</t>
  </si>
  <si>
    <t>Avenida Nicolás de Ayllón, 816-818, Ate, Lima Metropolitana, Lima, 15487, Perú, (Ruta4507nueva era 23-10-23)</t>
  </si>
  <si>
    <t>Avenida Nicolás de Ayllón, 5880, Ate, Lima Metropolitana, Lima, 15498, Perú, (Ruta4507nueva era 23-10-23)</t>
  </si>
  <si>
    <t>Avenida Nicolás de Ayllón, 15498, Ate, Lima Metropolitana, Lima, 15498, Perú, (Ruta4507nueva era 23-10-23)</t>
  </si>
  <si>
    <t>Santa Anita, Lima Metropolitana, Lima, 15009, Perú, (RUTA DESVIO TEM.  4507)</t>
  </si>
  <si>
    <t>Avenida Huancaray, Santa Anita, Lima Metropolitana, Lima, 15009, Perú, (S04 AV. Metropolitana / Colectora Industrial)</t>
  </si>
  <si>
    <t>Avenida Francisco Bolognesi, 1011, Santa Anita, Lima Metropolitana, Lima, 15008, Perú, (RUTA DESVIO TEM.  4507)</t>
  </si>
  <si>
    <t>Avenida Francisco Bolognesi, Santa Anita, Lima Metropolitana, Lima, 15008, Perú, (RUTA DESVIO TEM.  4507)</t>
  </si>
  <si>
    <t>Avenida Manuel de la Torre Ugarte, Santa Anita, Lima Metropolitana, Lima, 15008, Perú, (RUTA DESVIO TEM.  4507)</t>
  </si>
  <si>
    <t>Avenida Minería, Santa Anita, Lima Metropolitana, Lima, 15008, Perú, (RUTA DESVIO TEM.  4507)</t>
  </si>
  <si>
    <t>Avenida Nicolás de Ayllón, Santa Anita, Lima Metropolitana, Lima, 15008, Perú</t>
  </si>
  <si>
    <t>Avenida Almirante Miguel Grau, 1804, Lima, Lima Metropolitana, Lima, 15011, Perú</t>
  </si>
  <si>
    <t>Avenida Almirante Miguel Grau, 1772, Lima, Lima Metropolitana, Lima, 15011, Perú</t>
  </si>
  <si>
    <t>Vía Expresa Almirante Miguel Grau, Lima, Lima Metropolitana, Lima, 15001, Perú, (Ruta4507nueva era 23-10-23)</t>
  </si>
  <si>
    <t>Avenida Almirante Miguel Grau, 619, Lima, Lima Metropolitana, Lima, 15001, Perú, (Ruta4507nueva era 23-10-23)</t>
  </si>
  <si>
    <t>Avenida Almirante Miguel Grau, Lima, Lima Metropolitana, Lima, 15001, Perú, (Ruta4507nueva era 23-10-23)</t>
  </si>
  <si>
    <t>Avenida 9 de Diciembre, 150, Lima, Lima Metropolitana, Lima, 15083, Perú, (Ruta4507nueva era 23-10-23)</t>
  </si>
  <si>
    <t>Avenida Paseo de la República, 385, La Victoria, Lima Metropolitana, Lima, 15001, Perú</t>
  </si>
  <si>
    <t>Avenida Almirante Miguel Grau, 384, La Victoria, Lima Metropolitana, Lima, 15001, Perú, (Ruta4507nueva era 23-10-23)</t>
  </si>
  <si>
    <t>Avenida Almirante Miguel Grau, 500, La Victoria, Lima Metropolitana, Lima, 15001, Perú, (Ruta4507nueva era 23-10-23)</t>
  </si>
  <si>
    <t>Vía Expresa Almirante Miguel Grau, La Victoria, Lima Metropolitana, Lima, 15001, Perú, (Ruta4507nueva era 23-10-23)</t>
  </si>
  <si>
    <t>Avenida Almirante Miguel Grau, 650, La Victoria, Lima Metropolitana, Lima, 15001, Perú, (Ruta4507nueva era 23-10-23)</t>
  </si>
  <si>
    <t>Avenida Almirante Miguel Grau, 650, La Victoria, Lima Metropolitana, Lima, 15001, Perú, (S02 AV.GRAU/ JR ANDAHUAYLAS, Ruta4507nueva era 23-10-23)</t>
  </si>
  <si>
    <t>Vía Expresa Almirante Miguel Grau, La Victoria, Lima Metropolitana, Lima, 15011, Perú, (Ruta4507nueva era 23-10-23)</t>
  </si>
  <si>
    <t>Prolongación Avenida San Pablo, Lima, Lima Metropolitana, Lima, 15011, Perú, (Ruta4507nueva era 23-10-23)</t>
  </si>
  <si>
    <t>Prolongación Avenida San Pablo, La Victoria, Lima Metropolitana, Lima, 15011, Perú</t>
  </si>
  <si>
    <t>Avenida Jaime Bausate y Meza, La Victoria, Lima Metropolitana, Lima, 15019, Perú</t>
  </si>
  <si>
    <t>Avenida Nicolás de Ayllón, La Victoria, Lima Metropolitana, Lima, 15019, Perú, (S03 Nicolas Ayllon/ Mexico, Ruta4507nueva era 23-10-23)</t>
  </si>
  <si>
    <t>Avenida Nicolás de Ayllón, Ate, Lima Metropolitana, Lima, 15002, Perú, (Ruta4507nueva era 23-10-23)</t>
  </si>
  <si>
    <t>Avenida Nicolás de Ayllón, Ate, Lima Metropolitana, Lima, 15008, Perú</t>
  </si>
  <si>
    <t>Vía de Evitamiento, Ate, Lima Metropolitana, Lima, 15008, Perú</t>
  </si>
  <si>
    <t>Vía de Evitamiento, Ate, Lima Metropolitana, Lima, 15008, Perú, (Ruta4507nueva era 23-10-23)</t>
  </si>
  <si>
    <t>Vía de Evitamiento, Santa Anita, Lima Metropolitana, Lima, 15008, Perú, (RUTA DESVIO TEM.  4507)</t>
  </si>
  <si>
    <t>Avenida Los Cipreses, Santa Anita, Lima Metropolitana, Lima, 15002, Perú, (RUTA DESVIO TEM.  4507)</t>
  </si>
  <si>
    <t>Avenida Los Ruiseñores, Santa Anita, Lima Metropolitana, Lima, 15008, Perú, (RUTA DESVIO TEM.  4507)</t>
  </si>
  <si>
    <t>Avenida Santa Rosa, Santa Anita, Lima Metropolitana, Lima, 15007, Perú, (RUTA DESVIO TEM.  4507)</t>
  </si>
  <si>
    <t>Avenida Huancaray, Santa Anita, Lima Metropolitana, Lima, 15009, Perú</t>
  </si>
  <si>
    <t>Avenida Nicolás de Ayllón, Ate, Lima Metropolitana, Lima, 15498, Perú, (S05Vitarte/ ALT. Hospital, Ruta4507nueva era 23-10-23)</t>
  </si>
  <si>
    <t>Pasaje Unión, 107, Ate, Lima Metropolitana, Lima, 15498, Perú, (Ruta4507nueva era 23-10-23)</t>
  </si>
  <si>
    <t>Carretera Central, 1030, Ate, Lima Metropolitana, Lima, 15487, Perú, (Ruta4507nueva era 23-10-23)</t>
  </si>
  <si>
    <t>Ate, Lima Metropolitana, Lima, 15487, Perú, (Ruta4507nueva era 23-10-23)</t>
  </si>
  <si>
    <t>Carretera Central, Ate, Lima Metropolitana, Lima, 15474, Perú</t>
  </si>
  <si>
    <t>Avenida Gloria Grande, Ate, Lima Metropolitana, Lima, 15483, Perú</t>
  </si>
  <si>
    <t>Carretera Central, Lurigancho, Lima Metropolitana, Lima, 15483, Perú</t>
  </si>
  <si>
    <t>Jirón Sánchez Pinillos, 189, Lima, Lima Metropolitana, Lima, 15082, Perú, (Ruta4507nueva era 23-10-23)</t>
  </si>
  <si>
    <t>Calle Digoberto Ojeda, Ricardo Palma, Huarochirí, Lima, 15468, Perú</t>
  </si>
  <si>
    <t>Jirón Cornelio Borda, Lima, Lima Metropolitana, Lima, 15082, Perú</t>
  </si>
  <si>
    <t>Jirón Miguel de los Ríos, 149, La Victoria, Lima Metropolitana, Lima, 15001, Perú</t>
  </si>
  <si>
    <t>Abraham Valdelomar, Ricardo Palma, Huarochirí, Lima, 15468, Perú</t>
  </si>
  <si>
    <t>92 km/h</t>
  </si>
  <si>
    <t>Avenida Iquitos, Lima, Lima Metropolitana, Lima, 15001, Perú, (Ruta4507nueva era 23-10-23)</t>
  </si>
  <si>
    <t>Jirón Los Próceres, Santa Eulalia, Huarochirí, Lima, 15468, Perú</t>
  </si>
  <si>
    <t>Avenida Los Ángeles, Ate, Lima Metropolitana, Lima, 15498, Perú</t>
  </si>
  <si>
    <t>Calle Nueva Los Alamos, Santa Eulalia, Huarochirí, Lima, 15468, Perú</t>
  </si>
  <si>
    <t>Avenida Óscar Raimundo Benavides, 150, Lima, Lima Metropolitana, Lima, 15082, Perú</t>
  </si>
  <si>
    <t>Avenida Óscar Raimundo Benavides, 153, Lima, Lima Metropolitana, Lima, 15082, Perú</t>
  </si>
  <si>
    <t>Avenida San Martín, Santa Eulalia, Huarochirí, Lima, 15468, Perú</t>
  </si>
  <si>
    <t>Jirón Sánchez Pinillos, Lima, Lima Metropolitana, Lima, 15082, Perú, (Ruta4507nueva era 23-10-23)</t>
  </si>
  <si>
    <t>Avenida Paseo de la República, Lima, Lima Metropolitana, Lima, 15083, Perú</t>
  </si>
  <si>
    <t>Avenida Nicolás Ayllón, Chaclacayo, Lima Metropolitana, Lima, 15472, Perú</t>
  </si>
  <si>
    <t>Venta, Ate, Lima Metropolitana, Lima, 15474, Perú</t>
  </si>
  <si>
    <t>Carretera Central, Ate, Lima Metropolitana, Lima, 15483, Perú</t>
  </si>
  <si>
    <t>Jirón Chucuito, Chosica, Lima Metropolitana, Lima, 15468, Perú</t>
  </si>
  <si>
    <t>Calle 3, Santa Anita, Lima Metropolitana, Lima, 15007, Perú</t>
  </si>
  <si>
    <t>Ciclovía Colonial, Lima, Lima Metropolitana, Lima, 15082, Perú</t>
  </si>
  <si>
    <t>Lurigancho, Lima Metropolitana, Lima, 15474, Perú</t>
  </si>
  <si>
    <t>Lurigancho, Lima Metropolitana, Lima, 15476, Perú</t>
  </si>
  <si>
    <t>Chaclacayo, Lima Metropolitana, Lima, 15476, Perú</t>
  </si>
  <si>
    <t>Avenida Nicolás de Ayllón, Santa Anita, Lima Metropolitana, Lima, 15498, Perú, (Ruta4507nueva era 23-10-23)</t>
  </si>
  <si>
    <t>Avenida 5 de Setiembre, Ricardo Palma, Huarochirí, Lima, 15468, Perú</t>
  </si>
  <si>
    <t>Avenida Metropolitana, Santa Anita, Lima Metropolitana, Lima, 15009, Perú</t>
  </si>
  <si>
    <t>Avenida Lima Sur, 1205, Chosica, Lima Metropolitana, Lima, 15468, Perú, (Ruta4507nueva era 23-10-23)</t>
  </si>
  <si>
    <t>Chosica, Lima Metropolitana, Lima, 15468, Perú, (Ruta4507nueva era 23-10-23)</t>
  </si>
  <si>
    <t>Avenida Lima Sur, 1254, Chosica, Lima Metropolitana, Lima, 15468, Perú, (Ruta4507nueva era 23-10-23)</t>
  </si>
  <si>
    <t>Calle Salaverry, 110, Chosica, Lima Metropolitana, Lima, 15468, Perú</t>
  </si>
  <si>
    <t>Avenida Lima Sur, Chosica, Lima Metropolitana, Lima, 15468, Perú</t>
  </si>
  <si>
    <t>Calle Ollanta, Ate, Lima Metropolitana, Lima, 15019, Perú</t>
  </si>
  <si>
    <t>Avenida Almirante Miguel Grau, 714, Lima, Lima Metropolitana, Lima, 15001, Perú, (Ruta4507nueva era 23-10-23)</t>
  </si>
  <si>
    <t>Avenida José Gálvez, La Victoria, Lima Metropolitana, Lima, 15001, Perú, (Ruta4507nueva era 23-10-23)</t>
  </si>
  <si>
    <t>83 km/h</t>
  </si>
  <si>
    <t>Avenida José Carlos Mariátegui, Ate, Lima Metropolitana, Lima, 15474, Perú</t>
  </si>
  <si>
    <t>54 km/h</t>
  </si>
  <si>
    <t>Avenida 15 de Julio, Ate, Lima Metropolitana, Lima, 15483, Perú</t>
  </si>
  <si>
    <t>Avenida Bernardino Rivadavia, Ate, Lima Metropolitana, Lima, 15498, Perú, (RUTA DESVIO TEM.  4507)</t>
  </si>
  <si>
    <t>Jirón Jorge Chávez, 71A, Lima, Lima Metropolitana, Lima, 15082, Perú</t>
  </si>
  <si>
    <t>89 km/h</t>
  </si>
  <si>
    <t>Avenida Lima Norte, Santa Eulalia, Huarochirí, Lima, 15468, Perú</t>
  </si>
  <si>
    <t>Jirón Ascope, Lima, Lima Metropolitana, Lima, 15082, Perú, (PARADERO DESTINO ASCOPE, Ruta4507nueva era 23-10-23)</t>
  </si>
  <si>
    <t>Avenida Óscar Raimundo Benavides, 279, Rímac, Lima Metropolitana, Lima, 15082, Perú, (PARADERO DESTINO ASCOPE, Ruta4507nueva era 23-10-23)</t>
  </si>
  <si>
    <t>57 km/h</t>
  </si>
  <si>
    <t>Avenida Colectora Santa Marta, Ate, Lima Metropolitana, Lima, 15487, Perú</t>
  </si>
  <si>
    <t>Avenida Gloria Baja, Ate, Lima Metropolitana, Lima, 15487, Perú, (Ruta4507nueva era 23-10-23)</t>
  </si>
  <si>
    <t>Calle 5, Los Olivos, Lima Metropolitana, Lima, 15301, Perú</t>
  </si>
  <si>
    <t>Avenida Angélica Gamarra, Los Olivos, Lima Metropolitana, Lima, 15302, Perú</t>
  </si>
  <si>
    <t>Calle 20 de Enero, Santa Eulalia, Huarochirí, Lima, 15468, Perú</t>
  </si>
  <si>
    <t>64 km/h</t>
  </si>
  <si>
    <t>Avenida Palomar Sur, Santa Eulalia, Huarochirí, Lima, 15468, Perú</t>
  </si>
  <si>
    <t>Avenida Colectora, Ate, Lima Metropolitana, Lima, 15483, Perú</t>
  </si>
  <si>
    <t>Avenida Paseo de la República, 400, Jesús María, Lima Metropolitana, Lima, 15001, Perú</t>
  </si>
  <si>
    <t>Objeto 1</t>
  </si>
  <si>
    <t>Objeto 2</t>
  </si>
  <si>
    <t>Objeto 5</t>
  </si>
  <si>
    <t>Objeto 9</t>
  </si>
  <si>
    <t>Objeto 7</t>
  </si>
  <si>
    <t>Objeto 4</t>
  </si>
  <si>
    <t>Objeto 8</t>
  </si>
  <si>
    <t>Objeto 6</t>
  </si>
  <si>
    <t>Objeto 10</t>
  </si>
  <si>
    <t>Objeto 3</t>
  </si>
  <si>
    <t>Objeto 41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</si>
  <si>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</si>
  <si>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</si>
  <si>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</si>
  <si>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</si>
  <si>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</si>
  <si>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</si>
  <si>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</si>
  <si>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</si>
  <si>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</si>
  <si>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</si>
  <si>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</si>
  <si>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</si>
  <si>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</si>
  <si>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</si>
  <si>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</si>
  <si>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</si>
  <si>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</si>
  <si>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</si>
  <si>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</si>
  <si>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</si>
  <si>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</si>
  <si>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</si>
  <si>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</si>
  <si>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</si>
  <si>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</si>
  <si>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</si>
  <si>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</si>
  <si>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</si>
  <si>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</si>
  <si>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</si>
  <si>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42</t>
  </si>
  <si>
    <t>Objeto 43</t>
  </si>
  <si>
    <t>Objeto 44</t>
  </si>
  <si>
    <t>Objeto 45</t>
  </si>
  <si>
    <t>Objeto 46</t>
  </si>
  <si>
    <t>Objeto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</si>
</sst>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6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5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424</v>
      </c>
      <c r="B8" s="3">
        <v>45689.223506944443</v>
      </c>
      <c r="C8" t="s">
        <v>18</v>
      </c>
      <c r="D8" s="3">
        <v>45689.939872685187</v>
      </c>
      <c r="E8" t="s">
        <v>18</v>
      </c>
      <c r="F8" s="4">
        <v>313.95800000000003</v>
      </c>
      <c r="G8" s="4">
        <v>511737.424</v>
      </c>
      <c r="H8" s="4">
        <v>512051.38199999998</v>
      </c>
      <c r="I8" s="5">
        <f>14475 / 86400</f>
        <v>0.16753472222222221</v>
      </c>
      <c r="J8" t="s">
        <v>19</v>
      </c>
      <c r="K8" t="s">
        <v>20</v>
      </c>
      <c r="L8" s="5">
        <f>53997 / 86400</f>
        <v>0.62496527777777777</v>
      </c>
      <c r="M8" s="5">
        <f>32400 / 86400</f>
        <v>0.375</v>
      </c>
    </row>
    <row r="9" spans="1:13" x14ac:dyDescent="0.25">
      <c r="A9" t="s">
        <v>425</v>
      </c>
      <c r="B9" s="3">
        <v>45689.293773148151</v>
      </c>
      <c r="C9" t="s">
        <v>21</v>
      </c>
      <c r="D9" s="3">
        <v>45689.881203703699</v>
      </c>
      <c r="E9" t="s">
        <v>21</v>
      </c>
      <c r="F9" s="4">
        <v>195.42000000000002</v>
      </c>
      <c r="G9" s="4">
        <v>326344.55</v>
      </c>
      <c r="H9" s="4">
        <v>326539.96999999997</v>
      </c>
      <c r="I9" s="5">
        <f>12616 / 86400</f>
        <v>0.14601851851851852</v>
      </c>
      <c r="J9" t="s">
        <v>22</v>
      </c>
      <c r="K9" t="s">
        <v>23</v>
      </c>
      <c r="L9" s="5">
        <f>39804 / 86400</f>
        <v>0.46069444444444446</v>
      </c>
      <c r="M9" s="5">
        <f>46588 / 86400</f>
        <v>0.53921296296296295</v>
      </c>
    </row>
    <row r="10" spans="1:13" x14ac:dyDescent="0.25">
      <c r="A10" t="s">
        <v>433</v>
      </c>
      <c r="B10" s="3">
        <v>45689.298321759255</v>
      </c>
      <c r="C10" t="s">
        <v>24</v>
      </c>
      <c r="D10" s="3">
        <v>45689.870300925926</v>
      </c>
      <c r="E10" t="s">
        <v>24</v>
      </c>
      <c r="F10" s="4">
        <v>159.762</v>
      </c>
      <c r="G10" s="4">
        <v>19384.403999999999</v>
      </c>
      <c r="H10" s="4">
        <v>19544.166000000001</v>
      </c>
      <c r="I10" s="5">
        <f>11672 / 86400</f>
        <v>0.1350925925925926</v>
      </c>
      <c r="J10" t="s">
        <v>25</v>
      </c>
      <c r="K10" t="s">
        <v>26</v>
      </c>
      <c r="L10" s="5">
        <f>36591 / 86400</f>
        <v>0.42350694444444442</v>
      </c>
      <c r="M10" s="5">
        <f>49803 / 86400</f>
        <v>0.57642361111111107</v>
      </c>
    </row>
    <row r="11" spans="1:13" x14ac:dyDescent="0.25">
      <c r="A11" t="s">
        <v>429</v>
      </c>
      <c r="B11" s="3">
        <v>45689.004189814819</v>
      </c>
      <c r="C11" t="s">
        <v>27</v>
      </c>
      <c r="D11" s="3">
        <v>45689.944456018522</v>
      </c>
      <c r="E11" t="s">
        <v>28</v>
      </c>
      <c r="F11" s="4">
        <v>221.703</v>
      </c>
      <c r="G11" s="4">
        <v>511177.51</v>
      </c>
      <c r="H11" s="4">
        <v>511399.21299999999</v>
      </c>
      <c r="I11" s="5">
        <f>14743 / 86400</f>
        <v>0.17063657407407407</v>
      </c>
      <c r="J11" t="s">
        <v>29</v>
      </c>
      <c r="K11" t="s">
        <v>30</v>
      </c>
      <c r="L11" s="5">
        <f>47111 / 86400</f>
        <v>0.54526620370370371</v>
      </c>
      <c r="M11" s="5">
        <f>39279 / 86400</f>
        <v>0.45461805555555557</v>
      </c>
    </row>
    <row r="12" spans="1:13" x14ac:dyDescent="0.25">
      <c r="A12" t="s">
        <v>426</v>
      </c>
      <c r="B12" s="3">
        <v>45689.216261574074</v>
      </c>
      <c r="C12" t="s">
        <v>24</v>
      </c>
      <c r="D12" s="3">
        <v>45689.895312499997</v>
      </c>
      <c r="E12" t="s">
        <v>24</v>
      </c>
      <c r="F12" s="4">
        <v>187.34</v>
      </c>
      <c r="G12" s="4">
        <v>90337.812999999995</v>
      </c>
      <c r="H12" s="4">
        <v>90525.153000000006</v>
      </c>
      <c r="I12" s="5">
        <f>19801 / 86400</f>
        <v>0.22917824074074075</v>
      </c>
      <c r="J12" t="s">
        <v>22</v>
      </c>
      <c r="K12" t="s">
        <v>31</v>
      </c>
      <c r="L12" s="5">
        <f>50874 / 86400</f>
        <v>0.58881944444444445</v>
      </c>
      <c r="M12" s="5">
        <f>35524 / 86400</f>
        <v>0.41115740740740742</v>
      </c>
    </row>
    <row r="13" spans="1:13" x14ac:dyDescent="0.25">
      <c r="A13" t="s">
        <v>431</v>
      </c>
      <c r="B13" s="3">
        <v>45689.224212962959</v>
      </c>
      <c r="C13" t="s">
        <v>18</v>
      </c>
      <c r="D13" s="3">
        <v>45689.955474537041</v>
      </c>
      <c r="E13" t="s">
        <v>18</v>
      </c>
      <c r="F13" s="4">
        <v>220.65299999999999</v>
      </c>
      <c r="G13" s="4">
        <v>134981.08199999999</v>
      </c>
      <c r="H13" s="4">
        <v>135201.73499999999</v>
      </c>
      <c r="I13" s="5">
        <f>19506 / 86400</f>
        <v>0.22576388888888888</v>
      </c>
      <c r="J13" t="s">
        <v>32</v>
      </c>
      <c r="K13" t="s">
        <v>26</v>
      </c>
      <c r="L13" s="5">
        <f>50449 / 86400</f>
        <v>0.58390046296296294</v>
      </c>
      <c r="M13" s="5">
        <f>35944 / 86400</f>
        <v>0.41601851851851851</v>
      </c>
    </row>
    <row r="14" spans="1:13" x14ac:dyDescent="0.25">
      <c r="A14" t="s">
        <v>428</v>
      </c>
      <c r="B14" s="3">
        <v>45689</v>
      </c>
      <c r="C14" t="s">
        <v>33</v>
      </c>
      <c r="D14" s="3">
        <v>45689.740254629629</v>
      </c>
      <c r="E14" t="s">
        <v>24</v>
      </c>
      <c r="F14" s="4">
        <v>256.29514902698992</v>
      </c>
      <c r="G14" s="4">
        <v>345716.87527752359</v>
      </c>
      <c r="H14" s="4">
        <v>345988.61120650638</v>
      </c>
      <c r="I14" s="5">
        <f>0 / 86400</f>
        <v>0</v>
      </c>
      <c r="J14" t="s">
        <v>34</v>
      </c>
      <c r="K14" t="s">
        <v>35</v>
      </c>
      <c r="L14" s="5">
        <f>39622 / 86400</f>
        <v>0.45858796296296295</v>
      </c>
      <c r="M14" s="5">
        <f>46777 / 86400</f>
        <v>0.54140046296296296</v>
      </c>
    </row>
    <row r="15" spans="1:13" x14ac:dyDescent="0.25">
      <c r="A15" t="s">
        <v>430</v>
      </c>
      <c r="B15" s="3">
        <v>45689.31831018519</v>
      </c>
      <c r="C15" t="s">
        <v>36</v>
      </c>
      <c r="D15" s="3">
        <v>45689.34674768518</v>
      </c>
      <c r="E15" t="s">
        <v>36</v>
      </c>
      <c r="F15" s="4">
        <v>2E-3</v>
      </c>
      <c r="G15" s="4">
        <v>482796.36</v>
      </c>
      <c r="H15" s="4">
        <v>482796.36200000002</v>
      </c>
      <c r="I15" s="5">
        <f>39 / 86400</f>
        <v>4.5138888888888887E-4</v>
      </c>
      <c r="J15" t="s">
        <v>37</v>
      </c>
      <c r="K15" t="s">
        <v>37</v>
      </c>
      <c r="L15" s="5">
        <f>101 / 86400</f>
        <v>1.1689814814814816E-3</v>
      </c>
      <c r="M15" s="5">
        <f>86296 / 86400</f>
        <v>0.99879629629629629</v>
      </c>
    </row>
    <row r="16" spans="1:13" x14ac:dyDescent="0.25">
      <c r="A16" t="s">
        <v>427</v>
      </c>
      <c r="B16" s="3">
        <v>45689.281840277778</v>
      </c>
      <c r="C16" t="s">
        <v>38</v>
      </c>
      <c r="D16" s="3">
        <v>45689.865787037037</v>
      </c>
      <c r="E16" t="s">
        <v>39</v>
      </c>
      <c r="F16" s="4">
        <v>202.209</v>
      </c>
      <c r="G16" s="4">
        <v>505806.33600000001</v>
      </c>
      <c r="H16" s="4">
        <v>506008.54499999998</v>
      </c>
      <c r="I16" s="5">
        <f>15616 / 86400</f>
        <v>0.18074074074074073</v>
      </c>
      <c r="J16" t="s">
        <v>40</v>
      </c>
      <c r="K16" t="s">
        <v>26</v>
      </c>
      <c r="L16" s="5">
        <f>46125 / 86400</f>
        <v>0.53385416666666663</v>
      </c>
      <c r="M16" s="5">
        <f>40270 / 86400</f>
        <v>0.46608796296296295</v>
      </c>
    </row>
    <row r="17" spans="1:13" x14ac:dyDescent="0.25">
      <c r="A17" t="s">
        <v>432</v>
      </c>
      <c r="B17" s="3">
        <v>45689.28297453704</v>
      </c>
      <c r="C17" t="s">
        <v>38</v>
      </c>
      <c r="D17" s="3">
        <v>45689.992314814815</v>
      </c>
      <c r="E17" t="s">
        <v>41</v>
      </c>
      <c r="F17" s="4">
        <v>199.15299999999999</v>
      </c>
      <c r="G17" s="4">
        <v>406055.92</v>
      </c>
      <c r="H17" s="4">
        <v>406255.07299999997</v>
      </c>
      <c r="I17" s="5">
        <f>15006 / 86400</f>
        <v>0.17368055555555556</v>
      </c>
      <c r="J17" t="s">
        <v>42</v>
      </c>
      <c r="K17" t="s">
        <v>43</v>
      </c>
      <c r="L17" s="5">
        <f>46889 / 86400</f>
        <v>0.54269675925925931</v>
      </c>
      <c r="M17" s="5">
        <f>39500 / 86400</f>
        <v>0.45717592592592593</v>
      </c>
    </row>
    <row r="18" spans="1:13" x14ac:dyDescent="0.25">
      <c r="A18" t="s">
        <v>435</v>
      </c>
      <c r="B18" s="3">
        <v>45689.28570601852</v>
      </c>
      <c r="C18" t="s">
        <v>44</v>
      </c>
      <c r="D18" s="3">
        <v>45689.933391203704</v>
      </c>
      <c r="E18" t="s">
        <v>45</v>
      </c>
      <c r="F18" s="4">
        <v>199.089</v>
      </c>
      <c r="G18" s="4">
        <v>435799.81699999998</v>
      </c>
      <c r="H18" s="4">
        <v>435998.90600000002</v>
      </c>
      <c r="I18" s="5">
        <f>16972 / 86400</f>
        <v>0.19643518518518518</v>
      </c>
      <c r="J18" t="s">
        <v>40</v>
      </c>
      <c r="K18" t="s">
        <v>43</v>
      </c>
      <c r="L18" s="5">
        <f>46430 / 86400</f>
        <v>0.53738425925925926</v>
      </c>
      <c r="M18" s="5">
        <f>39967 / 86400</f>
        <v>0.46258101851851852</v>
      </c>
    </row>
    <row r="19" spans="1:13" x14ac:dyDescent="0.25">
      <c r="A19" t="s">
        <v>436</v>
      </c>
      <c r="B19" s="3">
        <v>45689.132488425923</v>
      </c>
      <c r="C19" t="s">
        <v>46</v>
      </c>
      <c r="D19" s="3">
        <v>45689.954884259263</v>
      </c>
      <c r="E19" t="s">
        <v>47</v>
      </c>
      <c r="F19" s="4">
        <v>304.94499999999999</v>
      </c>
      <c r="G19" s="4">
        <v>51479.686999999998</v>
      </c>
      <c r="H19" s="4">
        <v>51784.631999999998</v>
      </c>
      <c r="I19" s="5">
        <f>17812 / 86400</f>
        <v>0.2061574074074074</v>
      </c>
      <c r="J19" t="s">
        <v>48</v>
      </c>
      <c r="K19" t="s">
        <v>49</v>
      </c>
      <c r="L19" s="5">
        <f>59059 / 86400</f>
        <v>0.68355324074074075</v>
      </c>
      <c r="M19" s="5">
        <f>27330 / 86400</f>
        <v>0.31631944444444443</v>
      </c>
    </row>
    <row r="20" spans="1:13" x14ac:dyDescent="0.25">
      <c r="A20" t="s">
        <v>437</v>
      </c>
      <c r="B20" s="3">
        <v>45689.206643518519</v>
      </c>
      <c r="C20" t="s">
        <v>50</v>
      </c>
      <c r="D20" s="3">
        <v>45689.893275462964</v>
      </c>
      <c r="E20" t="s">
        <v>50</v>
      </c>
      <c r="F20" s="4">
        <v>203.68</v>
      </c>
      <c r="G20" s="4">
        <v>213598.43700000001</v>
      </c>
      <c r="H20" s="4">
        <v>213802.117</v>
      </c>
      <c r="I20" s="5">
        <f>23166 / 86400</f>
        <v>0.268125</v>
      </c>
      <c r="J20" t="s">
        <v>29</v>
      </c>
      <c r="K20" t="s">
        <v>51</v>
      </c>
      <c r="L20" s="5">
        <f>53861 / 86400</f>
        <v>0.62339120370370371</v>
      </c>
      <c r="M20" s="5">
        <f>32535 / 86400</f>
        <v>0.37656250000000002</v>
      </c>
    </row>
    <row r="21" spans="1:13" x14ac:dyDescent="0.25">
      <c r="A21" t="s">
        <v>438</v>
      </c>
      <c r="B21" s="3">
        <v>45689.263518518521</v>
      </c>
      <c r="C21" t="s">
        <v>52</v>
      </c>
      <c r="D21" s="3">
        <v>45689.840335648143</v>
      </c>
      <c r="E21" t="s">
        <v>52</v>
      </c>
      <c r="F21" s="4">
        <v>182.773</v>
      </c>
      <c r="G21" s="4">
        <v>522995.23499999999</v>
      </c>
      <c r="H21" s="4">
        <v>523178.00799999997</v>
      </c>
      <c r="I21" s="5">
        <f>16692 / 86400</f>
        <v>0.19319444444444445</v>
      </c>
      <c r="J21" t="s">
        <v>53</v>
      </c>
      <c r="K21" t="s">
        <v>26</v>
      </c>
      <c r="L21" s="5">
        <f>42059 / 86400</f>
        <v>0.48679398148148151</v>
      </c>
      <c r="M21" s="5">
        <f>44333 / 86400</f>
        <v>0.5131134259259259</v>
      </c>
    </row>
    <row r="22" spans="1:13" x14ac:dyDescent="0.25">
      <c r="A22" t="s">
        <v>439</v>
      </c>
      <c r="B22" s="3">
        <v>45689.25481481482</v>
      </c>
      <c r="C22" t="s">
        <v>54</v>
      </c>
      <c r="D22" s="3">
        <v>45689.848946759259</v>
      </c>
      <c r="E22" t="s">
        <v>54</v>
      </c>
      <c r="F22" s="4">
        <v>203.83500000000001</v>
      </c>
      <c r="G22" s="4">
        <v>343138.73</v>
      </c>
      <c r="H22" s="4">
        <v>343342.565</v>
      </c>
      <c r="I22" s="5">
        <f>16316 / 86400</f>
        <v>0.18884259259259259</v>
      </c>
      <c r="J22" t="s">
        <v>19</v>
      </c>
      <c r="K22" t="s">
        <v>26</v>
      </c>
      <c r="L22" s="5">
        <f>44647 / 86400</f>
        <v>0.51674768518518521</v>
      </c>
      <c r="M22" s="5">
        <f>41747 / 86400</f>
        <v>0.48318287037037039</v>
      </c>
    </row>
    <row r="23" spans="1:13" x14ac:dyDescent="0.25">
      <c r="A23" t="s">
        <v>440</v>
      </c>
      <c r="B23" s="3">
        <v>45689.877199074079</v>
      </c>
      <c r="C23" t="s">
        <v>55</v>
      </c>
      <c r="D23" s="3">
        <v>45689.880150462966</v>
      </c>
      <c r="E23" t="s">
        <v>55</v>
      </c>
      <c r="F23" s="4">
        <v>3.1E-2</v>
      </c>
      <c r="G23" s="4">
        <v>424414.34100000001</v>
      </c>
      <c r="H23" s="4">
        <v>424414.37199999997</v>
      </c>
      <c r="I23" s="5">
        <f>219 / 86400</f>
        <v>2.5347222222222221E-3</v>
      </c>
      <c r="J23" t="s">
        <v>56</v>
      </c>
      <c r="K23" t="s">
        <v>37</v>
      </c>
      <c r="L23" s="5">
        <f>254 / 86400</f>
        <v>2.9398148148148148E-3</v>
      </c>
      <c r="M23" s="5">
        <f>86144 / 86400</f>
        <v>0.99703703703703705</v>
      </c>
    </row>
    <row r="24" spans="1:13" x14ac:dyDescent="0.25">
      <c r="A24" t="s">
        <v>441</v>
      </c>
      <c r="B24" s="3">
        <v>45689.247337962966</v>
      </c>
      <c r="C24" t="s">
        <v>24</v>
      </c>
      <c r="D24" s="3">
        <v>45689.804965277777</v>
      </c>
      <c r="E24" t="s">
        <v>24</v>
      </c>
      <c r="F24" s="4">
        <v>182.46600000000001</v>
      </c>
      <c r="G24" s="4">
        <v>10846.491</v>
      </c>
      <c r="H24" s="4">
        <v>11028.957</v>
      </c>
      <c r="I24" s="5">
        <f>17285 / 86400</f>
        <v>0.20005787037037037</v>
      </c>
      <c r="J24" t="s">
        <v>57</v>
      </c>
      <c r="K24" t="s">
        <v>43</v>
      </c>
      <c r="L24" s="5">
        <f>43461 / 86400</f>
        <v>0.50302083333333336</v>
      </c>
      <c r="M24" s="5">
        <f>42934 / 86400</f>
        <v>0.49692129629629628</v>
      </c>
    </row>
    <row r="25" spans="1:13" x14ac:dyDescent="0.25">
      <c r="A25" t="s">
        <v>442</v>
      </c>
      <c r="B25" s="3">
        <v>45689.24690972222</v>
      </c>
      <c r="C25" t="s">
        <v>24</v>
      </c>
      <c r="D25" s="3">
        <v>45689.968472222223</v>
      </c>
      <c r="E25" t="s">
        <v>24</v>
      </c>
      <c r="F25" s="4">
        <v>171.36699999999999</v>
      </c>
      <c r="G25" s="4">
        <v>3849.2049999999999</v>
      </c>
      <c r="H25" s="4">
        <v>4020.5720000000001</v>
      </c>
      <c r="I25" s="5">
        <f>23791 / 86400</f>
        <v>0.27535879629629628</v>
      </c>
      <c r="J25" t="s">
        <v>25</v>
      </c>
      <c r="K25" t="s">
        <v>31</v>
      </c>
      <c r="L25" s="5">
        <f>49078 / 86400</f>
        <v>0.56803240740740746</v>
      </c>
      <c r="M25" s="5">
        <f>37317 / 86400</f>
        <v>0.43190972222222224</v>
      </c>
    </row>
    <row r="26" spans="1:13" x14ac:dyDescent="0.25">
      <c r="A26" t="s">
        <v>443</v>
      </c>
      <c r="B26" s="3">
        <v>45689.213368055556</v>
      </c>
      <c r="C26" t="s">
        <v>36</v>
      </c>
      <c r="D26" s="3">
        <v>45689.785578703704</v>
      </c>
      <c r="E26" t="s">
        <v>36</v>
      </c>
      <c r="F26" s="4">
        <v>202.613</v>
      </c>
      <c r="G26" s="4">
        <v>385056.99099999998</v>
      </c>
      <c r="H26" s="4">
        <v>385259.60399999999</v>
      </c>
      <c r="I26" s="5">
        <f>14598 / 86400</f>
        <v>0.16895833333333332</v>
      </c>
      <c r="J26" t="s">
        <v>58</v>
      </c>
      <c r="K26" t="s">
        <v>26</v>
      </c>
      <c r="L26" s="5">
        <f>44715 / 86400</f>
        <v>0.51753472222222219</v>
      </c>
      <c r="M26" s="5">
        <f>41682 / 86400</f>
        <v>0.48243055555555553</v>
      </c>
    </row>
    <row r="27" spans="1:13" x14ac:dyDescent="0.25">
      <c r="A27" t="s">
        <v>444</v>
      </c>
      <c r="B27" s="3">
        <v>45689.29105324074</v>
      </c>
      <c r="C27" t="s">
        <v>59</v>
      </c>
      <c r="D27" s="3">
        <v>45689.97792824074</v>
      </c>
      <c r="E27" t="s">
        <v>59</v>
      </c>
      <c r="F27" s="4">
        <v>233.46199999999999</v>
      </c>
      <c r="G27" s="4">
        <v>390593.63699999999</v>
      </c>
      <c r="H27" s="4">
        <v>390827.09899999999</v>
      </c>
      <c r="I27" s="5">
        <f>17746 / 86400</f>
        <v>0.20539351851851853</v>
      </c>
      <c r="J27" t="s">
        <v>60</v>
      </c>
      <c r="K27" t="s">
        <v>30</v>
      </c>
      <c r="L27" s="5">
        <f>49009 / 86400</f>
        <v>0.56723379629629633</v>
      </c>
      <c r="M27" s="5">
        <f>37385 / 86400</f>
        <v>0.43269675925925927</v>
      </c>
    </row>
    <row r="28" spans="1:13" x14ac:dyDescent="0.25">
      <c r="A28" t="s">
        <v>445</v>
      </c>
      <c r="B28" s="3">
        <v>45689.146886574075</v>
      </c>
      <c r="C28" t="s">
        <v>61</v>
      </c>
      <c r="D28" s="3">
        <v>45689.773321759261</v>
      </c>
      <c r="E28" t="s">
        <v>61</v>
      </c>
      <c r="F28" s="4">
        <v>221.65899999999999</v>
      </c>
      <c r="G28" s="4">
        <v>520735.886</v>
      </c>
      <c r="H28" s="4">
        <v>520957.54499999998</v>
      </c>
      <c r="I28" s="5">
        <f>11989 / 86400</f>
        <v>0.13876157407407408</v>
      </c>
      <c r="J28" t="s">
        <v>40</v>
      </c>
      <c r="K28" t="s">
        <v>62</v>
      </c>
      <c r="L28" s="5">
        <f>40874 / 86400</f>
        <v>0.4730787037037037</v>
      </c>
      <c r="M28" s="5">
        <f>45523 / 86400</f>
        <v>0.52688657407407402</v>
      </c>
    </row>
    <row r="29" spans="1:13" x14ac:dyDescent="0.25">
      <c r="A29" t="s">
        <v>446</v>
      </c>
      <c r="B29" s="3">
        <v>45689.39565972222</v>
      </c>
      <c r="C29" t="s">
        <v>63</v>
      </c>
      <c r="D29" s="3">
        <v>45689.99998842593</v>
      </c>
      <c r="E29" t="s">
        <v>64</v>
      </c>
      <c r="F29" s="4">
        <v>203.46300000000002</v>
      </c>
      <c r="G29" s="4">
        <v>409585.533</v>
      </c>
      <c r="H29" s="4">
        <v>409788.99599999998</v>
      </c>
      <c r="I29" s="5">
        <f>13017 / 86400</f>
        <v>0.15065972222222221</v>
      </c>
      <c r="J29" t="s">
        <v>65</v>
      </c>
      <c r="K29" t="s">
        <v>30</v>
      </c>
      <c r="L29" s="5">
        <f>44204 / 86400</f>
        <v>0.51162037037037034</v>
      </c>
      <c r="M29" s="5">
        <f>42194 / 86400</f>
        <v>0.48835648148148147</v>
      </c>
    </row>
    <row r="30" spans="1:13" x14ac:dyDescent="0.25">
      <c r="A30" t="s">
        <v>447</v>
      </c>
      <c r="B30" s="3">
        <v>45689.255000000005</v>
      </c>
      <c r="C30" t="s">
        <v>66</v>
      </c>
      <c r="D30" s="3">
        <v>45689.843819444446</v>
      </c>
      <c r="E30" t="s">
        <v>66</v>
      </c>
      <c r="F30" s="4">
        <v>197.60300000000001</v>
      </c>
      <c r="G30" s="4">
        <v>400791.89600000001</v>
      </c>
      <c r="H30" s="4">
        <v>400989.49900000001</v>
      </c>
      <c r="I30" s="5">
        <f>16136 / 86400</f>
        <v>0.18675925925925926</v>
      </c>
      <c r="J30" t="s">
        <v>67</v>
      </c>
      <c r="K30" t="s">
        <v>26</v>
      </c>
      <c r="L30" s="5">
        <f>44874 / 86400</f>
        <v>0.51937500000000003</v>
      </c>
      <c r="M30" s="5">
        <f>41521 / 86400</f>
        <v>0.48056712962962961</v>
      </c>
    </row>
    <row r="31" spans="1:13" x14ac:dyDescent="0.25">
      <c r="A31" t="s">
        <v>448</v>
      </c>
      <c r="B31" s="3">
        <v>45689.442141203705</v>
      </c>
      <c r="C31" t="s">
        <v>68</v>
      </c>
      <c r="D31" s="3">
        <v>45689.6090625</v>
      </c>
      <c r="E31" t="s">
        <v>69</v>
      </c>
      <c r="F31" s="4">
        <v>20.994</v>
      </c>
      <c r="G31" s="4">
        <v>406602.86499999999</v>
      </c>
      <c r="H31" s="4">
        <v>406623.859</v>
      </c>
      <c r="I31" s="5">
        <f>3157 / 86400</f>
        <v>3.6539351851851851E-2</v>
      </c>
      <c r="J31" t="s">
        <v>70</v>
      </c>
      <c r="K31" t="s">
        <v>71</v>
      </c>
      <c r="L31" s="5">
        <f>6712 / 86400</f>
        <v>7.768518518518519E-2</v>
      </c>
      <c r="M31" s="5">
        <f>79683 / 86400</f>
        <v>0.92225694444444439</v>
      </c>
    </row>
    <row r="32" spans="1:13" x14ac:dyDescent="0.25">
      <c r="A32" t="s">
        <v>449</v>
      </c>
      <c r="B32" s="3">
        <v>45689.318703703699</v>
      </c>
      <c r="C32" t="s">
        <v>72</v>
      </c>
      <c r="D32" s="3">
        <v>45689.700972222221</v>
      </c>
      <c r="E32" t="s">
        <v>72</v>
      </c>
      <c r="F32" s="4">
        <v>121.15299999999999</v>
      </c>
      <c r="G32" s="4">
        <v>346945.86200000002</v>
      </c>
      <c r="H32" s="4">
        <v>347067.01500000001</v>
      </c>
      <c r="I32" s="5">
        <f>10899 / 86400</f>
        <v>0.12614583333333335</v>
      </c>
      <c r="J32" t="s">
        <v>73</v>
      </c>
      <c r="K32" t="s">
        <v>51</v>
      </c>
      <c r="L32" s="5">
        <f>30283 / 86400</f>
        <v>0.3504976851851852</v>
      </c>
      <c r="M32" s="5">
        <f>56114 / 86400</f>
        <v>0.64946759259259257</v>
      </c>
    </row>
    <row r="33" spans="1:13" x14ac:dyDescent="0.25">
      <c r="A33" t="s">
        <v>450</v>
      </c>
      <c r="B33" s="3">
        <v>45689.115439814814</v>
      </c>
      <c r="C33" t="s">
        <v>74</v>
      </c>
      <c r="D33" s="3">
        <v>45689.622673611113</v>
      </c>
      <c r="E33" t="s">
        <v>74</v>
      </c>
      <c r="F33" s="4">
        <v>189.85499999999999</v>
      </c>
      <c r="G33" s="4">
        <v>38691.175000000003</v>
      </c>
      <c r="H33" s="4">
        <v>38881.03</v>
      </c>
      <c r="I33" s="5">
        <f>13063 / 86400</f>
        <v>0.15119212962962963</v>
      </c>
      <c r="J33" t="s">
        <v>25</v>
      </c>
      <c r="K33" t="s">
        <v>30</v>
      </c>
      <c r="L33" s="5">
        <f>39775 / 86400</f>
        <v>0.46035879629629628</v>
      </c>
      <c r="M33" s="5">
        <f>46618 / 86400</f>
        <v>0.53956018518518523</v>
      </c>
    </row>
    <row r="34" spans="1:13" x14ac:dyDescent="0.25">
      <c r="A34" t="s">
        <v>451</v>
      </c>
      <c r="B34" s="3">
        <v>45689</v>
      </c>
      <c r="C34" t="s">
        <v>75</v>
      </c>
      <c r="D34" s="3">
        <v>45689.99998842593</v>
      </c>
      <c r="E34" t="s">
        <v>76</v>
      </c>
      <c r="F34" s="4">
        <v>293.66000000000003</v>
      </c>
      <c r="G34" s="4">
        <v>43017.822999999997</v>
      </c>
      <c r="H34" s="4">
        <v>43311.483</v>
      </c>
      <c r="I34" s="5">
        <f>14278 / 86400</f>
        <v>0.16525462962962964</v>
      </c>
      <c r="J34" t="s">
        <v>77</v>
      </c>
      <c r="K34" t="s">
        <v>20</v>
      </c>
      <c r="L34" s="5">
        <f>49373 / 86400</f>
        <v>0.57144675925925925</v>
      </c>
      <c r="M34" s="5">
        <f>37020 / 86400</f>
        <v>0.4284722222222222</v>
      </c>
    </row>
    <row r="35" spans="1:13" x14ac:dyDescent="0.25">
      <c r="A35" t="s">
        <v>452</v>
      </c>
      <c r="B35" s="3">
        <v>45689.289456018523</v>
      </c>
      <c r="C35" t="s">
        <v>78</v>
      </c>
      <c r="D35" s="3">
        <v>45689.943101851852</v>
      </c>
      <c r="E35" t="s">
        <v>79</v>
      </c>
      <c r="F35" s="4">
        <v>1.0310000001192092</v>
      </c>
      <c r="G35" s="4">
        <v>524704.10199999996</v>
      </c>
      <c r="H35" s="4">
        <v>524705.13300000003</v>
      </c>
      <c r="I35" s="5">
        <f>441 / 86400</f>
        <v>5.1041666666666666E-3</v>
      </c>
      <c r="J35" t="s">
        <v>30</v>
      </c>
      <c r="K35" t="s">
        <v>80</v>
      </c>
      <c r="L35" s="5">
        <f>1011 / 86400</f>
        <v>1.170138888888889E-2</v>
      </c>
      <c r="M35" s="5">
        <f>85388 / 86400</f>
        <v>0.98828703703703702</v>
      </c>
    </row>
    <row r="36" spans="1:13" x14ac:dyDescent="0.25">
      <c r="A36" t="s">
        <v>453</v>
      </c>
      <c r="B36" s="3">
        <v>45689.203900462962</v>
      </c>
      <c r="C36" t="s">
        <v>36</v>
      </c>
      <c r="D36" s="3">
        <v>45689.858900462961</v>
      </c>
      <c r="E36" t="s">
        <v>24</v>
      </c>
      <c r="F36" s="4">
        <v>228.29400000000001</v>
      </c>
      <c r="G36" s="4">
        <v>565906.54099999997</v>
      </c>
      <c r="H36" s="4">
        <v>566134.83499999996</v>
      </c>
      <c r="I36" s="5">
        <f>18974 / 86400</f>
        <v>0.21960648148148149</v>
      </c>
      <c r="J36" t="s">
        <v>32</v>
      </c>
      <c r="K36" t="s">
        <v>26</v>
      </c>
      <c r="L36" s="5">
        <f>50258 / 86400</f>
        <v>0.58168981481481485</v>
      </c>
      <c r="M36" s="5">
        <f>36135 / 86400</f>
        <v>0.41822916666666665</v>
      </c>
    </row>
    <row r="37" spans="1:13" x14ac:dyDescent="0.25">
      <c r="A37" t="s">
        <v>454</v>
      </c>
      <c r="B37" s="3">
        <v>45689.244432870371</v>
      </c>
      <c r="C37" t="s">
        <v>81</v>
      </c>
      <c r="D37" s="3">
        <v>45689.903414351851</v>
      </c>
      <c r="E37" t="s">
        <v>81</v>
      </c>
      <c r="F37" s="4">
        <v>189.619</v>
      </c>
      <c r="G37" s="4">
        <v>433553.13699999999</v>
      </c>
      <c r="H37" s="4">
        <v>433742.75599999999</v>
      </c>
      <c r="I37" s="5">
        <f>12136 / 86400</f>
        <v>0.14046296296296296</v>
      </c>
      <c r="J37" t="s">
        <v>77</v>
      </c>
      <c r="K37" t="s">
        <v>30</v>
      </c>
      <c r="L37" s="5">
        <f>40610 / 86400</f>
        <v>0.47002314814814816</v>
      </c>
      <c r="M37" s="5">
        <f>45783 / 86400</f>
        <v>0.52989583333333334</v>
      </c>
    </row>
    <row r="38" spans="1:13" x14ac:dyDescent="0.25">
      <c r="A38" t="s">
        <v>455</v>
      </c>
      <c r="B38" s="3">
        <v>45689.241423611107</v>
      </c>
      <c r="C38" t="s">
        <v>50</v>
      </c>
      <c r="D38" s="3">
        <v>45689.99998842593</v>
      </c>
      <c r="E38" t="s">
        <v>82</v>
      </c>
      <c r="F38" s="4">
        <v>266.33199999999999</v>
      </c>
      <c r="G38" s="4">
        <v>512825.68400000001</v>
      </c>
      <c r="H38" s="4">
        <v>513092.63199999998</v>
      </c>
      <c r="I38" s="5">
        <f>22315 / 86400</f>
        <v>0.25827546296296294</v>
      </c>
      <c r="J38" t="s">
        <v>83</v>
      </c>
      <c r="K38" t="s">
        <v>26</v>
      </c>
      <c r="L38" s="5">
        <f>58880 / 86400</f>
        <v>0.68148148148148147</v>
      </c>
      <c r="M38" s="5">
        <f>27519 / 86400</f>
        <v>0.31850694444444444</v>
      </c>
    </row>
    <row r="39" spans="1:13" x14ac:dyDescent="0.25">
      <c r="A39" t="s">
        <v>456</v>
      </c>
      <c r="B39" s="3">
        <v>45689</v>
      </c>
      <c r="C39" t="s">
        <v>84</v>
      </c>
      <c r="D39" s="3">
        <v>45689.958333333328</v>
      </c>
      <c r="E39" t="s">
        <v>84</v>
      </c>
      <c r="F39" s="4">
        <v>202.45400000000001</v>
      </c>
      <c r="G39" s="4">
        <v>503361.603</v>
      </c>
      <c r="H39" s="4">
        <v>503564.05699999997</v>
      </c>
      <c r="I39" s="5">
        <f>51930 / 86400</f>
        <v>0.6010416666666667</v>
      </c>
      <c r="J39" t="s">
        <v>57</v>
      </c>
      <c r="K39" t="s">
        <v>85</v>
      </c>
      <c r="L39" s="5">
        <f>82800 / 86400</f>
        <v>0.95833333333333337</v>
      </c>
      <c r="M39" s="5">
        <f>0 / 86400</f>
        <v>0</v>
      </c>
    </row>
    <row r="40" spans="1:13" x14ac:dyDescent="0.25">
      <c r="A40" t="s">
        <v>457</v>
      </c>
      <c r="B40" s="3">
        <v>45689.208506944444</v>
      </c>
      <c r="C40" t="s">
        <v>86</v>
      </c>
      <c r="D40" s="3">
        <v>45689.957615740743</v>
      </c>
      <c r="E40" t="s">
        <v>87</v>
      </c>
      <c r="F40" s="4">
        <v>248.03</v>
      </c>
      <c r="G40" s="4">
        <v>349950.848</v>
      </c>
      <c r="H40" s="4">
        <v>350198.87800000003</v>
      </c>
      <c r="I40" s="5">
        <f>16260 / 86400</f>
        <v>0.18819444444444444</v>
      </c>
      <c r="J40" t="s">
        <v>88</v>
      </c>
      <c r="K40" t="s">
        <v>23</v>
      </c>
      <c r="L40" s="5">
        <f>50613 / 86400</f>
        <v>0.58579861111111109</v>
      </c>
      <c r="M40" s="5">
        <f>35786 / 86400</f>
        <v>0.41418981481481482</v>
      </c>
    </row>
    <row r="41" spans="1:13" x14ac:dyDescent="0.25">
      <c r="A41" t="s">
        <v>458</v>
      </c>
      <c r="B41" s="3">
        <v>45689.225266203706</v>
      </c>
      <c r="C41" t="s">
        <v>89</v>
      </c>
      <c r="D41" s="3">
        <v>45689.757314814815</v>
      </c>
      <c r="E41" t="s">
        <v>90</v>
      </c>
      <c r="F41" s="4">
        <v>198.98899999999998</v>
      </c>
      <c r="G41" s="4">
        <v>409251.962</v>
      </c>
      <c r="H41" s="4">
        <v>409450.951</v>
      </c>
      <c r="I41" s="5">
        <f>13896 / 86400</f>
        <v>0.16083333333333333</v>
      </c>
      <c r="J41" t="s">
        <v>22</v>
      </c>
      <c r="K41" t="s">
        <v>30</v>
      </c>
      <c r="L41" s="5">
        <f>42061 / 86400</f>
        <v>0.48681712962962964</v>
      </c>
      <c r="M41" s="5">
        <f>44337 / 86400</f>
        <v>0.51315972222222217</v>
      </c>
    </row>
    <row r="42" spans="1:13" x14ac:dyDescent="0.25">
      <c r="A42" t="s">
        <v>459</v>
      </c>
      <c r="B42" s="3">
        <v>45689.744062500002</v>
      </c>
      <c r="C42" t="s">
        <v>24</v>
      </c>
      <c r="D42" s="3">
        <v>45689.905590277776</v>
      </c>
      <c r="E42" t="s">
        <v>24</v>
      </c>
      <c r="F42" s="4">
        <v>2.75</v>
      </c>
      <c r="G42" s="4">
        <v>440090.4</v>
      </c>
      <c r="H42" s="4">
        <v>440093.15</v>
      </c>
      <c r="I42" s="5">
        <f>956 / 86400</f>
        <v>1.1064814814814816E-2</v>
      </c>
      <c r="J42" t="s">
        <v>91</v>
      </c>
      <c r="K42" t="s">
        <v>92</v>
      </c>
      <c r="L42" s="5">
        <f>1643 / 86400</f>
        <v>1.9016203703703705E-2</v>
      </c>
      <c r="M42" s="5">
        <f>84753 / 86400</f>
        <v>0.98093750000000002</v>
      </c>
    </row>
    <row r="43" spans="1:13" x14ac:dyDescent="0.25">
      <c r="A43" t="s">
        <v>460</v>
      </c>
      <c r="B43" s="3">
        <v>45689.306909722218</v>
      </c>
      <c r="C43" t="s">
        <v>84</v>
      </c>
      <c r="D43" s="3">
        <v>45689.940625000003</v>
      </c>
      <c r="E43" t="s">
        <v>84</v>
      </c>
      <c r="F43" s="4">
        <v>219.31700000000001</v>
      </c>
      <c r="G43" s="4">
        <v>411350.99</v>
      </c>
      <c r="H43" s="4">
        <v>411570.30699999997</v>
      </c>
      <c r="I43" s="5">
        <f>15786 / 86400</f>
        <v>0.18270833333333333</v>
      </c>
      <c r="J43" t="s">
        <v>67</v>
      </c>
      <c r="K43" t="s">
        <v>30</v>
      </c>
      <c r="L43" s="5">
        <f>46037 / 86400</f>
        <v>0.5328356481481481</v>
      </c>
      <c r="M43" s="5">
        <f>40356 / 86400</f>
        <v>0.46708333333333335</v>
      </c>
    </row>
    <row r="44" spans="1:13" x14ac:dyDescent="0.25">
      <c r="A44" t="s">
        <v>461</v>
      </c>
      <c r="B44" s="3">
        <v>45689</v>
      </c>
      <c r="C44" t="s">
        <v>93</v>
      </c>
      <c r="D44" s="3">
        <v>45689.99998842593</v>
      </c>
      <c r="E44" t="s">
        <v>94</v>
      </c>
      <c r="F44" s="4">
        <v>300.94299999999998</v>
      </c>
      <c r="G44" s="4">
        <v>325182.96500000003</v>
      </c>
      <c r="H44" s="4">
        <v>325483.908</v>
      </c>
      <c r="I44" s="5">
        <f>20277 / 86400</f>
        <v>0.23468749999999999</v>
      </c>
      <c r="J44" t="s">
        <v>29</v>
      </c>
      <c r="K44" t="s">
        <v>30</v>
      </c>
      <c r="L44" s="5">
        <f>64069 / 86400</f>
        <v>0.74153935185185182</v>
      </c>
      <c r="M44" s="5">
        <f>22326 / 86400</f>
        <v>0.25840277777777776</v>
      </c>
    </row>
    <row r="45" spans="1:13" x14ac:dyDescent="0.25">
      <c r="A45" t="s">
        <v>462</v>
      </c>
      <c r="B45" s="3">
        <v>45689.675462962958</v>
      </c>
      <c r="C45" t="s">
        <v>24</v>
      </c>
      <c r="D45" s="3">
        <v>45689.947222222225</v>
      </c>
      <c r="E45" t="s">
        <v>24</v>
      </c>
      <c r="F45" s="4">
        <v>99.775999999999996</v>
      </c>
      <c r="G45" s="4">
        <v>358755.864</v>
      </c>
      <c r="H45" s="4">
        <v>358855.64</v>
      </c>
      <c r="I45" s="5">
        <f>8130 / 86400</f>
        <v>9.4097222222222221E-2</v>
      </c>
      <c r="J45" t="s">
        <v>95</v>
      </c>
      <c r="K45" t="s">
        <v>26</v>
      </c>
      <c r="L45" s="5">
        <f>22254 / 86400</f>
        <v>0.25756944444444446</v>
      </c>
      <c r="M45" s="5">
        <f>64144 / 86400</f>
        <v>0.7424074074074074</v>
      </c>
    </row>
    <row r="46" spans="1:13" x14ac:dyDescent="0.25">
      <c r="A46" t="s">
        <v>463</v>
      </c>
      <c r="B46" s="3">
        <v>45689.279189814813</v>
      </c>
      <c r="C46" t="s">
        <v>96</v>
      </c>
      <c r="D46" s="3">
        <v>45689.935787037037</v>
      </c>
      <c r="E46" t="s">
        <v>96</v>
      </c>
      <c r="F46" s="4">
        <v>201.32399999999998</v>
      </c>
      <c r="G46" s="4">
        <v>80176.260999999999</v>
      </c>
      <c r="H46" s="4">
        <v>80377.585999999996</v>
      </c>
      <c r="I46" s="5">
        <f>13556 / 86400</f>
        <v>0.15689814814814815</v>
      </c>
      <c r="J46" t="s">
        <v>97</v>
      </c>
      <c r="K46" t="s">
        <v>30</v>
      </c>
      <c r="L46" s="5">
        <f>42188 / 86400</f>
        <v>0.48828703703703702</v>
      </c>
      <c r="M46" s="5">
        <f>44208 / 86400</f>
        <v>0.51166666666666671</v>
      </c>
    </row>
    <row r="47" spans="1:13" x14ac:dyDescent="0.25">
      <c r="A47" t="s">
        <v>464</v>
      </c>
      <c r="B47" s="3">
        <v>45689.263657407406</v>
      </c>
      <c r="C47" t="s">
        <v>98</v>
      </c>
      <c r="D47" s="3">
        <v>45689.794108796297</v>
      </c>
      <c r="E47" t="s">
        <v>24</v>
      </c>
      <c r="F47" s="4">
        <v>0.35099999999999998</v>
      </c>
      <c r="G47" s="4">
        <v>468170.20199999999</v>
      </c>
      <c r="H47" s="4">
        <v>468170.55300000001</v>
      </c>
      <c r="I47" s="5">
        <f>699 / 86400</f>
        <v>8.0902777777777778E-3</v>
      </c>
      <c r="J47" t="s">
        <v>99</v>
      </c>
      <c r="K47" t="s">
        <v>100</v>
      </c>
      <c r="L47" s="5">
        <f>943 / 86400</f>
        <v>1.0914351851851852E-2</v>
      </c>
      <c r="M47" s="5">
        <f>85455 / 86400</f>
        <v>0.98906249999999996</v>
      </c>
    </row>
    <row r="48" spans="1:13" x14ac:dyDescent="0.25">
      <c r="A48" t="s">
        <v>434</v>
      </c>
      <c r="B48" s="3">
        <v>45689.278194444443</v>
      </c>
      <c r="C48" t="s">
        <v>96</v>
      </c>
      <c r="D48" s="3">
        <v>45689.973217592589</v>
      </c>
      <c r="E48" t="s">
        <v>101</v>
      </c>
      <c r="F48" s="4">
        <v>197.779</v>
      </c>
      <c r="G48" s="4">
        <v>426750.75099999999</v>
      </c>
      <c r="H48" s="4">
        <v>426948.53</v>
      </c>
      <c r="I48" s="5">
        <f>19473 / 86400</f>
        <v>0.22538194444444445</v>
      </c>
      <c r="J48" t="s">
        <v>40</v>
      </c>
      <c r="K48" t="s">
        <v>51</v>
      </c>
      <c r="L48" s="5">
        <f>49913 / 86400</f>
        <v>0.57769675925925923</v>
      </c>
      <c r="M48" s="5">
        <f>36471 / 86400</f>
        <v>0.42211805555555554</v>
      </c>
    </row>
    <row r="49" spans="1:13" x14ac:dyDescent="0.25">
      <c r="A49" t="s">
        <v>465</v>
      </c>
      <c r="B49" s="3">
        <v>45689.251701388886</v>
      </c>
      <c r="C49" t="s">
        <v>24</v>
      </c>
      <c r="D49" s="3">
        <v>45689.978796296295</v>
      </c>
      <c r="E49" t="s">
        <v>24</v>
      </c>
      <c r="F49" s="4">
        <v>193.09800000000001</v>
      </c>
      <c r="G49" s="4">
        <v>573283.61100000003</v>
      </c>
      <c r="H49" s="4">
        <v>573476.70900000003</v>
      </c>
      <c r="I49" s="5">
        <f>23269 / 86400</f>
        <v>0.26931712962962961</v>
      </c>
      <c r="J49" t="s">
        <v>102</v>
      </c>
      <c r="K49" t="s">
        <v>31</v>
      </c>
      <c r="L49" s="5">
        <f>52984 / 86400</f>
        <v>0.61324074074074075</v>
      </c>
      <c r="M49" s="5">
        <f>33409 / 86400</f>
        <v>0.38667824074074075</v>
      </c>
    </row>
    <row r="50" spans="1:13" x14ac:dyDescent="0.25">
      <c r="A50" t="s">
        <v>466</v>
      </c>
      <c r="B50" s="3">
        <v>45689.246932870374</v>
      </c>
      <c r="C50" t="s">
        <v>103</v>
      </c>
      <c r="D50" s="3">
        <v>45689.992118055554</v>
      </c>
      <c r="E50" t="s">
        <v>103</v>
      </c>
      <c r="F50" s="4">
        <v>276.25199999999995</v>
      </c>
      <c r="G50" s="4">
        <v>415026.83899999998</v>
      </c>
      <c r="H50" s="4">
        <v>415303.09100000001</v>
      </c>
      <c r="I50" s="5">
        <f>19419 / 86400</f>
        <v>0.22475694444444444</v>
      </c>
      <c r="J50" t="s">
        <v>95</v>
      </c>
      <c r="K50" t="s">
        <v>30</v>
      </c>
      <c r="L50" s="5">
        <f>59154 / 86400</f>
        <v>0.68465277777777778</v>
      </c>
      <c r="M50" s="5">
        <f>27241 / 86400</f>
        <v>0.31528935185185186</v>
      </c>
    </row>
    <row r="51" spans="1:13" x14ac:dyDescent="0.25">
      <c r="A51" t="s">
        <v>467</v>
      </c>
      <c r="B51" s="3">
        <v>45689.015601851846</v>
      </c>
      <c r="C51" t="s">
        <v>104</v>
      </c>
      <c r="D51" s="3">
        <v>45689.962268518517</v>
      </c>
      <c r="E51" t="s">
        <v>105</v>
      </c>
      <c r="F51" s="4">
        <v>155.10300000000001</v>
      </c>
      <c r="G51" s="4">
        <v>398862.03600000002</v>
      </c>
      <c r="H51" s="4">
        <v>399017.13900000002</v>
      </c>
      <c r="I51" s="5">
        <f>13346 / 86400</f>
        <v>0.1544675925925926</v>
      </c>
      <c r="J51" t="s">
        <v>42</v>
      </c>
      <c r="K51" t="s">
        <v>51</v>
      </c>
      <c r="L51" s="5">
        <f>38598 / 86400</f>
        <v>0.44673611111111111</v>
      </c>
      <c r="M51" s="5">
        <f>47795 / 86400</f>
        <v>0.55318287037037039</v>
      </c>
    </row>
    <row r="52" spans="1:13" x14ac:dyDescent="0.25">
      <c r="A52" t="s">
        <v>468</v>
      </c>
      <c r="B52" s="3">
        <v>45689.228668981479</v>
      </c>
      <c r="C52" t="s">
        <v>101</v>
      </c>
      <c r="D52" s="3">
        <v>45689.853217592594</v>
      </c>
      <c r="E52" t="s">
        <v>24</v>
      </c>
      <c r="F52" s="4">
        <v>219.959</v>
      </c>
      <c r="G52" s="4">
        <v>381079.15299999999</v>
      </c>
      <c r="H52" s="4">
        <v>381299.11200000002</v>
      </c>
      <c r="I52" s="5">
        <f>16214 / 86400</f>
        <v>0.18766203703703704</v>
      </c>
      <c r="J52" t="s">
        <v>34</v>
      </c>
      <c r="K52" t="s">
        <v>30</v>
      </c>
      <c r="L52" s="5">
        <f>47790 / 86400</f>
        <v>0.55312499999999998</v>
      </c>
      <c r="M52" s="5">
        <f>38602 / 86400</f>
        <v>0.44678240740740743</v>
      </c>
    </row>
    <row r="53" spans="1:13" x14ac:dyDescent="0.25">
      <c r="A53" t="s">
        <v>469</v>
      </c>
      <c r="B53" s="3">
        <v>45689.277384259258</v>
      </c>
      <c r="C53" t="s">
        <v>106</v>
      </c>
      <c r="D53" s="3">
        <v>45689.841261574074</v>
      </c>
      <c r="E53" t="s">
        <v>106</v>
      </c>
      <c r="F53" s="4">
        <v>6.0219999999999994</v>
      </c>
      <c r="G53" s="4">
        <v>544036.46100000001</v>
      </c>
      <c r="H53" s="4">
        <v>544042.48300000001</v>
      </c>
      <c r="I53" s="5">
        <f>1980 / 86400</f>
        <v>2.2916666666666665E-2</v>
      </c>
      <c r="J53" t="s">
        <v>107</v>
      </c>
      <c r="K53" t="s">
        <v>56</v>
      </c>
      <c r="L53" s="5">
        <f>4020 / 86400</f>
        <v>4.6527777777777779E-2</v>
      </c>
      <c r="M53" s="5">
        <f>82372 / 86400</f>
        <v>0.95337962962962963</v>
      </c>
    </row>
    <row r="54" spans="1:13" x14ac:dyDescent="0.25">
      <c r="A54" t="s">
        <v>470</v>
      </c>
      <c r="B54" s="3">
        <v>45689</v>
      </c>
      <c r="C54" t="s">
        <v>108</v>
      </c>
      <c r="D54" s="3">
        <v>45689.99998842593</v>
      </c>
      <c r="E54" t="s">
        <v>109</v>
      </c>
      <c r="F54" s="4">
        <v>280.94</v>
      </c>
      <c r="G54" s="4">
        <v>100590.139</v>
      </c>
      <c r="H54" s="4">
        <v>100871.079</v>
      </c>
      <c r="I54" s="5">
        <f>21036 / 86400</f>
        <v>0.24347222222222223</v>
      </c>
      <c r="J54" t="s">
        <v>110</v>
      </c>
      <c r="K54" t="s">
        <v>23</v>
      </c>
      <c r="L54" s="5">
        <f>54957 / 86400</f>
        <v>0.63607638888888884</v>
      </c>
      <c r="M54" s="5">
        <f>31442 / 86400</f>
        <v>0.36391203703703706</v>
      </c>
    </row>
    <row r="55" spans="1:13" x14ac:dyDescent="0.25">
      <c r="A55" s="6" t="s">
        <v>111</v>
      </c>
      <c r="B55" s="6" t="s">
        <v>112</v>
      </c>
      <c r="C55" s="6" t="s">
        <v>112</v>
      </c>
      <c r="D55" s="6" t="s">
        <v>112</v>
      </c>
      <c r="E55" s="6" t="s">
        <v>112</v>
      </c>
      <c r="F55" s="7">
        <v>8577.5061490271091</v>
      </c>
      <c r="G55" s="6" t="s">
        <v>112</v>
      </c>
      <c r="H55" s="6" t="s">
        <v>112</v>
      </c>
      <c r="I55" s="8">
        <f>680703 / 86400</f>
        <v>7.8785069444444442</v>
      </c>
      <c r="J55" s="6" t="s">
        <v>112</v>
      </c>
      <c r="K55" s="6" t="s">
        <v>112</v>
      </c>
      <c r="L55" s="8">
        <f>1911014 / 86400</f>
        <v>22.118217592592593</v>
      </c>
      <c r="M55" s="8">
        <f>2145950 / 86400</f>
        <v>24.83738425925926</v>
      </c>
    </row>
    <row r="56" spans="1:13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pans="1:13" s="9" customFormat="1" x14ac:dyDescent="0.25">
      <c r="A57" s="14" t="s">
        <v>113</v>
      </c>
      <c r="B57" s="14"/>
      <c r="C57" s="14"/>
      <c r="D57" s="14"/>
      <c r="E57" s="14"/>
      <c r="F57" s="14"/>
      <c r="G57" s="14"/>
      <c r="H57" s="14"/>
      <c r="I57" s="14"/>
      <c r="J57" s="14"/>
    </row>
    <row r="58" spans="1:13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3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3" s="10" customFormat="1" ht="20.100000000000001" customHeight="1" x14ac:dyDescent="0.35">
      <c r="A60" s="15" t="s">
        <v>424</v>
      </c>
      <c r="B60" s="15"/>
      <c r="C60" s="15"/>
      <c r="D60" s="15"/>
      <c r="E60" s="15"/>
      <c r="F60" s="15"/>
      <c r="G60" s="15"/>
      <c r="H60" s="15"/>
      <c r="I60" s="15"/>
      <c r="J60" s="15"/>
    </row>
    <row r="61" spans="1:13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3" ht="30" x14ac:dyDescent="0.25">
      <c r="A62" s="2" t="s">
        <v>6</v>
      </c>
      <c r="B62" s="2" t="s">
        <v>7</v>
      </c>
      <c r="C62" s="2" t="s">
        <v>8</v>
      </c>
      <c r="D62" s="2" t="s">
        <v>9</v>
      </c>
      <c r="E62" s="2" t="s">
        <v>10</v>
      </c>
      <c r="F62" s="2" t="s">
        <v>11</v>
      </c>
      <c r="G62" s="2" t="s">
        <v>12</v>
      </c>
      <c r="H62" s="2" t="s">
        <v>13</v>
      </c>
      <c r="I62" s="2" t="s">
        <v>14</v>
      </c>
      <c r="J62" s="2" t="s">
        <v>15</v>
      </c>
      <c r="K62" s="2" t="s">
        <v>16</v>
      </c>
      <c r="L62" s="2" t="s">
        <v>17</v>
      </c>
    </row>
    <row r="63" spans="1:13" x14ac:dyDescent="0.25">
      <c r="A63" s="3">
        <v>45689.223506944443</v>
      </c>
      <c r="B63" t="s">
        <v>18</v>
      </c>
      <c r="C63" s="3">
        <v>45689.487870370373</v>
      </c>
      <c r="D63" t="s">
        <v>114</v>
      </c>
      <c r="E63" s="4">
        <v>142.75200000000001</v>
      </c>
      <c r="F63" s="4">
        <v>511737.424</v>
      </c>
      <c r="G63" s="4">
        <v>511880.17599999998</v>
      </c>
      <c r="H63" s="5">
        <f>5440 / 86400</f>
        <v>6.2962962962962957E-2</v>
      </c>
      <c r="I63" t="s">
        <v>77</v>
      </c>
      <c r="J63" t="s">
        <v>35</v>
      </c>
      <c r="K63" s="5">
        <f>22840 / 86400</f>
        <v>0.26435185185185184</v>
      </c>
      <c r="L63" s="5">
        <f>21609 / 86400</f>
        <v>0.25010416666666668</v>
      </c>
    </row>
    <row r="64" spans="1:13" x14ac:dyDescent="0.25">
      <c r="A64" s="3">
        <v>45689.514467592591</v>
      </c>
      <c r="B64" t="s">
        <v>114</v>
      </c>
      <c r="C64" s="3">
        <v>45689.562546296293</v>
      </c>
      <c r="D64" t="s">
        <v>115</v>
      </c>
      <c r="E64" s="4">
        <v>11.670999999999999</v>
      </c>
      <c r="F64" s="4">
        <v>511880.17599999998</v>
      </c>
      <c r="G64" s="4">
        <v>511891.84700000001</v>
      </c>
      <c r="H64" s="5">
        <f>1619 / 86400</f>
        <v>1.8738425925925926E-2</v>
      </c>
      <c r="I64" t="s">
        <v>88</v>
      </c>
      <c r="J64" t="s">
        <v>116</v>
      </c>
      <c r="K64" s="5">
        <f>4154 / 86400</f>
        <v>4.8078703703703707E-2</v>
      </c>
      <c r="L64" s="5">
        <f>678 / 86400</f>
        <v>7.8472222222222224E-3</v>
      </c>
    </row>
    <row r="65" spans="1:12" x14ac:dyDescent="0.25">
      <c r="A65" s="3">
        <v>45689.570393518516</v>
      </c>
      <c r="B65" t="s">
        <v>115</v>
      </c>
      <c r="C65" s="3">
        <v>45689.593668981484</v>
      </c>
      <c r="D65" t="s">
        <v>117</v>
      </c>
      <c r="E65" s="4">
        <v>12.455</v>
      </c>
      <c r="F65" s="4">
        <v>511891.84700000001</v>
      </c>
      <c r="G65" s="4">
        <v>511904.30200000003</v>
      </c>
      <c r="H65" s="5">
        <f>359 / 86400</f>
        <v>4.1550925925925922E-3</v>
      </c>
      <c r="I65" t="s">
        <v>118</v>
      </c>
      <c r="J65" t="s">
        <v>119</v>
      </c>
      <c r="K65" s="5">
        <f>2011 / 86400</f>
        <v>2.3275462962962963E-2</v>
      </c>
      <c r="L65" s="5">
        <f>1775 / 86400</f>
        <v>2.0543981481481483E-2</v>
      </c>
    </row>
    <row r="66" spans="1:12" x14ac:dyDescent="0.25">
      <c r="A66" s="3">
        <v>45689.614212962959</v>
      </c>
      <c r="B66" t="s">
        <v>117</v>
      </c>
      <c r="C66" s="3">
        <v>45689.61613425926</v>
      </c>
      <c r="D66" t="s">
        <v>69</v>
      </c>
      <c r="E66" s="4">
        <v>0.29599999999999999</v>
      </c>
      <c r="F66" s="4">
        <v>511904.30200000003</v>
      </c>
      <c r="G66" s="4">
        <v>511904.598</v>
      </c>
      <c r="H66" s="5">
        <f>60 / 86400</f>
        <v>6.9444444444444447E-4</v>
      </c>
      <c r="I66" t="s">
        <v>30</v>
      </c>
      <c r="J66" t="s">
        <v>92</v>
      </c>
      <c r="K66" s="5">
        <f>165 / 86400</f>
        <v>1.9097222222222222E-3</v>
      </c>
      <c r="L66" s="5">
        <f>625 / 86400</f>
        <v>7.2337962962962963E-3</v>
      </c>
    </row>
    <row r="67" spans="1:12" x14ac:dyDescent="0.25">
      <c r="A67" s="3">
        <v>45689.62336805556</v>
      </c>
      <c r="B67" t="s">
        <v>69</v>
      </c>
      <c r="C67" s="3">
        <v>45689.624432870369</v>
      </c>
      <c r="D67" t="s">
        <v>69</v>
      </c>
      <c r="E67" s="4">
        <v>8.3000000000000004E-2</v>
      </c>
      <c r="F67" s="4">
        <v>511904.598</v>
      </c>
      <c r="G67" s="4">
        <v>511904.68099999998</v>
      </c>
      <c r="H67" s="5">
        <f>40 / 86400</f>
        <v>4.6296296296296298E-4</v>
      </c>
      <c r="I67" t="s">
        <v>120</v>
      </c>
      <c r="J67" t="s">
        <v>121</v>
      </c>
      <c r="K67" s="5">
        <f>92 / 86400</f>
        <v>1.0648148148148149E-3</v>
      </c>
      <c r="L67" s="5">
        <f>1074 / 86400</f>
        <v>1.2430555555555556E-2</v>
      </c>
    </row>
    <row r="68" spans="1:12" x14ac:dyDescent="0.25">
      <c r="A68" s="3">
        <v>45689.636863425927</v>
      </c>
      <c r="B68" t="s">
        <v>69</v>
      </c>
      <c r="C68" s="3">
        <v>45689.716874999998</v>
      </c>
      <c r="D68" t="s">
        <v>122</v>
      </c>
      <c r="E68" s="4">
        <v>48.664999999999999</v>
      </c>
      <c r="F68" s="4">
        <v>511904.68099999998</v>
      </c>
      <c r="G68" s="4">
        <v>511953.34600000002</v>
      </c>
      <c r="H68" s="5">
        <f>1499 / 86400</f>
        <v>1.7349537037037038E-2</v>
      </c>
      <c r="I68" t="s">
        <v>19</v>
      </c>
      <c r="J68" t="s">
        <v>123</v>
      </c>
      <c r="K68" s="5">
        <f>6913 / 86400</f>
        <v>8.0011574074074068E-2</v>
      </c>
      <c r="L68" s="5">
        <f>966 / 86400</f>
        <v>1.1180555555555555E-2</v>
      </c>
    </row>
    <row r="69" spans="1:12" x14ac:dyDescent="0.25">
      <c r="A69" s="3">
        <v>45689.728055555555</v>
      </c>
      <c r="B69" t="s">
        <v>122</v>
      </c>
      <c r="C69" s="3">
        <v>45689.930648148147</v>
      </c>
      <c r="D69" t="s">
        <v>124</v>
      </c>
      <c r="E69" s="4">
        <v>97.456000000000003</v>
      </c>
      <c r="F69" s="4">
        <v>511953.34600000002</v>
      </c>
      <c r="G69" s="4">
        <v>512050.80200000003</v>
      </c>
      <c r="H69" s="5">
        <f>5340 / 86400</f>
        <v>6.1805555555555558E-2</v>
      </c>
      <c r="I69" t="s">
        <v>77</v>
      </c>
      <c r="J69" t="s">
        <v>62</v>
      </c>
      <c r="K69" s="5">
        <f>17504 / 86400</f>
        <v>0.2025925925925926</v>
      </c>
      <c r="L69" s="5">
        <f>479 / 86400</f>
        <v>5.5439814814814813E-3</v>
      </c>
    </row>
    <row r="70" spans="1:12" x14ac:dyDescent="0.25">
      <c r="A70" s="3">
        <v>45689.936192129629</v>
      </c>
      <c r="B70" t="s">
        <v>124</v>
      </c>
      <c r="C70" s="3">
        <v>45689.939872685187</v>
      </c>
      <c r="D70" t="s">
        <v>18</v>
      </c>
      <c r="E70" s="4">
        <v>0.57999999999999996</v>
      </c>
      <c r="F70" s="4">
        <v>512050.80200000003</v>
      </c>
      <c r="G70" s="4">
        <v>512051.38199999998</v>
      </c>
      <c r="H70" s="5">
        <f>118 / 86400</f>
        <v>1.3657407407407407E-3</v>
      </c>
      <c r="I70" t="s">
        <v>125</v>
      </c>
      <c r="J70" t="s">
        <v>126</v>
      </c>
      <c r="K70" s="5">
        <f>318 / 86400</f>
        <v>3.6805555555555554E-3</v>
      </c>
      <c r="L70" s="5">
        <f>5194 / 86400</f>
        <v>6.011574074074074E-2</v>
      </c>
    </row>
    <row r="71" spans="1:12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2" s="10" customFormat="1" ht="20.100000000000001" customHeight="1" x14ac:dyDescent="0.35">
      <c r="A73" s="15" t="s">
        <v>425</v>
      </c>
      <c r="B73" s="15"/>
      <c r="C73" s="15"/>
      <c r="D73" s="15"/>
      <c r="E73" s="15"/>
      <c r="F73" s="15"/>
      <c r="G73" s="15"/>
      <c r="H73" s="15"/>
      <c r="I73" s="15"/>
      <c r="J73" s="15"/>
    </row>
    <row r="74" spans="1:1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2" ht="30" x14ac:dyDescent="0.25">
      <c r="A75" s="2" t="s">
        <v>6</v>
      </c>
      <c r="B75" s="2" t="s">
        <v>7</v>
      </c>
      <c r="C75" s="2" t="s">
        <v>8</v>
      </c>
      <c r="D75" s="2" t="s">
        <v>9</v>
      </c>
      <c r="E75" s="2" t="s">
        <v>10</v>
      </c>
      <c r="F75" s="2" t="s">
        <v>11</v>
      </c>
      <c r="G75" s="2" t="s">
        <v>12</v>
      </c>
      <c r="H75" s="2" t="s">
        <v>13</v>
      </c>
      <c r="I75" s="2" t="s">
        <v>14</v>
      </c>
      <c r="J75" s="2" t="s">
        <v>15</v>
      </c>
      <c r="K75" s="2" t="s">
        <v>16</v>
      </c>
      <c r="L75" s="2" t="s">
        <v>17</v>
      </c>
    </row>
    <row r="76" spans="1:12" x14ac:dyDescent="0.25">
      <c r="A76" s="3">
        <v>45689.293773148151</v>
      </c>
      <c r="B76" t="s">
        <v>21</v>
      </c>
      <c r="C76" s="3">
        <v>45689.295717592591</v>
      </c>
      <c r="D76" t="s">
        <v>21</v>
      </c>
      <c r="E76" s="4">
        <v>0.06</v>
      </c>
      <c r="F76" s="4">
        <v>326344.55</v>
      </c>
      <c r="G76" s="4">
        <v>326344.61</v>
      </c>
      <c r="H76" s="5">
        <f>100 / 86400</f>
        <v>1.1574074074074073E-3</v>
      </c>
      <c r="I76" t="s">
        <v>121</v>
      </c>
      <c r="J76" t="s">
        <v>100</v>
      </c>
      <c r="K76" s="5">
        <f>168 / 86400</f>
        <v>1.9444444444444444E-3</v>
      </c>
      <c r="L76" s="5">
        <f>30340 / 86400</f>
        <v>0.35115740740740742</v>
      </c>
    </row>
    <row r="77" spans="1:12" x14ac:dyDescent="0.25">
      <c r="A77" s="3">
        <v>45689.353101851855</v>
      </c>
      <c r="B77" t="s">
        <v>127</v>
      </c>
      <c r="C77" s="3">
        <v>45689.361284722225</v>
      </c>
      <c r="D77" t="s">
        <v>128</v>
      </c>
      <c r="E77" s="4">
        <v>3.7269999999999999</v>
      </c>
      <c r="F77" s="4">
        <v>326344.61</v>
      </c>
      <c r="G77" s="4">
        <v>326348.337</v>
      </c>
      <c r="H77" s="5">
        <f>260 / 86400</f>
        <v>3.0092592592592593E-3</v>
      </c>
      <c r="I77" t="s">
        <v>129</v>
      </c>
      <c r="J77" t="s">
        <v>49</v>
      </c>
      <c r="K77" s="5">
        <f>707 / 86400</f>
        <v>8.1828703703703699E-3</v>
      </c>
      <c r="L77" s="5">
        <f>121 / 86400</f>
        <v>1.4004629629629629E-3</v>
      </c>
    </row>
    <row r="78" spans="1:12" x14ac:dyDescent="0.25">
      <c r="A78" s="3">
        <v>45689.362685185188</v>
      </c>
      <c r="B78" t="s">
        <v>128</v>
      </c>
      <c r="C78" s="3">
        <v>45689.424398148149</v>
      </c>
      <c r="D78" t="s">
        <v>130</v>
      </c>
      <c r="E78" s="4">
        <v>24.158000000000001</v>
      </c>
      <c r="F78" s="4">
        <v>326348.337</v>
      </c>
      <c r="G78" s="4">
        <v>326372.495</v>
      </c>
      <c r="H78" s="5">
        <f>1941 / 86400</f>
        <v>2.2465277777777778E-2</v>
      </c>
      <c r="I78" t="s">
        <v>22</v>
      </c>
      <c r="J78" t="s">
        <v>26</v>
      </c>
      <c r="K78" s="5">
        <f>5331 / 86400</f>
        <v>6.1701388888888889E-2</v>
      </c>
      <c r="L78" s="5">
        <f>16 / 86400</f>
        <v>1.8518518518518518E-4</v>
      </c>
    </row>
    <row r="79" spans="1:12" x14ac:dyDescent="0.25">
      <c r="A79" s="3">
        <v>45689.424583333333</v>
      </c>
      <c r="B79" t="s">
        <v>130</v>
      </c>
      <c r="C79" s="3">
        <v>45689.431724537033</v>
      </c>
      <c r="D79" t="s">
        <v>131</v>
      </c>
      <c r="E79" s="4">
        <v>0.90200000000000002</v>
      </c>
      <c r="F79" s="4">
        <v>326372.495</v>
      </c>
      <c r="G79" s="4">
        <v>326373.397</v>
      </c>
      <c r="H79" s="5">
        <f>260 / 86400</f>
        <v>3.0092592592592593E-3</v>
      </c>
      <c r="I79" t="s">
        <v>123</v>
      </c>
      <c r="J79" t="s">
        <v>56</v>
      </c>
      <c r="K79" s="5">
        <f>616 / 86400</f>
        <v>7.1296296296296299E-3</v>
      </c>
      <c r="L79" s="5">
        <f>19 / 86400</f>
        <v>2.199074074074074E-4</v>
      </c>
    </row>
    <row r="80" spans="1:12" x14ac:dyDescent="0.25">
      <c r="A80" s="3">
        <v>45689.431944444441</v>
      </c>
      <c r="B80" t="s">
        <v>131</v>
      </c>
      <c r="C80" s="3">
        <v>45689.432141203702</v>
      </c>
      <c r="D80" t="s">
        <v>132</v>
      </c>
      <c r="E80" s="4">
        <v>8.9999999999999993E-3</v>
      </c>
      <c r="F80" s="4">
        <v>326373.397</v>
      </c>
      <c r="G80" s="4">
        <v>326373.40600000002</v>
      </c>
      <c r="H80" s="5">
        <f>0 / 86400</f>
        <v>0</v>
      </c>
      <c r="I80" t="s">
        <v>37</v>
      </c>
      <c r="J80" t="s">
        <v>133</v>
      </c>
      <c r="K80" s="5">
        <f>17 / 86400</f>
        <v>1.9675925925925926E-4</v>
      </c>
      <c r="L80" s="5">
        <f>15 / 86400</f>
        <v>1.7361111111111112E-4</v>
      </c>
    </row>
    <row r="81" spans="1:12" x14ac:dyDescent="0.25">
      <c r="A81" s="3">
        <v>45689.432314814811</v>
      </c>
      <c r="B81" t="s">
        <v>132</v>
      </c>
      <c r="C81" s="3">
        <v>45689.43959490741</v>
      </c>
      <c r="D81" t="s">
        <v>134</v>
      </c>
      <c r="E81" s="4">
        <v>1.0389999999999999</v>
      </c>
      <c r="F81" s="4">
        <v>326373.40600000002</v>
      </c>
      <c r="G81" s="4">
        <v>326374.44500000001</v>
      </c>
      <c r="H81" s="5">
        <f>321 / 86400</f>
        <v>3.7152777777777778E-3</v>
      </c>
      <c r="I81" t="s">
        <v>91</v>
      </c>
      <c r="J81" t="s">
        <v>92</v>
      </c>
      <c r="K81" s="5">
        <f>629 / 86400</f>
        <v>7.2800925925925923E-3</v>
      </c>
      <c r="L81" s="5">
        <f>94 / 86400</f>
        <v>1.0879629629629629E-3</v>
      </c>
    </row>
    <row r="82" spans="1:12" x14ac:dyDescent="0.25">
      <c r="A82" s="3">
        <v>45689.440682870365</v>
      </c>
      <c r="B82" t="s">
        <v>134</v>
      </c>
      <c r="C82" s="3">
        <v>45689.45149305556</v>
      </c>
      <c r="D82" t="s">
        <v>135</v>
      </c>
      <c r="E82" s="4">
        <v>2.927</v>
      </c>
      <c r="F82" s="4">
        <v>326374.44500000001</v>
      </c>
      <c r="G82" s="4">
        <v>326377.37199999997</v>
      </c>
      <c r="H82" s="5">
        <f>499 / 86400</f>
        <v>5.7754629629629631E-3</v>
      </c>
      <c r="I82" t="s">
        <v>136</v>
      </c>
      <c r="J82" t="s">
        <v>71</v>
      </c>
      <c r="K82" s="5">
        <f>933 / 86400</f>
        <v>1.0798611111111111E-2</v>
      </c>
      <c r="L82" s="5">
        <f>123 / 86400</f>
        <v>1.4236111111111112E-3</v>
      </c>
    </row>
    <row r="83" spans="1:12" x14ac:dyDescent="0.25">
      <c r="A83" s="3">
        <v>45689.452916666662</v>
      </c>
      <c r="B83" t="s">
        <v>135</v>
      </c>
      <c r="C83" s="3">
        <v>45689.567418981482</v>
      </c>
      <c r="D83" t="s">
        <v>69</v>
      </c>
      <c r="E83" s="4">
        <v>48.850999999999999</v>
      </c>
      <c r="F83" s="4">
        <v>326377.37199999997</v>
      </c>
      <c r="G83" s="4">
        <v>326426.223</v>
      </c>
      <c r="H83" s="5">
        <f>2659 / 86400</f>
        <v>3.0775462962962963E-2</v>
      </c>
      <c r="I83" t="s">
        <v>34</v>
      </c>
      <c r="J83" t="s">
        <v>23</v>
      </c>
      <c r="K83" s="5">
        <f>9892 / 86400</f>
        <v>0.11449074074074074</v>
      </c>
      <c r="L83" s="5">
        <f>2183 / 86400</f>
        <v>2.5266203703703704E-2</v>
      </c>
    </row>
    <row r="84" spans="1:12" x14ac:dyDescent="0.25">
      <c r="A84" s="3">
        <v>45689.592685185184</v>
      </c>
      <c r="B84" t="s">
        <v>69</v>
      </c>
      <c r="C84" s="3">
        <v>45689.59611111111</v>
      </c>
      <c r="D84" t="s">
        <v>137</v>
      </c>
      <c r="E84" s="4">
        <v>1.26</v>
      </c>
      <c r="F84" s="4">
        <v>326426.223</v>
      </c>
      <c r="G84" s="4">
        <v>326427.48300000001</v>
      </c>
      <c r="H84" s="5">
        <f>59 / 86400</f>
        <v>6.8287037037037036E-4</v>
      </c>
      <c r="I84" t="s">
        <v>138</v>
      </c>
      <c r="J84" t="s">
        <v>43</v>
      </c>
      <c r="K84" s="5">
        <f>296 / 86400</f>
        <v>3.425925925925926E-3</v>
      </c>
      <c r="L84" s="5">
        <f>3116 / 86400</f>
        <v>3.6064814814814813E-2</v>
      </c>
    </row>
    <row r="85" spans="1:12" x14ac:dyDescent="0.25">
      <c r="A85" s="3">
        <v>45689.63217592593</v>
      </c>
      <c r="B85" t="s">
        <v>137</v>
      </c>
      <c r="C85" s="3">
        <v>45689.632627314815</v>
      </c>
      <c r="D85" t="s">
        <v>139</v>
      </c>
      <c r="E85" s="4">
        <v>4.1000000000000002E-2</v>
      </c>
      <c r="F85" s="4">
        <v>326427.48300000001</v>
      </c>
      <c r="G85" s="4">
        <v>326427.52399999998</v>
      </c>
      <c r="H85" s="5">
        <f>0 / 86400</f>
        <v>0</v>
      </c>
      <c r="I85" t="s">
        <v>126</v>
      </c>
      <c r="J85" t="s">
        <v>80</v>
      </c>
      <c r="K85" s="5">
        <f>39 / 86400</f>
        <v>4.5138888888888887E-4</v>
      </c>
      <c r="L85" s="5">
        <f>81 / 86400</f>
        <v>9.3749999999999997E-4</v>
      </c>
    </row>
    <row r="86" spans="1:12" x14ac:dyDescent="0.25">
      <c r="A86" s="3">
        <v>45689.633564814816</v>
      </c>
      <c r="B86" t="s">
        <v>139</v>
      </c>
      <c r="C86" s="3">
        <v>45689.736087962963</v>
      </c>
      <c r="D86" t="s">
        <v>135</v>
      </c>
      <c r="E86" s="4">
        <v>49.143000000000001</v>
      </c>
      <c r="F86" s="4">
        <v>326427.52399999998</v>
      </c>
      <c r="G86" s="4">
        <v>326476.66700000002</v>
      </c>
      <c r="H86" s="5">
        <f>2759 / 86400</f>
        <v>3.1932870370370368E-2</v>
      </c>
      <c r="I86" t="s">
        <v>57</v>
      </c>
      <c r="J86" t="s">
        <v>62</v>
      </c>
      <c r="K86" s="5">
        <f>8857 / 86400</f>
        <v>0.10251157407407407</v>
      </c>
      <c r="L86" s="5">
        <f>124 / 86400</f>
        <v>1.4351851851851852E-3</v>
      </c>
    </row>
    <row r="87" spans="1:12" x14ac:dyDescent="0.25">
      <c r="A87" s="3">
        <v>45689.737523148149</v>
      </c>
      <c r="B87" t="s">
        <v>135</v>
      </c>
      <c r="C87" s="3">
        <v>45689.879305555558</v>
      </c>
      <c r="D87" t="s">
        <v>21</v>
      </c>
      <c r="E87" s="4">
        <v>63.262</v>
      </c>
      <c r="F87" s="4">
        <v>326476.66700000002</v>
      </c>
      <c r="G87" s="4">
        <v>326539.929</v>
      </c>
      <c r="H87" s="5">
        <f>3739 / 86400</f>
        <v>4.327546296296296E-2</v>
      </c>
      <c r="I87" t="s">
        <v>57</v>
      </c>
      <c r="J87" t="s">
        <v>49</v>
      </c>
      <c r="K87" s="5">
        <f>12249 / 86400</f>
        <v>0.14177083333333335</v>
      </c>
      <c r="L87" s="5">
        <f>93 / 86400</f>
        <v>1.0763888888888889E-3</v>
      </c>
    </row>
    <row r="88" spans="1:12" x14ac:dyDescent="0.25">
      <c r="A88" s="3">
        <v>45689.880381944444</v>
      </c>
      <c r="B88" t="s">
        <v>21</v>
      </c>
      <c r="C88" s="3">
        <v>45689.881203703699</v>
      </c>
      <c r="D88" t="s">
        <v>21</v>
      </c>
      <c r="E88" s="4">
        <v>4.1000000000000002E-2</v>
      </c>
      <c r="F88" s="4">
        <v>326539.929</v>
      </c>
      <c r="G88" s="4">
        <v>326539.96999999997</v>
      </c>
      <c r="H88" s="5">
        <f>19 / 86400</f>
        <v>2.199074074074074E-4</v>
      </c>
      <c r="I88" t="s">
        <v>92</v>
      </c>
      <c r="J88" t="s">
        <v>133</v>
      </c>
      <c r="K88" s="5">
        <f>70 / 86400</f>
        <v>8.1018518518518516E-4</v>
      </c>
      <c r="L88" s="5">
        <f>10263 / 86400</f>
        <v>0.11878472222222222</v>
      </c>
    </row>
    <row r="89" spans="1:1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2" s="10" customFormat="1" ht="20.100000000000001" customHeight="1" x14ac:dyDescent="0.35">
      <c r="A91" s="15" t="s">
        <v>433</v>
      </c>
      <c r="B91" s="15"/>
      <c r="C91" s="15"/>
      <c r="D91" s="15"/>
      <c r="E91" s="15"/>
      <c r="F91" s="15"/>
      <c r="G91" s="15"/>
      <c r="H91" s="15"/>
      <c r="I91" s="15"/>
      <c r="J91" s="15"/>
    </row>
    <row r="92" spans="1:1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2" ht="30" x14ac:dyDescent="0.25">
      <c r="A93" s="2" t="s">
        <v>6</v>
      </c>
      <c r="B93" s="2" t="s">
        <v>7</v>
      </c>
      <c r="C93" s="2" t="s">
        <v>8</v>
      </c>
      <c r="D93" s="2" t="s">
        <v>9</v>
      </c>
      <c r="E93" s="2" t="s">
        <v>10</v>
      </c>
      <c r="F93" s="2" t="s">
        <v>11</v>
      </c>
      <c r="G93" s="2" t="s">
        <v>12</v>
      </c>
      <c r="H93" s="2" t="s">
        <v>13</v>
      </c>
      <c r="I93" s="2" t="s">
        <v>14</v>
      </c>
      <c r="J93" s="2" t="s">
        <v>15</v>
      </c>
      <c r="K93" s="2" t="s">
        <v>16</v>
      </c>
      <c r="L93" s="2" t="s">
        <v>17</v>
      </c>
    </row>
    <row r="94" spans="1:12" x14ac:dyDescent="0.25">
      <c r="A94" s="3">
        <v>45689.298321759255</v>
      </c>
      <c r="B94" t="s">
        <v>24</v>
      </c>
      <c r="C94" s="3">
        <v>45689.357071759259</v>
      </c>
      <c r="D94" t="s">
        <v>117</v>
      </c>
      <c r="E94" s="4">
        <v>28.213999999999999</v>
      </c>
      <c r="F94" s="4">
        <v>19384.403999999999</v>
      </c>
      <c r="G94" s="4">
        <v>19412.617999999999</v>
      </c>
      <c r="H94" s="5">
        <f>1139 / 86400</f>
        <v>1.3182870370370371E-2</v>
      </c>
      <c r="I94" t="s">
        <v>140</v>
      </c>
      <c r="J94" t="s">
        <v>62</v>
      </c>
      <c r="K94" s="5">
        <f>5075 / 86400</f>
        <v>5.8738425925925923E-2</v>
      </c>
      <c r="L94" s="5">
        <f>25786 / 86400</f>
        <v>0.29844907407407406</v>
      </c>
    </row>
    <row r="95" spans="1:12" x14ac:dyDescent="0.25">
      <c r="A95" s="3">
        <v>45689.357199074075</v>
      </c>
      <c r="B95" t="s">
        <v>117</v>
      </c>
      <c r="C95" s="3">
        <v>45689.362905092596</v>
      </c>
      <c r="D95" t="s">
        <v>139</v>
      </c>
      <c r="E95" s="4">
        <v>1.177</v>
      </c>
      <c r="F95" s="4">
        <v>19412.617999999999</v>
      </c>
      <c r="G95" s="4">
        <v>19413.794999999998</v>
      </c>
      <c r="H95" s="5">
        <f>159 / 86400</f>
        <v>1.8402777777777777E-3</v>
      </c>
      <c r="I95" t="s">
        <v>141</v>
      </c>
      <c r="J95" t="s">
        <v>85</v>
      </c>
      <c r="K95" s="5">
        <f>493 / 86400</f>
        <v>5.7060185185185183E-3</v>
      </c>
      <c r="L95" s="5">
        <f>83 / 86400</f>
        <v>9.6064814814814819E-4</v>
      </c>
    </row>
    <row r="96" spans="1:12" x14ac:dyDescent="0.25">
      <c r="A96" s="3">
        <v>45689.363865740743</v>
      </c>
      <c r="B96" t="s">
        <v>139</v>
      </c>
      <c r="C96" s="3">
        <v>45689.366782407407</v>
      </c>
      <c r="D96" t="s">
        <v>142</v>
      </c>
      <c r="E96" s="4">
        <v>0.57699999999999996</v>
      </c>
      <c r="F96" s="4">
        <v>19413.794999999998</v>
      </c>
      <c r="G96" s="4">
        <v>19414.371999999999</v>
      </c>
      <c r="H96" s="5">
        <f>79 / 86400</f>
        <v>9.1435185185185185E-4</v>
      </c>
      <c r="I96" t="s">
        <v>49</v>
      </c>
      <c r="J96" t="s">
        <v>120</v>
      </c>
      <c r="K96" s="5">
        <f>252 / 86400</f>
        <v>2.9166666666666668E-3</v>
      </c>
      <c r="L96" s="5">
        <f>755 / 86400</f>
        <v>8.7384259259259255E-3</v>
      </c>
    </row>
    <row r="97" spans="1:12" x14ac:dyDescent="0.25">
      <c r="A97" s="3">
        <v>45689.375520833331</v>
      </c>
      <c r="B97" t="s">
        <v>142</v>
      </c>
      <c r="C97" s="3">
        <v>45689.37909722222</v>
      </c>
      <c r="D97" t="s">
        <v>69</v>
      </c>
      <c r="E97" s="4">
        <v>0.72</v>
      </c>
      <c r="F97" s="4">
        <v>19414.371999999999</v>
      </c>
      <c r="G97" s="4">
        <v>19415.092000000001</v>
      </c>
      <c r="H97" s="5">
        <f>120 / 86400</f>
        <v>1.3888888888888889E-3</v>
      </c>
      <c r="I97" t="s">
        <v>123</v>
      </c>
      <c r="J97" t="s">
        <v>120</v>
      </c>
      <c r="K97" s="5">
        <f>309 / 86400</f>
        <v>3.5763888888888889E-3</v>
      </c>
      <c r="L97" s="5">
        <f>6065 / 86400</f>
        <v>7.0196759259259264E-2</v>
      </c>
    </row>
    <row r="98" spans="1:12" x14ac:dyDescent="0.25">
      <c r="A98" s="3">
        <v>45689.449293981481</v>
      </c>
      <c r="B98" t="s">
        <v>69</v>
      </c>
      <c r="C98" s="3">
        <v>45689.44940972222</v>
      </c>
      <c r="D98" t="s">
        <v>69</v>
      </c>
      <c r="E98" s="4">
        <v>0</v>
      </c>
      <c r="F98" s="4">
        <v>19415.092000000001</v>
      </c>
      <c r="G98" s="4">
        <v>19415.092000000001</v>
      </c>
      <c r="H98" s="5">
        <f>0 / 86400</f>
        <v>0</v>
      </c>
      <c r="I98" t="s">
        <v>37</v>
      </c>
      <c r="J98" t="s">
        <v>37</v>
      </c>
      <c r="K98" s="5">
        <f>9 / 86400</f>
        <v>1.0416666666666667E-4</v>
      </c>
      <c r="L98" s="5">
        <f>527 / 86400</f>
        <v>6.099537037037037E-3</v>
      </c>
    </row>
    <row r="99" spans="1:12" x14ac:dyDescent="0.25">
      <c r="A99" s="3">
        <v>45689.455509259264</v>
      </c>
      <c r="B99" t="s">
        <v>69</v>
      </c>
      <c r="C99" s="3">
        <v>45689.459247685183</v>
      </c>
      <c r="D99" t="s">
        <v>143</v>
      </c>
      <c r="E99" s="4">
        <v>0.88900000000000001</v>
      </c>
      <c r="F99" s="4">
        <v>19415.092000000001</v>
      </c>
      <c r="G99" s="4">
        <v>19415.981</v>
      </c>
      <c r="H99" s="5">
        <f>59 / 86400</f>
        <v>6.8287037037037036E-4</v>
      </c>
      <c r="I99" t="s">
        <v>125</v>
      </c>
      <c r="J99" t="s">
        <v>116</v>
      </c>
      <c r="K99" s="5">
        <f>322 / 86400</f>
        <v>3.7268518518518519E-3</v>
      </c>
      <c r="L99" s="5">
        <f>278 / 86400</f>
        <v>3.2175925925925926E-3</v>
      </c>
    </row>
    <row r="100" spans="1:12" x14ac:dyDescent="0.25">
      <c r="A100" s="3">
        <v>45689.462465277778</v>
      </c>
      <c r="B100" t="s">
        <v>143</v>
      </c>
      <c r="C100" s="3">
        <v>45689.462650462963</v>
      </c>
      <c r="D100" t="s">
        <v>143</v>
      </c>
      <c r="E100" s="4">
        <v>8.0000000000000002E-3</v>
      </c>
      <c r="F100" s="4">
        <v>19415.981</v>
      </c>
      <c r="G100" s="4">
        <v>19415.989000000001</v>
      </c>
      <c r="H100" s="5">
        <f>0 / 86400</f>
        <v>0</v>
      </c>
      <c r="I100" t="s">
        <v>56</v>
      </c>
      <c r="J100" t="s">
        <v>133</v>
      </c>
      <c r="K100" s="5">
        <f>15 / 86400</f>
        <v>1.7361111111111112E-4</v>
      </c>
      <c r="L100" s="5">
        <f>284 / 86400</f>
        <v>3.2870370370370371E-3</v>
      </c>
    </row>
    <row r="101" spans="1:12" x14ac:dyDescent="0.25">
      <c r="A101" s="3">
        <v>45689.465937500005</v>
      </c>
      <c r="B101" t="s">
        <v>143</v>
      </c>
      <c r="C101" s="3">
        <v>45689.467719907407</v>
      </c>
      <c r="D101" t="s">
        <v>143</v>
      </c>
      <c r="E101" s="4">
        <v>5.0000000000000001E-3</v>
      </c>
      <c r="F101" s="4">
        <v>19415.989000000001</v>
      </c>
      <c r="G101" s="4">
        <v>19415.993999999999</v>
      </c>
      <c r="H101" s="5">
        <f>139 / 86400</f>
        <v>1.6087962962962963E-3</v>
      </c>
      <c r="I101" t="s">
        <v>37</v>
      </c>
      <c r="J101" t="s">
        <v>37</v>
      </c>
      <c r="K101" s="5">
        <f>153 / 86400</f>
        <v>1.7708333333333332E-3</v>
      </c>
      <c r="L101" s="5">
        <f>198 / 86400</f>
        <v>2.2916666666666667E-3</v>
      </c>
    </row>
    <row r="102" spans="1:12" x14ac:dyDescent="0.25">
      <c r="A102" s="3">
        <v>45689.470011574071</v>
      </c>
      <c r="B102" t="s">
        <v>143</v>
      </c>
      <c r="C102" s="3">
        <v>45689.610497685186</v>
      </c>
      <c r="D102" t="s">
        <v>144</v>
      </c>
      <c r="E102" s="4">
        <v>49.408999999999999</v>
      </c>
      <c r="F102" s="4">
        <v>19415.993999999999</v>
      </c>
      <c r="G102" s="4">
        <v>19465.402999999998</v>
      </c>
      <c r="H102" s="5">
        <f>4560 / 86400</f>
        <v>5.2777777777777778E-2</v>
      </c>
      <c r="I102" t="s">
        <v>25</v>
      </c>
      <c r="J102" t="s">
        <v>43</v>
      </c>
      <c r="K102" s="5">
        <f>12138 / 86400</f>
        <v>0.14048611111111112</v>
      </c>
      <c r="L102" s="5">
        <f>4622 / 86400</f>
        <v>5.3495370370370374E-2</v>
      </c>
    </row>
    <row r="103" spans="1:12" x14ac:dyDescent="0.25">
      <c r="A103" s="3">
        <v>45689.663993055554</v>
      </c>
      <c r="B103" t="s">
        <v>144</v>
      </c>
      <c r="C103" s="3">
        <v>45689.870300925926</v>
      </c>
      <c r="D103" t="s">
        <v>24</v>
      </c>
      <c r="E103" s="4">
        <v>78.763000000000005</v>
      </c>
      <c r="F103" s="4">
        <v>19465.402999999998</v>
      </c>
      <c r="G103" s="4">
        <v>19544.166000000001</v>
      </c>
      <c r="H103" s="5">
        <f>5417 / 86400</f>
        <v>6.2696759259259258E-2</v>
      </c>
      <c r="I103" t="s">
        <v>145</v>
      </c>
      <c r="J103" t="s">
        <v>26</v>
      </c>
      <c r="K103" s="5">
        <f>17825 / 86400</f>
        <v>0.20630787037037038</v>
      </c>
      <c r="L103" s="5">
        <f>11205 / 86400</f>
        <v>0.12968750000000001</v>
      </c>
    </row>
    <row r="104" spans="1:1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2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1:12" s="10" customFormat="1" ht="20.100000000000001" customHeight="1" x14ac:dyDescent="0.35">
      <c r="A106" s="15" t="s">
        <v>429</v>
      </c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1:12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2" ht="30" x14ac:dyDescent="0.25">
      <c r="A108" s="2" t="s">
        <v>6</v>
      </c>
      <c r="B108" s="2" t="s">
        <v>7</v>
      </c>
      <c r="C108" s="2" t="s">
        <v>8</v>
      </c>
      <c r="D108" s="2" t="s">
        <v>9</v>
      </c>
      <c r="E108" s="2" t="s">
        <v>10</v>
      </c>
      <c r="F108" s="2" t="s">
        <v>11</v>
      </c>
      <c r="G108" s="2" t="s">
        <v>12</v>
      </c>
      <c r="H108" s="2" t="s">
        <v>13</v>
      </c>
      <c r="I108" s="2" t="s">
        <v>14</v>
      </c>
      <c r="J108" s="2" t="s">
        <v>15</v>
      </c>
      <c r="K108" s="2" t="s">
        <v>16</v>
      </c>
      <c r="L108" s="2" t="s">
        <v>17</v>
      </c>
    </row>
    <row r="109" spans="1:12" x14ac:dyDescent="0.25">
      <c r="A109" s="3">
        <v>45689.004189814819</v>
      </c>
      <c r="B109" t="s">
        <v>27</v>
      </c>
      <c r="C109" s="3">
        <v>45689.004282407404</v>
      </c>
      <c r="D109" t="s">
        <v>75</v>
      </c>
      <c r="E109" s="4">
        <v>0</v>
      </c>
      <c r="F109" s="4">
        <v>511177.51</v>
      </c>
      <c r="G109" s="4">
        <v>511177.51</v>
      </c>
      <c r="H109" s="5">
        <f>0 / 86400</f>
        <v>0</v>
      </c>
      <c r="I109" t="s">
        <v>37</v>
      </c>
      <c r="J109" t="s">
        <v>37</v>
      </c>
      <c r="K109" s="5">
        <f>7 / 86400</f>
        <v>8.1018518518518516E-5</v>
      </c>
      <c r="L109" s="5">
        <f>363 / 86400</f>
        <v>4.2013888888888891E-3</v>
      </c>
    </row>
    <row r="110" spans="1:12" x14ac:dyDescent="0.25">
      <c r="A110" s="3">
        <v>45689.004293981481</v>
      </c>
      <c r="B110" t="s">
        <v>75</v>
      </c>
      <c r="C110" s="3">
        <v>45689.007523148146</v>
      </c>
      <c r="D110" t="s">
        <v>28</v>
      </c>
      <c r="E110" s="4">
        <v>0.16400000000000001</v>
      </c>
      <c r="F110" s="4">
        <v>511177.51</v>
      </c>
      <c r="G110" s="4">
        <v>511177.674</v>
      </c>
      <c r="H110" s="5">
        <f>191 / 86400</f>
        <v>2.2106481481481482E-3</v>
      </c>
      <c r="I110" t="s">
        <v>120</v>
      </c>
      <c r="J110" t="s">
        <v>133</v>
      </c>
      <c r="K110" s="5">
        <f>279 / 86400</f>
        <v>3.2291666666666666E-3</v>
      </c>
      <c r="L110" s="5">
        <f>20927 / 86400</f>
        <v>0.24221064814814816</v>
      </c>
    </row>
    <row r="111" spans="1:12" x14ac:dyDescent="0.25">
      <c r="A111" s="3">
        <v>45689.2497337963</v>
      </c>
      <c r="B111" t="s">
        <v>28</v>
      </c>
      <c r="C111" s="3">
        <v>45689.31731481482</v>
      </c>
      <c r="D111" t="s">
        <v>114</v>
      </c>
      <c r="E111" s="4">
        <v>33.856999999999999</v>
      </c>
      <c r="F111" s="4">
        <v>511177.674</v>
      </c>
      <c r="G111" s="4">
        <v>511211.53100000002</v>
      </c>
      <c r="H111" s="5">
        <f>1778 / 86400</f>
        <v>2.0578703703703703E-2</v>
      </c>
      <c r="I111" t="s">
        <v>140</v>
      </c>
      <c r="J111" t="s">
        <v>20</v>
      </c>
      <c r="K111" s="5">
        <f>5839 / 86400</f>
        <v>6.7581018518518512E-2</v>
      </c>
      <c r="L111" s="5">
        <f>2842 / 86400</f>
        <v>3.2893518518518516E-2</v>
      </c>
    </row>
    <row r="112" spans="1:12" x14ac:dyDescent="0.25">
      <c r="A112" s="3">
        <v>45689.35020833333</v>
      </c>
      <c r="B112" t="s">
        <v>114</v>
      </c>
      <c r="C112" s="3">
        <v>45689.353692129633</v>
      </c>
      <c r="D112" t="s">
        <v>139</v>
      </c>
      <c r="E112" s="4">
        <v>0.875</v>
      </c>
      <c r="F112" s="4">
        <v>511211.53100000002</v>
      </c>
      <c r="G112" s="4">
        <v>511212.40600000002</v>
      </c>
      <c r="H112" s="5">
        <f>20 / 86400</f>
        <v>2.3148148148148149E-4</v>
      </c>
      <c r="I112" t="s">
        <v>123</v>
      </c>
      <c r="J112" t="s">
        <v>71</v>
      </c>
      <c r="K112" s="5">
        <f>300 / 86400</f>
        <v>3.472222222222222E-3</v>
      </c>
      <c r="L112" s="5">
        <f>1443 / 86400</f>
        <v>1.6701388888888891E-2</v>
      </c>
    </row>
    <row r="113" spans="1:12" x14ac:dyDescent="0.25">
      <c r="A113" s="3">
        <v>45689.370393518519</v>
      </c>
      <c r="B113" t="s">
        <v>139</v>
      </c>
      <c r="C113" s="3">
        <v>45689.374965277777</v>
      </c>
      <c r="D113" t="s">
        <v>146</v>
      </c>
      <c r="E113" s="4">
        <v>1.306</v>
      </c>
      <c r="F113" s="4">
        <v>511212.40600000002</v>
      </c>
      <c r="G113" s="4">
        <v>511213.712</v>
      </c>
      <c r="H113" s="5">
        <f>80 / 86400</f>
        <v>9.2592592592592596E-4</v>
      </c>
      <c r="I113" t="s">
        <v>147</v>
      </c>
      <c r="J113" t="s">
        <v>99</v>
      </c>
      <c r="K113" s="5">
        <f>395 / 86400</f>
        <v>4.5717592592592589E-3</v>
      </c>
      <c r="L113" s="5">
        <f>132 / 86400</f>
        <v>1.5277777777777779E-3</v>
      </c>
    </row>
    <row r="114" spans="1:12" x14ac:dyDescent="0.25">
      <c r="A114" s="3">
        <v>45689.376493055555</v>
      </c>
      <c r="B114" t="s">
        <v>146</v>
      </c>
      <c r="C114" s="3">
        <v>45689.487638888888</v>
      </c>
      <c r="D114" t="s">
        <v>148</v>
      </c>
      <c r="E114" s="4">
        <v>49.762999999999998</v>
      </c>
      <c r="F114" s="4">
        <v>511213.712</v>
      </c>
      <c r="G114" s="4">
        <v>511263.47499999998</v>
      </c>
      <c r="H114" s="5">
        <f>2879 / 86400</f>
        <v>3.3321759259259259E-2</v>
      </c>
      <c r="I114" t="s">
        <v>29</v>
      </c>
      <c r="J114" t="s">
        <v>49</v>
      </c>
      <c r="K114" s="5">
        <f>9603 / 86400</f>
        <v>0.11114583333333333</v>
      </c>
      <c r="L114" s="5">
        <f>845 / 86400</f>
        <v>9.780092592592592E-3</v>
      </c>
    </row>
    <row r="115" spans="1:12" x14ac:dyDescent="0.25">
      <c r="A115" s="3">
        <v>45689.497418981482</v>
      </c>
      <c r="B115" t="s">
        <v>148</v>
      </c>
      <c r="C115" s="3">
        <v>45689.632418981477</v>
      </c>
      <c r="D115" t="s">
        <v>114</v>
      </c>
      <c r="E115" s="4">
        <v>51.396999999999998</v>
      </c>
      <c r="F115" s="4">
        <v>511263.47499999998</v>
      </c>
      <c r="G115" s="4">
        <v>511314.87199999997</v>
      </c>
      <c r="H115" s="5">
        <f>3518 / 86400</f>
        <v>4.071759259259259E-2</v>
      </c>
      <c r="I115" t="s">
        <v>25</v>
      </c>
      <c r="J115" t="s">
        <v>26</v>
      </c>
      <c r="K115" s="5">
        <f>11663 / 86400</f>
        <v>0.13498842592592591</v>
      </c>
      <c r="L115" s="5">
        <f>4781 / 86400</f>
        <v>5.5335648148148148E-2</v>
      </c>
    </row>
    <row r="116" spans="1:12" x14ac:dyDescent="0.25">
      <c r="A116" s="3">
        <v>45689.687754629631</v>
      </c>
      <c r="B116" t="s">
        <v>114</v>
      </c>
      <c r="C116" s="3">
        <v>45689.691423611112</v>
      </c>
      <c r="D116" t="s">
        <v>69</v>
      </c>
      <c r="E116" s="4">
        <v>0.92200000000000004</v>
      </c>
      <c r="F116" s="4">
        <v>511314.87199999997</v>
      </c>
      <c r="G116" s="4">
        <v>511315.79399999999</v>
      </c>
      <c r="H116" s="5">
        <f>59 / 86400</f>
        <v>6.8287037037037036E-4</v>
      </c>
      <c r="I116" t="s">
        <v>149</v>
      </c>
      <c r="J116" t="s">
        <v>71</v>
      </c>
      <c r="K116" s="5">
        <f>316 / 86400</f>
        <v>3.6574074074074074E-3</v>
      </c>
      <c r="L116" s="5">
        <f>343 / 86400</f>
        <v>3.9699074074074072E-3</v>
      </c>
    </row>
    <row r="117" spans="1:12" x14ac:dyDescent="0.25">
      <c r="A117" s="3">
        <v>45689.695393518516</v>
      </c>
      <c r="B117" t="s">
        <v>69</v>
      </c>
      <c r="C117" s="3">
        <v>45689.695706018523</v>
      </c>
      <c r="D117" t="s">
        <v>69</v>
      </c>
      <c r="E117" s="4">
        <v>3.2000000000000001E-2</v>
      </c>
      <c r="F117" s="4">
        <v>511315.79399999999</v>
      </c>
      <c r="G117" s="4">
        <v>511315.826</v>
      </c>
      <c r="H117" s="5">
        <f>0 / 86400</f>
        <v>0</v>
      </c>
      <c r="I117" t="s">
        <v>120</v>
      </c>
      <c r="J117" t="s">
        <v>80</v>
      </c>
      <c r="K117" s="5">
        <f>27 / 86400</f>
        <v>3.1250000000000001E-4</v>
      </c>
      <c r="L117" s="5">
        <f>469 / 86400</f>
        <v>5.4282407407407404E-3</v>
      </c>
    </row>
    <row r="118" spans="1:12" x14ac:dyDescent="0.25">
      <c r="A118" s="3">
        <v>45689.70113425926</v>
      </c>
      <c r="B118" t="s">
        <v>69</v>
      </c>
      <c r="C118" s="3">
        <v>45689.703321759254</v>
      </c>
      <c r="D118" t="s">
        <v>117</v>
      </c>
      <c r="E118" s="4">
        <v>0.32</v>
      </c>
      <c r="F118" s="4">
        <v>511315.826</v>
      </c>
      <c r="G118" s="4">
        <v>511316.14600000001</v>
      </c>
      <c r="H118" s="5">
        <f>20 / 86400</f>
        <v>2.3148148148148149E-4</v>
      </c>
      <c r="I118" t="s">
        <v>23</v>
      </c>
      <c r="J118" t="s">
        <v>92</v>
      </c>
      <c r="K118" s="5">
        <f>189 / 86400</f>
        <v>2.1875000000000002E-3</v>
      </c>
      <c r="L118" s="5">
        <f>755 / 86400</f>
        <v>8.7384259259259255E-3</v>
      </c>
    </row>
    <row r="119" spans="1:12" x14ac:dyDescent="0.25">
      <c r="A119" s="3">
        <v>45689.712060185186</v>
      </c>
      <c r="B119" t="s">
        <v>117</v>
      </c>
      <c r="C119" s="3">
        <v>45689.908321759256</v>
      </c>
      <c r="D119" t="s">
        <v>150</v>
      </c>
      <c r="E119" s="4">
        <v>76.370999999999995</v>
      </c>
      <c r="F119" s="4">
        <v>511316.14600000001</v>
      </c>
      <c r="G119" s="4">
        <v>511392.51699999999</v>
      </c>
      <c r="H119" s="5">
        <f>5740 / 86400</f>
        <v>6.643518518518518E-2</v>
      </c>
      <c r="I119" t="s">
        <v>40</v>
      </c>
      <c r="J119" t="s">
        <v>26</v>
      </c>
      <c r="K119" s="5">
        <f>16956 / 86400</f>
        <v>0.19625000000000001</v>
      </c>
      <c r="L119" s="5">
        <f>232 / 86400</f>
        <v>2.685185185185185E-3</v>
      </c>
    </row>
    <row r="120" spans="1:12" x14ac:dyDescent="0.25">
      <c r="A120" s="3">
        <v>45689.911006944443</v>
      </c>
      <c r="B120" t="s">
        <v>150</v>
      </c>
      <c r="C120" s="3">
        <v>45689.911319444444</v>
      </c>
      <c r="D120" t="s">
        <v>150</v>
      </c>
      <c r="E120" s="4">
        <v>6.0000000000000001E-3</v>
      </c>
      <c r="F120" s="4">
        <v>511392.51699999999</v>
      </c>
      <c r="G120" s="4">
        <v>511392.52299999999</v>
      </c>
      <c r="H120" s="5">
        <f>0 / 86400</f>
        <v>0</v>
      </c>
      <c r="I120" t="s">
        <v>100</v>
      </c>
      <c r="J120" t="s">
        <v>100</v>
      </c>
      <c r="K120" s="5">
        <f>26 / 86400</f>
        <v>3.0092592592592595E-4</v>
      </c>
      <c r="L120" s="5">
        <f>38 / 86400</f>
        <v>4.3981481481481481E-4</v>
      </c>
    </row>
    <row r="121" spans="1:12" x14ac:dyDescent="0.25">
      <c r="A121" s="3">
        <v>45689.911759259259</v>
      </c>
      <c r="B121" t="s">
        <v>150</v>
      </c>
      <c r="C121" s="3">
        <v>45689.911932870367</v>
      </c>
      <c r="D121" t="s">
        <v>150</v>
      </c>
      <c r="E121" s="4">
        <v>4.0000000000000001E-3</v>
      </c>
      <c r="F121" s="4">
        <v>511392.52299999999</v>
      </c>
      <c r="G121" s="4">
        <v>511392.527</v>
      </c>
      <c r="H121" s="5">
        <f>0 / 86400</f>
        <v>0</v>
      </c>
      <c r="I121" t="s">
        <v>37</v>
      </c>
      <c r="J121" t="s">
        <v>100</v>
      </c>
      <c r="K121" s="5">
        <f>14 / 86400</f>
        <v>1.6203703703703703E-4</v>
      </c>
      <c r="L121" s="5">
        <f>810 / 86400</f>
        <v>9.3749999999999997E-3</v>
      </c>
    </row>
    <row r="122" spans="1:12" x14ac:dyDescent="0.25">
      <c r="A122" s="3">
        <v>45689.921307870369</v>
      </c>
      <c r="B122" t="s">
        <v>64</v>
      </c>
      <c r="C122" s="3">
        <v>45689.922986111109</v>
      </c>
      <c r="D122" t="s">
        <v>64</v>
      </c>
      <c r="E122" s="4">
        <v>0.38600000000000001</v>
      </c>
      <c r="F122" s="4">
        <v>511392.527</v>
      </c>
      <c r="G122" s="4">
        <v>511392.913</v>
      </c>
      <c r="H122" s="5">
        <f>59 / 86400</f>
        <v>6.8287037037037036E-4</v>
      </c>
      <c r="I122" t="s">
        <v>151</v>
      </c>
      <c r="J122" t="s">
        <v>116</v>
      </c>
      <c r="K122" s="5">
        <f>145 / 86400</f>
        <v>1.6782407407407408E-3</v>
      </c>
      <c r="L122" s="5">
        <f>152 / 86400</f>
        <v>1.7592592592592592E-3</v>
      </c>
    </row>
    <row r="123" spans="1:12" x14ac:dyDescent="0.25">
      <c r="A123" s="3">
        <v>45689.924745370372</v>
      </c>
      <c r="B123" t="s">
        <v>64</v>
      </c>
      <c r="C123" s="3">
        <v>45689.934340277774</v>
      </c>
      <c r="D123" t="s">
        <v>103</v>
      </c>
      <c r="E123" s="4">
        <v>5.7649999999999997</v>
      </c>
      <c r="F123" s="4">
        <v>511392.913</v>
      </c>
      <c r="G123" s="4">
        <v>511398.67800000001</v>
      </c>
      <c r="H123" s="5">
        <f>120 / 86400</f>
        <v>1.3888888888888889E-3</v>
      </c>
      <c r="I123" t="s">
        <v>152</v>
      </c>
      <c r="J123" t="s">
        <v>123</v>
      </c>
      <c r="K123" s="5">
        <f>829 / 86400</f>
        <v>9.5949074074074079E-3</v>
      </c>
      <c r="L123" s="5">
        <f>218 / 86400</f>
        <v>2.5231481481481481E-3</v>
      </c>
    </row>
    <row r="124" spans="1:12" x14ac:dyDescent="0.25">
      <c r="A124" s="3">
        <v>45689.93686342593</v>
      </c>
      <c r="B124" t="s">
        <v>103</v>
      </c>
      <c r="C124" s="3">
        <v>45689.939884259264</v>
      </c>
      <c r="D124" t="s">
        <v>28</v>
      </c>
      <c r="E124" s="4">
        <v>0.52</v>
      </c>
      <c r="F124" s="4">
        <v>511398.67800000001</v>
      </c>
      <c r="G124" s="4">
        <v>511399.19799999997</v>
      </c>
      <c r="H124" s="5">
        <f>39 / 86400</f>
        <v>4.5138888888888887E-4</v>
      </c>
      <c r="I124" t="s">
        <v>99</v>
      </c>
      <c r="J124" t="s">
        <v>126</v>
      </c>
      <c r="K124" s="5">
        <f>260 / 86400</f>
        <v>3.0092592592592593E-3</v>
      </c>
      <c r="L124" s="5">
        <f>131 / 86400</f>
        <v>1.5162037037037036E-3</v>
      </c>
    </row>
    <row r="125" spans="1:12" x14ac:dyDescent="0.25">
      <c r="A125" s="3">
        <v>45689.941400462965</v>
      </c>
      <c r="B125" t="s">
        <v>28</v>
      </c>
      <c r="C125" s="3">
        <v>45689.944456018522</v>
      </c>
      <c r="D125" t="s">
        <v>28</v>
      </c>
      <c r="E125" s="4">
        <v>1.4999999999999999E-2</v>
      </c>
      <c r="F125" s="4">
        <v>511399.19799999997</v>
      </c>
      <c r="G125" s="4">
        <v>511399.21299999999</v>
      </c>
      <c r="H125" s="5">
        <f>240 / 86400</f>
        <v>2.7777777777777779E-3</v>
      </c>
      <c r="I125" t="s">
        <v>100</v>
      </c>
      <c r="J125" t="s">
        <v>37</v>
      </c>
      <c r="K125" s="5">
        <f>263 / 86400</f>
        <v>3.0439814814814813E-3</v>
      </c>
      <c r="L125" s="5">
        <f>4798 / 86400</f>
        <v>5.5532407407407405E-2</v>
      </c>
    </row>
    <row r="126" spans="1:12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2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2" s="10" customFormat="1" ht="20.100000000000001" customHeight="1" x14ac:dyDescent="0.35">
      <c r="A128" s="15" t="s">
        <v>426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2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1:12" ht="30" x14ac:dyDescent="0.25">
      <c r="A130" s="2" t="s">
        <v>6</v>
      </c>
      <c r="B130" s="2" t="s">
        <v>7</v>
      </c>
      <c r="C130" s="2" t="s">
        <v>8</v>
      </c>
      <c r="D130" s="2" t="s">
        <v>9</v>
      </c>
      <c r="E130" s="2" t="s">
        <v>10</v>
      </c>
      <c r="F130" s="2" t="s">
        <v>11</v>
      </c>
      <c r="G130" s="2" t="s">
        <v>12</v>
      </c>
      <c r="H130" s="2" t="s">
        <v>13</v>
      </c>
      <c r="I130" s="2" t="s">
        <v>14</v>
      </c>
      <c r="J130" s="2" t="s">
        <v>15</v>
      </c>
      <c r="K130" s="2" t="s">
        <v>16</v>
      </c>
      <c r="L130" s="2" t="s">
        <v>17</v>
      </c>
    </row>
    <row r="131" spans="1:12" x14ac:dyDescent="0.25">
      <c r="A131" s="3">
        <v>45689.216261574074</v>
      </c>
      <c r="B131" t="s">
        <v>24</v>
      </c>
      <c r="C131" s="3">
        <v>45689.224594907406</v>
      </c>
      <c r="D131" t="s">
        <v>153</v>
      </c>
      <c r="E131" s="4">
        <v>0.48</v>
      </c>
      <c r="F131" s="4">
        <v>90337.812999999995</v>
      </c>
      <c r="G131" s="4">
        <v>90338.293000000005</v>
      </c>
      <c r="H131" s="5">
        <f>559 / 86400</f>
        <v>6.4699074074074077E-3</v>
      </c>
      <c r="I131" t="s">
        <v>43</v>
      </c>
      <c r="J131" t="s">
        <v>133</v>
      </c>
      <c r="K131" s="5">
        <f>720 / 86400</f>
        <v>8.3333333333333332E-3</v>
      </c>
      <c r="L131" s="5">
        <f>18856 / 86400</f>
        <v>0.21824074074074074</v>
      </c>
    </row>
    <row r="132" spans="1:12" x14ac:dyDescent="0.25">
      <c r="A132" s="3">
        <v>45689.22657407407</v>
      </c>
      <c r="B132" t="s">
        <v>153</v>
      </c>
      <c r="C132" s="3">
        <v>45689.23600694444</v>
      </c>
      <c r="D132" t="s">
        <v>36</v>
      </c>
      <c r="E132" s="4">
        <v>5.4370000000000003</v>
      </c>
      <c r="F132" s="4">
        <v>90338.293000000005</v>
      </c>
      <c r="G132" s="4">
        <v>90343.73</v>
      </c>
      <c r="H132" s="5">
        <f>100 / 86400</f>
        <v>1.1574074074074073E-3</v>
      </c>
      <c r="I132" t="s">
        <v>154</v>
      </c>
      <c r="J132" t="s">
        <v>125</v>
      </c>
      <c r="K132" s="5">
        <f>815 / 86400</f>
        <v>9.432870370370371E-3</v>
      </c>
      <c r="L132" s="5">
        <f>74 / 86400</f>
        <v>8.564814814814815E-4</v>
      </c>
    </row>
    <row r="133" spans="1:12" x14ac:dyDescent="0.25">
      <c r="A133" s="3">
        <v>45689.236863425926</v>
      </c>
      <c r="B133" t="s">
        <v>36</v>
      </c>
      <c r="C133" s="3">
        <v>45689.481400462959</v>
      </c>
      <c r="D133" t="s">
        <v>139</v>
      </c>
      <c r="E133" s="4">
        <v>81.893000000000001</v>
      </c>
      <c r="F133" s="4">
        <v>90343.73</v>
      </c>
      <c r="G133" s="4">
        <v>90425.623000000007</v>
      </c>
      <c r="H133" s="5">
        <f>8161 / 86400</f>
        <v>9.4456018518518522E-2</v>
      </c>
      <c r="I133" t="s">
        <v>136</v>
      </c>
      <c r="J133" t="s">
        <v>51</v>
      </c>
      <c r="K133" s="5">
        <f>21128 / 86400</f>
        <v>0.24453703703703702</v>
      </c>
      <c r="L133" s="5">
        <f>4278 / 86400</f>
        <v>4.9513888888888892E-2</v>
      </c>
    </row>
    <row r="134" spans="1:12" x14ac:dyDescent="0.25">
      <c r="A134" s="3">
        <v>45689.530914351853</v>
      </c>
      <c r="B134" t="s">
        <v>139</v>
      </c>
      <c r="C134" s="3">
        <v>45689.53502314815</v>
      </c>
      <c r="D134" t="s">
        <v>69</v>
      </c>
      <c r="E134" s="4">
        <v>1.3939999999999999</v>
      </c>
      <c r="F134" s="4">
        <v>90425.623000000007</v>
      </c>
      <c r="G134" s="4">
        <v>90427.017000000007</v>
      </c>
      <c r="H134" s="5">
        <f>20 / 86400</f>
        <v>2.3148148148148149E-4</v>
      </c>
      <c r="I134" t="s">
        <v>141</v>
      </c>
      <c r="J134" t="s">
        <v>51</v>
      </c>
      <c r="K134" s="5">
        <f>355 / 86400</f>
        <v>4.1087962962962962E-3</v>
      </c>
      <c r="L134" s="5">
        <f>313 / 86400</f>
        <v>3.6226851851851854E-3</v>
      </c>
    </row>
    <row r="135" spans="1:12" x14ac:dyDescent="0.25">
      <c r="A135" s="3">
        <v>45689.538645833338</v>
      </c>
      <c r="B135" t="s">
        <v>69</v>
      </c>
      <c r="C135" s="3">
        <v>45689.6949537037</v>
      </c>
      <c r="D135" t="s">
        <v>155</v>
      </c>
      <c r="E135" s="4">
        <v>49.707000000000001</v>
      </c>
      <c r="F135" s="4">
        <v>90427.017000000007</v>
      </c>
      <c r="G135" s="4">
        <v>90476.724000000002</v>
      </c>
      <c r="H135" s="5">
        <f>5462 / 86400</f>
        <v>6.3217592592592589E-2</v>
      </c>
      <c r="I135" t="s">
        <v>73</v>
      </c>
      <c r="J135" t="s">
        <v>31</v>
      </c>
      <c r="K135" s="5">
        <f>13505 / 86400</f>
        <v>0.15630787037037036</v>
      </c>
      <c r="L135" s="5">
        <f>1158 / 86400</f>
        <v>1.3402777777777777E-2</v>
      </c>
    </row>
    <row r="136" spans="1:12" x14ac:dyDescent="0.25">
      <c r="A136" s="3">
        <v>45689.708356481482</v>
      </c>
      <c r="B136" t="s">
        <v>155</v>
      </c>
      <c r="C136" s="3">
        <v>45689.840914351851</v>
      </c>
      <c r="D136" t="s">
        <v>156</v>
      </c>
      <c r="E136" s="4">
        <v>35.915999999999997</v>
      </c>
      <c r="F136" s="4">
        <v>90476.724000000002</v>
      </c>
      <c r="G136" s="4">
        <v>90512.639999999999</v>
      </c>
      <c r="H136" s="5">
        <f>4800 / 86400</f>
        <v>5.5555555555555552E-2</v>
      </c>
      <c r="I136" t="s">
        <v>157</v>
      </c>
      <c r="J136" t="s">
        <v>71</v>
      </c>
      <c r="K136" s="5">
        <f>11453 / 86400</f>
        <v>0.13255787037037037</v>
      </c>
      <c r="L136" s="5">
        <f>323 / 86400</f>
        <v>3.7384259259259259E-3</v>
      </c>
    </row>
    <row r="137" spans="1:12" x14ac:dyDescent="0.25">
      <c r="A137" s="3">
        <v>45689.844652777778</v>
      </c>
      <c r="B137" t="s">
        <v>156</v>
      </c>
      <c r="C137" s="3">
        <v>45689.852696759262</v>
      </c>
      <c r="D137" t="s">
        <v>158</v>
      </c>
      <c r="E137" s="4">
        <v>5.4219999999999997</v>
      </c>
      <c r="F137" s="4">
        <v>90512.639999999999</v>
      </c>
      <c r="G137" s="4">
        <v>90518.062000000005</v>
      </c>
      <c r="H137" s="5">
        <f>60 / 86400</f>
        <v>6.9444444444444447E-4</v>
      </c>
      <c r="I137" t="s">
        <v>22</v>
      </c>
      <c r="J137" t="s">
        <v>149</v>
      </c>
      <c r="K137" s="5">
        <f>694 / 86400</f>
        <v>8.0324074074074082E-3</v>
      </c>
      <c r="L137" s="5">
        <f>99 / 86400</f>
        <v>1.1458333333333333E-3</v>
      </c>
    </row>
    <row r="138" spans="1:12" x14ac:dyDescent="0.25">
      <c r="A138" s="3">
        <v>45689.853842592594</v>
      </c>
      <c r="B138" t="s">
        <v>158</v>
      </c>
      <c r="C138" s="3">
        <v>45689.861527777779</v>
      </c>
      <c r="D138" t="s">
        <v>159</v>
      </c>
      <c r="E138" s="4">
        <v>0.61299999999999999</v>
      </c>
      <c r="F138" s="4">
        <v>90518.062000000005</v>
      </c>
      <c r="G138" s="4">
        <v>90518.675000000003</v>
      </c>
      <c r="H138" s="5">
        <f>400 / 86400</f>
        <v>4.6296296296296294E-3</v>
      </c>
      <c r="I138" t="s">
        <v>43</v>
      </c>
      <c r="J138" t="s">
        <v>121</v>
      </c>
      <c r="K138" s="5">
        <f>664 / 86400</f>
        <v>7.6851851851851855E-3</v>
      </c>
      <c r="L138" s="5">
        <f>1318 / 86400</f>
        <v>1.525462962962963E-2</v>
      </c>
    </row>
    <row r="139" spans="1:12" x14ac:dyDescent="0.25">
      <c r="A139" s="3">
        <v>45689.876782407402</v>
      </c>
      <c r="B139" t="s">
        <v>159</v>
      </c>
      <c r="C139" s="3">
        <v>45689.893032407403</v>
      </c>
      <c r="D139" t="s">
        <v>24</v>
      </c>
      <c r="E139" s="4">
        <v>6.3319999999999999</v>
      </c>
      <c r="F139" s="4">
        <v>90518.675000000003</v>
      </c>
      <c r="G139" s="4">
        <v>90525.006999999998</v>
      </c>
      <c r="H139" s="5">
        <f>200 / 86400</f>
        <v>2.3148148148148147E-3</v>
      </c>
      <c r="I139" t="s">
        <v>160</v>
      </c>
      <c r="J139" t="s">
        <v>26</v>
      </c>
      <c r="K139" s="5">
        <f>1404 / 86400</f>
        <v>1.6250000000000001E-2</v>
      </c>
      <c r="L139" s="5">
        <f>61 / 86400</f>
        <v>7.0601851851851847E-4</v>
      </c>
    </row>
    <row r="140" spans="1:12" x14ac:dyDescent="0.25">
      <c r="A140" s="3">
        <v>45689.893738425926</v>
      </c>
      <c r="B140" t="s">
        <v>24</v>
      </c>
      <c r="C140" s="3">
        <v>45689.895312499997</v>
      </c>
      <c r="D140" t="s">
        <v>24</v>
      </c>
      <c r="E140" s="4">
        <v>0.14599999999999999</v>
      </c>
      <c r="F140" s="4">
        <v>90525.006999999998</v>
      </c>
      <c r="G140" s="4">
        <v>90525.153000000006</v>
      </c>
      <c r="H140" s="5">
        <f>39 / 86400</f>
        <v>4.5138888888888887E-4</v>
      </c>
      <c r="I140" t="s">
        <v>116</v>
      </c>
      <c r="J140" t="s">
        <v>80</v>
      </c>
      <c r="K140" s="5">
        <f>136 / 86400</f>
        <v>1.5740740740740741E-3</v>
      </c>
      <c r="L140" s="5">
        <f>9044 / 86400</f>
        <v>0.10467592592592592</v>
      </c>
    </row>
    <row r="141" spans="1:12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1:12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1:12" s="10" customFormat="1" ht="20.100000000000001" customHeight="1" x14ac:dyDescent="0.35">
      <c r="A143" s="15" t="s">
        <v>431</v>
      </c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2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1:12" ht="30" x14ac:dyDescent="0.25">
      <c r="A145" s="2" t="s">
        <v>6</v>
      </c>
      <c r="B145" s="2" t="s">
        <v>7</v>
      </c>
      <c r="C145" s="2" t="s">
        <v>8</v>
      </c>
      <c r="D145" s="2" t="s">
        <v>9</v>
      </c>
      <c r="E145" s="2" t="s">
        <v>10</v>
      </c>
      <c r="F145" s="2" t="s">
        <v>11</v>
      </c>
      <c r="G145" s="2" t="s">
        <v>12</v>
      </c>
      <c r="H145" s="2" t="s">
        <v>13</v>
      </c>
      <c r="I145" s="2" t="s">
        <v>14</v>
      </c>
      <c r="J145" s="2" t="s">
        <v>15</v>
      </c>
      <c r="K145" s="2" t="s">
        <v>16</v>
      </c>
      <c r="L145" s="2" t="s">
        <v>17</v>
      </c>
    </row>
    <row r="146" spans="1:12" x14ac:dyDescent="0.25">
      <c r="A146" s="3">
        <v>45689.224212962959</v>
      </c>
      <c r="B146" t="s">
        <v>18</v>
      </c>
      <c r="C146" s="3">
        <v>45689.225844907407</v>
      </c>
      <c r="D146" t="s">
        <v>18</v>
      </c>
      <c r="E146" s="4">
        <v>2.5999999999999999E-2</v>
      </c>
      <c r="F146" s="4">
        <v>134981.08199999999</v>
      </c>
      <c r="G146" s="4">
        <v>134981.10800000001</v>
      </c>
      <c r="H146" s="5">
        <f>119 / 86400</f>
        <v>1.3773148148148147E-3</v>
      </c>
      <c r="I146" t="s">
        <v>121</v>
      </c>
      <c r="J146" t="s">
        <v>100</v>
      </c>
      <c r="K146" s="5">
        <f>140 / 86400</f>
        <v>1.6203703703703703E-3</v>
      </c>
      <c r="L146" s="5">
        <f>20321 / 86400</f>
        <v>0.23519675925925926</v>
      </c>
    </row>
    <row r="147" spans="1:12" x14ac:dyDescent="0.25">
      <c r="A147" s="3">
        <v>45689.236828703702</v>
      </c>
      <c r="B147" t="s">
        <v>18</v>
      </c>
      <c r="C147" s="3">
        <v>45689.246782407412</v>
      </c>
      <c r="D147" t="s">
        <v>18</v>
      </c>
      <c r="E147" s="4">
        <v>3.101</v>
      </c>
      <c r="F147" s="4">
        <v>134981.10800000001</v>
      </c>
      <c r="G147" s="4">
        <v>134984.209</v>
      </c>
      <c r="H147" s="5">
        <f>359 / 86400</f>
        <v>4.1550925925925922E-3</v>
      </c>
      <c r="I147" t="s">
        <v>161</v>
      </c>
      <c r="J147" t="s">
        <v>31</v>
      </c>
      <c r="K147" s="5">
        <f>860 / 86400</f>
        <v>9.9537037037037042E-3</v>
      </c>
      <c r="L147" s="5">
        <f>59 / 86400</f>
        <v>6.8287037037037036E-4</v>
      </c>
    </row>
    <row r="148" spans="1:12" x14ac:dyDescent="0.25">
      <c r="A148" s="3">
        <v>45689.247465277775</v>
      </c>
      <c r="B148" t="s">
        <v>18</v>
      </c>
      <c r="C148" s="3">
        <v>45689.334618055553</v>
      </c>
      <c r="D148" t="s">
        <v>139</v>
      </c>
      <c r="E148" s="4">
        <v>45.789000000000001</v>
      </c>
      <c r="F148" s="4">
        <v>134984.209</v>
      </c>
      <c r="G148" s="4">
        <v>135029.99799999999</v>
      </c>
      <c r="H148" s="5">
        <f>1998 / 86400</f>
        <v>2.3125E-2</v>
      </c>
      <c r="I148" t="s">
        <v>73</v>
      </c>
      <c r="J148" t="s">
        <v>119</v>
      </c>
      <c r="K148" s="5">
        <f>7530 / 86400</f>
        <v>8.7152777777777773E-2</v>
      </c>
      <c r="L148" s="5">
        <f>1428 / 86400</f>
        <v>1.6527777777777777E-2</v>
      </c>
    </row>
    <row r="149" spans="1:12" x14ac:dyDescent="0.25">
      <c r="A149" s="3">
        <v>45689.351145833338</v>
      </c>
      <c r="B149" t="s">
        <v>139</v>
      </c>
      <c r="C149" s="3">
        <v>45689.351898148147</v>
      </c>
      <c r="D149" t="s">
        <v>139</v>
      </c>
      <c r="E149" s="4">
        <v>4.0000000000000001E-3</v>
      </c>
      <c r="F149" s="4">
        <v>135029.99799999999</v>
      </c>
      <c r="G149" s="4">
        <v>135030.00200000001</v>
      </c>
      <c r="H149" s="5">
        <f>39 / 86400</f>
        <v>4.5138888888888887E-4</v>
      </c>
      <c r="I149" t="s">
        <v>56</v>
      </c>
      <c r="J149" t="s">
        <v>37</v>
      </c>
      <c r="K149" s="5">
        <f>64 / 86400</f>
        <v>7.407407407407407E-4</v>
      </c>
      <c r="L149" s="5">
        <f>211 / 86400</f>
        <v>2.4421296296296296E-3</v>
      </c>
    </row>
    <row r="150" spans="1:12" x14ac:dyDescent="0.25">
      <c r="A150" s="3">
        <v>45689.35434027778</v>
      </c>
      <c r="B150" t="s">
        <v>139</v>
      </c>
      <c r="C150" s="3">
        <v>45689.358854166669</v>
      </c>
      <c r="D150" t="s">
        <v>50</v>
      </c>
      <c r="E150" s="4">
        <v>0.95099999999999996</v>
      </c>
      <c r="F150" s="4">
        <v>135030.00200000001</v>
      </c>
      <c r="G150" s="4">
        <v>135030.95300000001</v>
      </c>
      <c r="H150" s="5">
        <f>60 / 86400</f>
        <v>6.9444444444444447E-4</v>
      </c>
      <c r="I150" t="s">
        <v>26</v>
      </c>
      <c r="J150" t="s">
        <v>85</v>
      </c>
      <c r="K150" s="5">
        <f>390 / 86400</f>
        <v>4.5138888888888885E-3</v>
      </c>
      <c r="L150" s="5">
        <f>1070 / 86400</f>
        <v>1.238425925925926E-2</v>
      </c>
    </row>
    <row r="151" spans="1:12" x14ac:dyDescent="0.25">
      <c r="A151" s="3">
        <v>45689.371238425927</v>
      </c>
      <c r="B151" t="s">
        <v>50</v>
      </c>
      <c r="C151" s="3">
        <v>45689.49113425926</v>
      </c>
      <c r="D151" t="s">
        <v>144</v>
      </c>
      <c r="E151" s="4">
        <v>50.319000000000003</v>
      </c>
      <c r="F151" s="4">
        <v>135030.95300000001</v>
      </c>
      <c r="G151" s="4">
        <v>135081.272</v>
      </c>
      <c r="H151" s="5">
        <f>3659 / 86400</f>
        <v>4.234953703703704E-2</v>
      </c>
      <c r="I151" t="s">
        <v>22</v>
      </c>
      <c r="J151" t="s">
        <v>30</v>
      </c>
      <c r="K151" s="5">
        <f>10359 / 86400</f>
        <v>0.11989583333333333</v>
      </c>
      <c r="L151" s="5">
        <f>1749 / 86400</f>
        <v>2.0243055555555556E-2</v>
      </c>
    </row>
    <row r="152" spans="1:12" x14ac:dyDescent="0.25">
      <c r="A152" s="3">
        <v>45689.511377314819</v>
      </c>
      <c r="B152" t="s">
        <v>144</v>
      </c>
      <c r="C152" s="3">
        <v>45689.514062499999</v>
      </c>
      <c r="D152" t="s">
        <v>162</v>
      </c>
      <c r="E152" s="4">
        <v>8.1000000000000003E-2</v>
      </c>
      <c r="F152" s="4">
        <v>135081.272</v>
      </c>
      <c r="G152" s="4">
        <v>135081.353</v>
      </c>
      <c r="H152" s="5">
        <f>139 / 86400</f>
        <v>1.6087962962962963E-3</v>
      </c>
      <c r="I152" t="s">
        <v>99</v>
      </c>
      <c r="J152" t="s">
        <v>100</v>
      </c>
      <c r="K152" s="5">
        <f>231 / 86400</f>
        <v>2.673611111111111E-3</v>
      </c>
      <c r="L152" s="5">
        <f>559 / 86400</f>
        <v>6.4699074074074077E-3</v>
      </c>
    </row>
    <row r="153" spans="1:12" x14ac:dyDescent="0.25">
      <c r="A153" s="3">
        <v>45689.520532407405</v>
      </c>
      <c r="B153" t="s">
        <v>162</v>
      </c>
      <c r="C153" s="3">
        <v>45689.648182870369</v>
      </c>
      <c r="D153" t="s">
        <v>69</v>
      </c>
      <c r="E153" s="4">
        <v>49.485999999999997</v>
      </c>
      <c r="F153" s="4">
        <v>135081.353</v>
      </c>
      <c r="G153" s="4">
        <v>135130.83900000001</v>
      </c>
      <c r="H153" s="5">
        <f>3739 / 86400</f>
        <v>4.327546296296296E-2</v>
      </c>
      <c r="I153" t="s">
        <v>40</v>
      </c>
      <c r="J153" t="s">
        <v>26</v>
      </c>
      <c r="K153" s="5">
        <f>11028 / 86400</f>
        <v>0.12763888888888889</v>
      </c>
      <c r="L153" s="5">
        <f>354 / 86400</f>
        <v>4.0972222222222226E-3</v>
      </c>
    </row>
    <row r="154" spans="1:12" x14ac:dyDescent="0.25">
      <c r="A154" s="3">
        <v>45689.652280092589</v>
      </c>
      <c r="B154" t="s">
        <v>69</v>
      </c>
      <c r="C154" s="3">
        <v>45689.656111111108</v>
      </c>
      <c r="D154" t="s">
        <v>96</v>
      </c>
      <c r="E154" s="4">
        <v>0.47599999999999998</v>
      </c>
      <c r="F154" s="4">
        <v>135130.83900000001</v>
      </c>
      <c r="G154" s="4">
        <v>135131.315</v>
      </c>
      <c r="H154" s="5">
        <f>139 / 86400</f>
        <v>1.6087962962962963E-3</v>
      </c>
      <c r="I154" t="s">
        <v>119</v>
      </c>
      <c r="J154" t="s">
        <v>56</v>
      </c>
      <c r="K154" s="5">
        <f>330 / 86400</f>
        <v>3.8194444444444443E-3</v>
      </c>
      <c r="L154" s="5">
        <f>457 / 86400</f>
        <v>5.2893518518518515E-3</v>
      </c>
    </row>
    <row r="155" spans="1:12" x14ac:dyDescent="0.25">
      <c r="A155" s="3">
        <v>45689.661400462966</v>
      </c>
      <c r="B155" t="s">
        <v>96</v>
      </c>
      <c r="C155" s="3">
        <v>45689.665393518517</v>
      </c>
      <c r="D155" t="s">
        <v>142</v>
      </c>
      <c r="E155" s="4">
        <v>0.755</v>
      </c>
      <c r="F155" s="4">
        <v>135131.315</v>
      </c>
      <c r="G155" s="4">
        <v>135132.07</v>
      </c>
      <c r="H155" s="5">
        <f>179 / 86400</f>
        <v>2.0717592592592593E-3</v>
      </c>
      <c r="I155" t="s">
        <v>147</v>
      </c>
      <c r="J155" t="s">
        <v>120</v>
      </c>
      <c r="K155" s="5">
        <f>345 / 86400</f>
        <v>3.9930555555555552E-3</v>
      </c>
      <c r="L155" s="5">
        <f>9 / 86400</f>
        <v>1.0416666666666667E-4</v>
      </c>
    </row>
    <row r="156" spans="1:12" x14ac:dyDescent="0.25">
      <c r="A156" s="3">
        <v>45689.665497685186</v>
      </c>
      <c r="B156" t="s">
        <v>142</v>
      </c>
      <c r="C156" s="3">
        <v>45689.666435185187</v>
      </c>
      <c r="D156" t="s">
        <v>163</v>
      </c>
      <c r="E156" s="4">
        <v>1.2999999999999999E-2</v>
      </c>
      <c r="F156" s="4">
        <v>135132.07</v>
      </c>
      <c r="G156" s="4">
        <v>135132.08300000001</v>
      </c>
      <c r="H156" s="5">
        <f>59 / 86400</f>
        <v>6.8287037037037036E-4</v>
      </c>
      <c r="I156" t="s">
        <v>121</v>
      </c>
      <c r="J156" t="s">
        <v>100</v>
      </c>
      <c r="K156" s="5">
        <f>81 / 86400</f>
        <v>9.3749999999999997E-4</v>
      </c>
      <c r="L156" s="5">
        <f>168 / 86400</f>
        <v>1.9444444444444444E-3</v>
      </c>
    </row>
    <row r="157" spans="1:12" x14ac:dyDescent="0.25">
      <c r="A157" s="3">
        <v>45689.668379629627</v>
      </c>
      <c r="B157" t="s">
        <v>163</v>
      </c>
      <c r="C157" s="3">
        <v>45689.810219907406</v>
      </c>
      <c r="D157" t="s">
        <v>162</v>
      </c>
      <c r="E157" s="4">
        <v>50.158999999999999</v>
      </c>
      <c r="F157" s="4">
        <v>135132.08300000001</v>
      </c>
      <c r="G157" s="4">
        <v>135182.242</v>
      </c>
      <c r="H157" s="5">
        <f>5919 / 86400</f>
        <v>6.850694444444444E-2</v>
      </c>
      <c r="I157" t="s">
        <v>32</v>
      </c>
      <c r="J157" t="s">
        <v>43</v>
      </c>
      <c r="K157" s="5">
        <f>12255 / 86400</f>
        <v>0.14184027777777777</v>
      </c>
      <c r="L157" s="5">
        <f>354 / 86400</f>
        <v>4.0972222222222226E-3</v>
      </c>
    </row>
    <row r="158" spans="1:12" x14ac:dyDescent="0.25">
      <c r="A158" s="3">
        <v>45689.814317129625</v>
      </c>
      <c r="B158" t="s">
        <v>162</v>
      </c>
      <c r="C158" s="3">
        <v>45689.883240740739</v>
      </c>
      <c r="D158" t="s">
        <v>124</v>
      </c>
      <c r="E158" s="4">
        <v>18.873999999999999</v>
      </c>
      <c r="F158" s="4">
        <v>135182.242</v>
      </c>
      <c r="G158" s="4">
        <v>135201.11600000001</v>
      </c>
      <c r="H158" s="5">
        <f>2500 / 86400</f>
        <v>2.8935185185185185E-2</v>
      </c>
      <c r="I158" t="s">
        <v>145</v>
      </c>
      <c r="J158" t="s">
        <v>71</v>
      </c>
      <c r="K158" s="5">
        <f>5955 / 86400</f>
        <v>6.8923611111111116E-2</v>
      </c>
      <c r="L158" s="5">
        <f>601 / 86400</f>
        <v>6.9560185185185185E-3</v>
      </c>
    </row>
    <row r="159" spans="1:12" x14ac:dyDescent="0.25">
      <c r="A159" s="3">
        <v>45689.890196759261</v>
      </c>
      <c r="B159" t="s">
        <v>124</v>
      </c>
      <c r="C159" s="3">
        <v>45689.89770833333</v>
      </c>
      <c r="D159" t="s">
        <v>18</v>
      </c>
      <c r="E159" s="4">
        <v>0.57099999999999995</v>
      </c>
      <c r="F159" s="4">
        <v>135201.11600000001</v>
      </c>
      <c r="G159" s="4">
        <v>135201.68700000001</v>
      </c>
      <c r="H159" s="5">
        <f>419 / 86400</f>
        <v>4.8495370370370368E-3</v>
      </c>
      <c r="I159" t="s">
        <v>164</v>
      </c>
      <c r="J159" t="s">
        <v>121</v>
      </c>
      <c r="K159" s="5">
        <f>648 / 86400</f>
        <v>7.4999999999999997E-3</v>
      </c>
      <c r="L159" s="5">
        <f>4758 / 86400</f>
        <v>5.5069444444444442E-2</v>
      </c>
    </row>
    <row r="160" spans="1:12" x14ac:dyDescent="0.25">
      <c r="A160" s="3">
        <v>45689.952777777777</v>
      </c>
      <c r="B160" t="s">
        <v>18</v>
      </c>
      <c r="C160" s="3">
        <v>45689.955474537041</v>
      </c>
      <c r="D160" t="s">
        <v>18</v>
      </c>
      <c r="E160" s="4">
        <v>4.8000000000000001E-2</v>
      </c>
      <c r="F160" s="4">
        <v>135201.68700000001</v>
      </c>
      <c r="G160" s="4">
        <v>135201.73499999999</v>
      </c>
      <c r="H160" s="5">
        <f>179 / 86400</f>
        <v>2.0717592592592593E-3</v>
      </c>
      <c r="I160" t="s">
        <v>80</v>
      </c>
      <c r="J160" t="s">
        <v>100</v>
      </c>
      <c r="K160" s="5">
        <f>233 / 86400</f>
        <v>2.6967592592592594E-3</v>
      </c>
      <c r="L160" s="5">
        <f>3846 / 86400</f>
        <v>4.4513888888888888E-2</v>
      </c>
    </row>
    <row r="161" spans="1:12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2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12" s="10" customFormat="1" ht="20.100000000000001" customHeight="1" x14ac:dyDescent="0.35">
      <c r="A163" s="15" t="s">
        <v>428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2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1:12" ht="30" x14ac:dyDescent="0.25">
      <c r="A165" s="2" t="s">
        <v>6</v>
      </c>
      <c r="B165" s="2" t="s">
        <v>7</v>
      </c>
      <c r="C165" s="2" t="s">
        <v>8</v>
      </c>
      <c r="D165" s="2" t="s">
        <v>9</v>
      </c>
      <c r="E165" s="2" t="s">
        <v>10</v>
      </c>
      <c r="F165" s="2" t="s">
        <v>11</v>
      </c>
      <c r="G165" s="2" t="s">
        <v>12</v>
      </c>
      <c r="H165" s="2" t="s">
        <v>13</v>
      </c>
      <c r="I165" s="2" t="s">
        <v>14</v>
      </c>
      <c r="J165" s="2" t="s">
        <v>15</v>
      </c>
      <c r="K165" s="2" t="s">
        <v>16</v>
      </c>
      <c r="L165" s="2" t="s">
        <v>17</v>
      </c>
    </row>
    <row r="166" spans="1:12" x14ac:dyDescent="0.25">
      <c r="A166" s="3">
        <v>45689</v>
      </c>
      <c r="B166" t="s">
        <v>33</v>
      </c>
      <c r="C166" s="3">
        <v>45689.000613425931</v>
      </c>
      <c r="D166" t="s">
        <v>33</v>
      </c>
      <c r="E166" s="4">
        <v>0.63846897006034853</v>
      </c>
      <c r="F166" s="4">
        <v>345716.87527752359</v>
      </c>
      <c r="G166" s="4">
        <v>345717.51374649361</v>
      </c>
      <c r="H166" s="5">
        <f t="shared" ref="H166:H229" si="0">0 / 86400</f>
        <v>0</v>
      </c>
      <c r="I166" t="s">
        <v>152</v>
      </c>
      <c r="J166" t="s">
        <v>165</v>
      </c>
      <c r="K166" s="5">
        <f>53 / 86400</f>
        <v>6.134259259259259E-4</v>
      </c>
      <c r="L166" s="5">
        <f>140 / 86400</f>
        <v>1.6203703703703703E-3</v>
      </c>
    </row>
    <row r="167" spans="1:12" x14ac:dyDescent="0.25">
      <c r="A167" s="3">
        <v>45689.002233796295</v>
      </c>
      <c r="B167" t="s">
        <v>33</v>
      </c>
      <c r="C167" s="3">
        <v>45689.003622685181</v>
      </c>
      <c r="D167" t="s">
        <v>166</v>
      </c>
      <c r="E167" s="4">
        <v>0.6320916051268578</v>
      </c>
      <c r="F167" s="4">
        <v>345717.52630811406</v>
      </c>
      <c r="G167" s="4">
        <v>345718.15839971916</v>
      </c>
      <c r="H167" s="5">
        <f t="shared" si="0"/>
        <v>0</v>
      </c>
      <c r="I167" t="s">
        <v>167</v>
      </c>
      <c r="J167" t="s">
        <v>49</v>
      </c>
      <c r="K167" s="5">
        <f>120 / 86400</f>
        <v>1.3888888888888889E-3</v>
      </c>
      <c r="L167" s="5">
        <f>20 / 86400</f>
        <v>2.3148148148148149E-4</v>
      </c>
    </row>
    <row r="168" spans="1:12" x14ac:dyDescent="0.25">
      <c r="A168" s="3">
        <v>45689.003854166665</v>
      </c>
      <c r="B168" t="s">
        <v>168</v>
      </c>
      <c r="C168" s="3">
        <v>45689.005312499998</v>
      </c>
      <c r="D168" t="s">
        <v>169</v>
      </c>
      <c r="E168" s="4">
        <v>0.71643153142929072</v>
      </c>
      <c r="F168" s="4">
        <v>345718.18441204674</v>
      </c>
      <c r="G168" s="4">
        <v>345718.90084357816</v>
      </c>
      <c r="H168" s="5">
        <f t="shared" si="0"/>
        <v>0</v>
      </c>
      <c r="I168" t="s">
        <v>167</v>
      </c>
      <c r="J168" t="s">
        <v>62</v>
      </c>
      <c r="K168" s="5">
        <f>126 / 86400</f>
        <v>1.4583333333333334E-3</v>
      </c>
      <c r="L168" s="5">
        <f>20 / 86400</f>
        <v>2.3148148148148149E-4</v>
      </c>
    </row>
    <row r="169" spans="1:12" x14ac:dyDescent="0.25">
      <c r="A169" s="3">
        <v>45689.005543981482</v>
      </c>
      <c r="B169" t="s">
        <v>94</v>
      </c>
      <c r="C169" s="3">
        <v>45689.006469907406</v>
      </c>
      <c r="D169" t="s">
        <v>94</v>
      </c>
      <c r="E169" s="4">
        <v>0.44543402814865113</v>
      </c>
      <c r="F169" s="4">
        <v>345719.00659799407</v>
      </c>
      <c r="G169" s="4">
        <v>345719.45203202224</v>
      </c>
      <c r="H169" s="5">
        <f t="shared" si="0"/>
        <v>0</v>
      </c>
      <c r="I169" t="s">
        <v>107</v>
      </c>
      <c r="J169" t="s">
        <v>62</v>
      </c>
      <c r="K169" s="5">
        <f>80 / 86400</f>
        <v>9.2592592592592596E-4</v>
      </c>
      <c r="L169" s="5">
        <f>17 / 86400</f>
        <v>1.9675925925925926E-4</v>
      </c>
    </row>
    <row r="170" spans="1:12" x14ac:dyDescent="0.25">
      <c r="A170" s="3">
        <v>45689.006666666668</v>
      </c>
      <c r="B170" t="s">
        <v>94</v>
      </c>
      <c r="C170" s="3">
        <v>45689.007280092592</v>
      </c>
      <c r="D170" t="s">
        <v>94</v>
      </c>
      <c r="E170" s="4">
        <v>0.49863709342479706</v>
      </c>
      <c r="F170" s="4">
        <v>345719.45370805671</v>
      </c>
      <c r="G170" s="4">
        <v>345719.95234515012</v>
      </c>
      <c r="H170" s="5">
        <f t="shared" si="0"/>
        <v>0</v>
      </c>
      <c r="I170" t="s">
        <v>170</v>
      </c>
      <c r="J170" t="s">
        <v>167</v>
      </c>
      <c r="K170" s="5">
        <f>53 / 86400</f>
        <v>6.134259259259259E-4</v>
      </c>
      <c r="L170" s="5">
        <f>40 / 86400</f>
        <v>4.6296296296296298E-4</v>
      </c>
    </row>
    <row r="171" spans="1:12" x14ac:dyDescent="0.25">
      <c r="A171" s="3">
        <v>45689.007743055554</v>
      </c>
      <c r="B171" t="s">
        <v>171</v>
      </c>
      <c r="C171" s="3">
        <v>45689.008668981478</v>
      </c>
      <c r="D171" t="s">
        <v>172</v>
      </c>
      <c r="E171" s="4">
        <v>0.2909733904004097</v>
      </c>
      <c r="F171" s="4">
        <v>345719.97439895623</v>
      </c>
      <c r="G171" s="4">
        <v>345720.26537234662</v>
      </c>
      <c r="H171" s="5">
        <f t="shared" si="0"/>
        <v>0</v>
      </c>
      <c r="I171" t="s">
        <v>173</v>
      </c>
      <c r="J171" t="s">
        <v>31</v>
      </c>
      <c r="K171" s="5">
        <f>80 / 86400</f>
        <v>9.2592592592592596E-4</v>
      </c>
      <c r="L171" s="5">
        <f>14 / 86400</f>
        <v>1.6203703703703703E-4</v>
      </c>
    </row>
    <row r="172" spans="1:12" x14ac:dyDescent="0.25">
      <c r="A172" s="3">
        <v>45689.008831018524</v>
      </c>
      <c r="B172" t="s">
        <v>174</v>
      </c>
      <c r="C172" s="3">
        <v>45689.009791666671</v>
      </c>
      <c r="D172" t="s">
        <v>175</v>
      </c>
      <c r="E172" s="4">
        <v>0.42161748087406159</v>
      </c>
      <c r="F172" s="4">
        <v>345720.50214593956</v>
      </c>
      <c r="G172" s="4">
        <v>345720.92376342049</v>
      </c>
      <c r="H172" s="5">
        <f t="shared" si="0"/>
        <v>0</v>
      </c>
      <c r="I172" t="s">
        <v>154</v>
      </c>
      <c r="J172" t="s">
        <v>23</v>
      </c>
      <c r="K172" s="5">
        <f>83 / 86400</f>
        <v>9.6064814814814819E-4</v>
      </c>
      <c r="L172" s="5">
        <f>6 / 86400</f>
        <v>6.9444444444444444E-5</v>
      </c>
    </row>
    <row r="173" spans="1:12" x14ac:dyDescent="0.25">
      <c r="A173" s="3">
        <v>45689.00986111111</v>
      </c>
      <c r="B173" t="s">
        <v>176</v>
      </c>
      <c r="C173" s="3">
        <v>45689.012129629627</v>
      </c>
      <c r="D173" t="s">
        <v>177</v>
      </c>
      <c r="E173" s="4">
        <v>1.1934759930968284</v>
      </c>
      <c r="F173" s="4">
        <v>345720.92859835335</v>
      </c>
      <c r="G173" s="4">
        <v>345722.12207434641</v>
      </c>
      <c r="H173" s="5">
        <f t="shared" si="0"/>
        <v>0</v>
      </c>
      <c r="I173" t="s">
        <v>178</v>
      </c>
      <c r="J173" t="s">
        <v>119</v>
      </c>
      <c r="K173" s="5">
        <f>196 / 86400</f>
        <v>2.2685185185185187E-3</v>
      </c>
      <c r="L173" s="5">
        <f>5 / 86400</f>
        <v>5.7870370370370373E-5</v>
      </c>
    </row>
    <row r="174" spans="1:12" x14ac:dyDescent="0.25">
      <c r="A174" s="3">
        <v>45689.012187500004</v>
      </c>
      <c r="B174" t="s">
        <v>177</v>
      </c>
      <c r="C174" s="3">
        <v>45689.014965277776</v>
      </c>
      <c r="D174" t="s">
        <v>108</v>
      </c>
      <c r="E174" s="4">
        <v>1.8169170774221419</v>
      </c>
      <c r="F174" s="4">
        <v>345722.13048092538</v>
      </c>
      <c r="G174" s="4">
        <v>345723.94739800278</v>
      </c>
      <c r="H174" s="5">
        <f t="shared" si="0"/>
        <v>0</v>
      </c>
      <c r="I174" t="s">
        <v>179</v>
      </c>
      <c r="J174" t="s">
        <v>141</v>
      </c>
      <c r="K174" s="5">
        <f>240 / 86400</f>
        <v>2.7777777777777779E-3</v>
      </c>
      <c r="L174" s="5">
        <f>9 / 86400</f>
        <v>1.0416666666666667E-4</v>
      </c>
    </row>
    <row r="175" spans="1:12" x14ac:dyDescent="0.25">
      <c r="A175" s="3">
        <v>45689.015069444446</v>
      </c>
      <c r="B175" t="s">
        <v>108</v>
      </c>
      <c r="C175" s="3">
        <v>45689.017395833333</v>
      </c>
      <c r="D175" t="s">
        <v>180</v>
      </c>
      <c r="E175" s="4">
        <v>1.407572348833084</v>
      </c>
      <c r="F175" s="4">
        <v>345723.95433930674</v>
      </c>
      <c r="G175" s="4">
        <v>345725.36191165558</v>
      </c>
      <c r="H175" s="5">
        <f t="shared" si="0"/>
        <v>0</v>
      </c>
      <c r="I175" t="s">
        <v>181</v>
      </c>
      <c r="J175" t="s">
        <v>123</v>
      </c>
      <c r="K175" s="5">
        <f>201 / 86400</f>
        <v>2.3263888888888887E-3</v>
      </c>
      <c r="L175" s="5">
        <f>9 / 86400</f>
        <v>1.0416666666666667E-4</v>
      </c>
    </row>
    <row r="176" spans="1:12" x14ac:dyDescent="0.25">
      <c r="A176" s="3">
        <v>45689.017500000002</v>
      </c>
      <c r="B176" t="s">
        <v>182</v>
      </c>
      <c r="C176" s="3">
        <v>45689.019803240742</v>
      </c>
      <c r="D176" t="s">
        <v>183</v>
      </c>
      <c r="E176" s="4">
        <v>0.7837368375062943</v>
      </c>
      <c r="F176" s="4">
        <v>345725.6660940352</v>
      </c>
      <c r="G176" s="4">
        <v>345726.44983087271</v>
      </c>
      <c r="H176" s="5">
        <f t="shared" si="0"/>
        <v>0</v>
      </c>
      <c r="I176" t="s">
        <v>184</v>
      </c>
      <c r="J176" t="s">
        <v>51</v>
      </c>
      <c r="K176" s="5">
        <f>199 / 86400</f>
        <v>2.3032407407407407E-3</v>
      </c>
      <c r="L176" s="5">
        <f>25 / 86400</f>
        <v>2.8935185185185184E-4</v>
      </c>
    </row>
    <row r="177" spans="1:12" x14ac:dyDescent="0.25">
      <c r="A177" s="3">
        <v>45689.020092592589</v>
      </c>
      <c r="B177" t="s">
        <v>183</v>
      </c>
      <c r="C177" s="3">
        <v>45689.021250000005</v>
      </c>
      <c r="D177" t="s">
        <v>185</v>
      </c>
      <c r="E177" s="4">
        <v>0.43608354449272158</v>
      </c>
      <c r="F177" s="4">
        <v>345726.45441312931</v>
      </c>
      <c r="G177" s="4">
        <v>345726.89049667382</v>
      </c>
      <c r="H177" s="5">
        <f t="shared" si="0"/>
        <v>0</v>
      </c>
      <c r="I177" t="s">
        <v>141</v>
      </c>
      <c r="J177" t="s">
        <v>26</v>
      </c>
      <c r="K177" s="5">
        <f>100 / 86400</f>
        <v>1.1574074074074073E-3</v>
      </c>
      <c r="L177" s="5">
        <f>20 / 86400</f>
        <v>2.3148148148148149E-4</v>
      </c>
    </row>
    <row r="178" spans="1:12" x14ac:dyDescent="0.25">
      <c r="A178" s="3">
        <v>45689.021481481483</v>
      </c>
      <c r="B178" t="s">
        <v>185</v>
      </c>
      <c r="C178" s="3">
        <v>45689.025034722217</v>
      </c>
      <c r="D178" t="s">
        <v>186</v>
      </c>
      <c r="E178" s="4">
        <v>1.5535285903811455</v>
      </c>
      <c r="F178" s="4">
        <v>345726.89793544734</v>
      </c>
      <c r="G178" s="4">
        <v>345728.4514640377</v>
      </c>
      <c r="H178" s="5">
        <f t="shared" si="0"/>
        <v>0</v>
      </c>
      <c r="I178" t="s">
        <v>179</v>
      </c>
      <c r="J178" t="s">
        <v>23</v>
      </c>
      <c r="K178" s="5">
        <f>307 / 86400</f>
        <v>3.5532407407407409E-3</v>
      </c>
      <c r="L178" s="5">
        <f>13 / 86400</f>
        <v>1.5046296296296297E-4</v>
      </c>
    </row>
    <row r="179" spans="1:12" x14ac:dyDescent="0.25">
      <c r="A179" s="3">
        <v>45689.025185185186</v>
      </c>
      <c r="B179" t="s">
        <v>186</v>
      </c>
      <c r="C179" s="3">
        <v>45689.028981481482</v>
      </c>
      <c r="D179" t="s">
        <v>187</v>
      </c>
      <c r="E179" s="4">
        <v>3.2890697665214539</v>
      </c>
      <c r="F179" s="4">
        <v>345728.46496927255</v>
      </c>
      <c r="G179" s="4">
        <v>345731.75403903908</v>
      </c>
      <c r="H179" s="5">
        <f t="shared" si="0"/>
        <v>0</v>
      </c>
      <c r="I179" t="s">
        <v>188</v>
      </c>
      <c r="J179" t="s">
        <v>189</v>
      </c>
      <c r="K179" s="5">
        <f>328 / 86400</f>
        <v>3.7962962962962963E-3</v>
      </c>
      <c r="L179" s="5">
        <f>12 / 86400</f>
        <v>1.3888888888888889E-4</v>
      </c>
    </row>
    <row r="180" spans="1:12" x14ac:dyDescent="0.25">
      <c r="A180" s="3">
        <v>45689.029120370367</v>
      </c>
      <c r="B180" t="s">
        <v>190</v>
      </c>
      <c r="C180" s="3">
        <v>45689.029351851852</v>
      </c>
      <c r="D180" t="s">
        <v>191</v>
      </c>
      <c r="E180" s="4">
        <v>4.192508417367935E-2</v>
      </c>
      <c r="F180" s="4">
        <v>345731.76456357091</v>
      </c>
      <c r="G180" s="4">
        <v>345731.8064886551</v>
      </c>
      <c r="H180" s="5">
        <f t="shared" si="0"/>
        <v>0</v>
      </c>
      <c r="I180" t="s">
        <v>56</v>
      </c>
      <c r="J180" t="s">
        <v>120</v>
      </c>
      <c r="K180" s="5">
        <f>20 / 86400</f>
        <v>2.3148148148148149E-4</v>
      </c>
      <c r="L180" s="5">
        <f>60 / 86400</f>
        <v>6.9444444444444447E-4</v>
      </c>
    </row>
    <row r="181" spans="1:12" x14ac:dyDescent="0.25">
      <c r="A181" s="3">
        <v>45689.030046296291</v>
      </c>
      <c r="B181" t="s">
        <v>192</v>
      </c>
      <c r="C181" s="3">
        <v>45689.030509259261</v>
      </c>
      <c r="D181" t="s">
        <v>193</v>
      </c>
      <c r="E181" s="4">
        <v>8.7786961495876309E-2</v>
      </c>
      <c r="F181" s="4">
        <v>345731.89262008242</v>
      </c>
      <c r="G181" s="4">
        <v>345731.98040704394</v>
      </c>
      <c r="H181" s="5">
        <f t="shared" si="0"/>
        <v>0</v>
      </c>
      <c r="I181" t="s">
        <v>20</v>
      </c>
      <c r="J181" t="s">
        <v>120</v>
      </c>
      <c r="K181" s="5">
        <f>40 / 86400</f>
        <v>4.6296296296296298E-4</v>
      </c>
      <c r="L181" s="5">
        <f>35 / 86400</f>
        <v>4.0509259259259258E-4</v>
      </c>
    </row>
    <row r="182" spans="1:12" x14ac:dyDescent="0.25">
      <c r="A182" s="3">
        <v>45689.030914351853</v>
      </c>
      <c r="B182" t="s">
        <v>193</v>
      </c>
      <c r="C182" s="3">
        <v>45689.031377314815</v>
      </c>
      <c r="D182" t="s">
        <v>194</v>
      </c>
      <c r="E182" s="4">
        <v>0.2381254895925522</v>
      </c>
      <c r="F182" s="4">
        <v>345731.98765087081</v>
      </c>
      <c r="G182" s="4">
        <v>345732.22577636037</v>
      </c>
      <c r="H182" s="5">
        <f t="shared" si="0"/>
        <v>0</v>
      </c>
      <c r="I182" t="s">
        <v>147</v>
      </c>
      <c r="J182" t="s">
        <v>20</v>
      </c>
      <c r="K182" s="5">
        <f>40 / 86400</f>
        <v>4.6296296296296298E-4</v>
      </c>
      <c r="L182" s="5">
        <f>9 / 86400</f>
        <v>1.0416666666666667E-4</v>
      </c>
    </row>
    <row r="183" spans="1:12" x14ac:dyDescent="0.25">
      <c r="A183" s="3">
        <v>45689.031481481477</v>
      </c>
      <c r="B183" t="s">
        <v>195</v>
      </c>
      <c r="C183" s="3">
        <v>45689.032314814816</v>
      </c>
      <c r="D183" t="s">
        <v>196</v>
      </c>
      <c r="E183" s="4">
        <v>0.41659170663356782</v>
      </c>
      <c r="F183" s="4">
        <v>345732.24734746345</v>
      </c>
      <c r="G183" s="4">
        <v>345732.66393917007</v>
      </c>
      <c r="H183" s="5">
        <f t="shared" si="0"/>
        <v>0</v>
      </c>
      <c r="I183" t="s">
        <v>138</v>
      </c>
      <c r="J183" t="s">
        <v>20</v>
      </c>
      <c r="K183" s="5">
        <f>72 / 86400</f>
        <v>8.3333333333333339E-4</v>
      </c>
      <c r="L183" s="5">
        <f>20 / 86400</f>
        <v>2.3148148148148149E-4</v>
      </c>
    </row>
    <row r="184" spans="1:12" x14ac:dyDescent="0.25">
      <c r="A184" s="3">
        <v>45689.032546296294</v>
      </c>
      <c r="B184" t="s">
        <v>196</v>
      </c>
      <c r="C184" s="3">
        <v>45689.032789351855</v>
      </c>
      <c r="D184" t="s">
        <v>196</v>
      </c>
      <c r="E184" s="4">
        <v>6.0870669484138487E-3</v>
      </c>
      <c r="F184" s="4">
        <v>345732.67325805197</v>
      </c>
      <c r="G184" s="4">
        <v>345732.67934511893</v>
      </c>
      <c r="H184" s="5">
        <f t="shared" si="0"/>
        <v>0</v>
      </c>
      <c r="I184" t="s">
        <v>100</v>
      </c>
      <c r="J184" t="s">
        <v>100</v>
      </c>
      <c r="K184" s="5">
        <f>21 / 86400</f>
        <v>2.4305555555555555E-4</v>
      </c>
      <c r="L184" s="5">
        <f>14 / 86400</f>
        <v>1.6203703703703703E-4</v>
      </c>
    </row>
    <row r="185" spans="1:12" x14ac:dyDescent="0.25">
      <c r="A185" s="3">
        <v>45689.032951388886</v>
      </c>
      <c r="B185" t="s">
        <v>196</v>
      </c>
      <c r="C185" s="3">
        <v>45689.033194444448</v>
      </c>
      <c r="D185" t="s">
        <v>197</v>
      </c>
      <c r="E185" s="4">
        <v>3.9679209470748898E-2</v>
      </c>
      <c r="F185" s="4">
        <v>345732.69256354042</v>
      </c>
      <c r="G185" s="4">
        <v>345732.73224274989</v>
      </c>
      <c r="H185" s="5">
        <f t="shared" si="0"/>
        <v>0</v>
      </c>
      <c r="I185" t="s">
        <v>56</v>
      </c>
      <c r="J185" t="s">
        <v>126</v>
      </c>
      <c r="K185" s="5">
        <f>21 / 86400</f>
        <v>2.4305555555555555E-4</v>
      </c>
      <c r="L185" s="5">
        <f>8612 / 86400</f>
        <v>9.9675925925925932E-2</v>
      </c>
    </row>
    <row r="186" spans="1:12" x14ac:dyDescent="0.25">
      <c r="A186" s="3">
        <v>45689.132870370369</v>
      </c>
      <c r="B186" t="s">
        <v>197</v>
      </c>
      <c r="C186" s="3">
        <v>45689.136759259258</v>
      </c>
      <c r="D186" t="s">
        <v>198</v>
      </c>
      <c r="E186" s="4">
        <v>1.2627163223624229</v>
      </c>
      <c r="F186" s="4">
        <v>345732.77945627755</v>
      </c>
      <c r="G186" s="4">
        <v>345734.04217259993</v>
      </c>
      <c r="H186" s="5">
        <f t="shared" si="0"/>
        <v>0</v>
      </c>
      <c r="I186" t="s">
        <v>49</v>
      </c>
      <c r="J186" t="s">
        <v>51</v>
      </c>
      <c r="K186" s="5">
        <f>336 / 86400</f>
        <v>3.8888888888888888E-3</v>
      </c>
      <c r="L186" s="5">
        <f>20 / 86400</f>
        <v>2.3148148148148149E-4</v>
      </c>
    </row>
    <row r="187" spans="1:12" x14ac:dyDescent="0.25">
      <c r="A187" s="3">
        <v>45689.136990740742</v>
      </c>
      <c r="B187" t="s">
        <v>198</v>
      </c>
      <c r="C187" s="3">
        <v>45689.137662037036</v>
      </c>
      <c r="D187" t="s">
        <v>199</v>
      </c>
      <c r="E187" s="4">
        <v>0.10009045803546905</v>
      </c>
      <c r="F187" s="4">
        <v>345734.0500702025</v>
      </c>
      <c r="G187" s="4">
        <v>345734.15016066056</v>
      </c>
      <c r="H187" s="5">
        <f t="shared" si="0"/>
        <v>0</v>
      </c>
      <c r="I187" t="s">
        <v>71</v>
      </c>
      <c r="J187" t="s">
        <v>92</v>
      </c>
      <c r="K187" s="5">
        <f>58 / 86400</f>
        <v>6.7129629629629625E-4</v>
      </c>
      <c r="L187" s="5">
        <f>14 / 86400</f>
        <v>1.6203703703703703E-4</v>
      </c>
    </row>
    <row r="188" spans="1:12" x14ac:dyDescent="0.25">
      <c r="A188" s="3">
        <v>45689.137824074074</v>
      </c>
      <c r="B188" t="s">
        <v>199</v>
      </c>
      <c r="C188" s="3">
        <v>45689.143796296295</v>
      </c>
      <c r="D188" t="s">
        <v>200</v>
      </c>
      <c r="E188" s="4">
        <v>2.6807177494168282</v>
      </c>
      <c r="F188" s="4">
        <v>345734.16117247462</v>
      </c>
      <c r="G188" s="4">
        <v>345736.84189022402</v>
      </c>
      <c r="H188" s="5">
        <f t="shared" si="0"/>
        <v>0</v>
      </c>
      <c r="I188" t="s">
        <v>147</v>
      </c>
      <c r="J188" t="s">
        <v>49</v>
      </c>
      <c r="K188" s="5">
        <f>516 / 86400</f>
        <v>5.9722222222222225E-3</v>
      </c>
      <c r="L188" s="5">
        <f>40 / 86400</f>
        <v>4.6296296296296298E-4</v>
      </c>
    </row>
    <row r="189" spans="1:12" x14ac:dyDescent="0.25">
      <c r="A189" s="3">
        <v>45689.144259259258</v>
      </c>
      <c r="B189" t="s">
        <v>200</v>
      </c>
      <c r="C189" s="3">
        <v>45689.147569444445</v>
      </c>
      <c r="D189" t="s">
        <v>201</v>
      </c>
      <c r="E189" s="4">
        <v>0.92605861061811445</v>
      </c>
      <c r="F189" s="4">
        <v>345736.85713708686</v>
      </c>
      <c r="G189" s="4">
        <v>345737.78319569747</v>
      </c>
      <c r="H189" s="5">
        <f t="shared" si="0"/>
        <v>0</v>
      </c>
      <c r="I189" t="s">
        <v>184</v>
      </c>
      <c r="J189" t="s">
        <v>99</v>
      </c>
      <c r="K189" s="5">
        <f>286 / 86400</f>
        <v>3.3101851851851851E-3</v>
      </c>
      <c r="L189" s="5">
        <f>20 / 86400</f>
        <v>2.3148148148148149E-4</v>
      </c>
    </row>
    <row r="190" spans="1:12" x14ac:dyDescent="0.25">
      <c r="A190" s="3">
        <v>45689.14780092593</v>
      </c>
      <c r="B190" t="s">
        <v>201</v>
      </c>
      <c r="C190" s="3">
        <v>45689.15116898148</v>
      </c>
      <c r="D190" t="s">
        <v>202</v>
      </c>
      <c r="E190" s="4">
        <v>1.4061716811060905</v>
      </c>
      <c r="F190" s="4">
        <v>345737.85102254595</v>
      </c>
      <c r="G190" s="4">
        <v>345739.25719422702</v>
      </c>
      <c r="H190" s="5">
        <f t="shared" si="0"/>
        <v>0</v>
      </c>
      <c r="I190" t="s">
        <v>178</v>
      </c>
      <c r="J190" t="s">
        <v>30</v>
      </c>
      <c r="K190" s="5">
        <f>291 / 86400</f>
        <v>3.3680555555555556E-3</v>
      </c>
      <c r="L190" s="5">
        <f>20 / 86400</f>
        <v>2.3148148148148149E-4</v>
      </c>
    </row>
    <row r="191" spans="1:12" x14ac:dyDescent="0.25">
      <c r="A191" s="3">
        <v>45689.151400462964</v>
      </c>
      <c r="B191" t="s">
        <v>202</v>
      </c>
      <c r="C191" s="3">
        <v>45689.151631944449</v>
      </c>
      <c r="D191" t="s">
        <v>202</v>
      </c>
      <c r="E191" s="4">
        <v>6.5956377983093263E-4</v>
      </c>
      <c r="F191" s="4">
        <v>345739.26651499135</v>
      </c>
      <c r="G191" s="4">
        <v>345739.26717455511</v>
      </c>
      <c r="H191" s="5">
        <f t="shared" si="0"/>
        <v>0</v>
      </c>
      <c r="I191" t="s">
        <v>100</v>
      </c>
      <c r="J191" t="s">
        <v>37</v>
      </c>
      <c r="K191" s="5">
        <f>20 / 86400</f>
        <v>2.3148148148148149E-4</v>
      </c>
      <c r="L191" s="5">
        <f>120 / 86400</f>
        <v>1.3888888888888889E-3</v>
      </c>
    </row>
    <row r="192" spans="1:12" x14ac:dyDescent="0.25">
      <c r="A192" s="3">
        <v>45689.153020833328</v>
      </c>
      <c r="B192" t="s">
        <v>203</v>
      </c>
      <c r="C192" s="3">
        <v>45689.15325231482</v>
      </c>
      <c r="D192" t="s">
        <v>203</v>
      </c>
      <c r="E192" s="4">
        <v>2.8686930239200593E-2</v>
      </c>
      <c r="F192" s="4">
        <v>345739.28375436855</v>
      </c>
      <c r="G192" s="4">
        <v>345739.3124412988</v>
      </c>
      <c r="H192" s="5">
        <f t="shared" si="0"/>
        <v>0</v>
      </c>
      <c r="I192" t="s">
        <v>126</v>
      </c>
      <c r="J192" t="s">
        <v>56</v>
      </c>
      <c r="K192" s="5">
        <f>20 / 86400</f>
        <v>2.3148148148148149E-4</v>
      </c>
      <c r="L192" s="5">
        <f>20 / 86400</f>
        <v>2.3148148148148149E-4</v>
      </c>
    </row>
    <row r="193" spans="1:12" x14ac:dyDescent="0.25">
      <c r="A193" s="3">
        <v>45689.153483796297</v>
      </c>
      <c r="B193" t="s">
        <v>203</v>
      </c>
      <c r="C193" s="3">
        <v>45689.156354166669</v>
      </c>
      <c r="D193" t="s">
        <v>204</v>
      </c>
      <c r="E193" s="4">
        <v>1.897399972140789</v>
      </c>
      <c r="F193" s="4">
        <v>345739.35292118153</v>
      </c>
      <c r="G193" s="4">
        <v>345741.25032115373</v>
      </c>
      <c r="H193" s="5">
        <f t="shared" si="0"/>
        <v>0</v>
      </c>
      <c r="I193" t="s">
        <v>138</v>
      </c>
      <c r="J193" t="s">
        <v>149</v>
      </c>
      <c r="K193" s="5">
        <f>248 / 86400</f>
        <v>2.8703703703703703E-3</v>
      </c>
      <c r="L193" s="5">
        <f>20 / 86400</f>
        <v>2.3148148148148149E-4</v>
      </c>
    </row>
    <row r="194" spans="1:12" x14ac:dyDescent="0.25">
      <c r="A194" s="3">
        <v>45689.156585648147</v>
      </c>
      <c r="B194" t="s">
        <v>204</v>
      </c>
      <c r="C194" s="3">
        <v>45689.158206018517</v>
      </c>
      <c r="D194" t="s">
        <v>205</v>
      </c>
      <c r="E194" s="4">
        <v>1.1028153132796288</v>
      </c>
      <c r="F194" s="4">
        <v>345741.3385334558</v>
      </c>
      <c r="G194" s="4">
        <v>345742.44134876906</v>
      </c>
      <c r="H194" s="5">
        <f t="shared" si="0"/>
        <v>0</v>
      </c>
      <c r="I194" t="s">
        <v>206</v>
      </c>
      <c r="J194" t="s">
        <v>149</v>
      </c>
      <c r="K194" s="5">
        <f>140 / 86400</f>
        <v>1.6203703703703703E-3</v>
      </c>
      <c r="L194" s="5">
        <f>20 / 86400</f>
        <v>2.3148148148148149E-4</v>
      </c>
    </row>
    <row r="195" spans="1:12" x14ac:dyDescent="0.25">
      <c r="A195" s="3">
        <v>45689.158437499995</v>
      </c>
      <c r="B195" t="s">
        <v>207</v>
      </c>
      <c r="C195" s="3">
        <v>45689.160520833335</v>
      </c>
      <c r="D195" t="s">
        <v>208</v>
      </c>
      <c r="E195" s="4">
        <v>0.91904417586326603</v>
      </c>
      <c r="F195" s="4">
        <v>345742.51104505901</v>
      </c>
      <c r="G195" s="4">
        <v>345743.4300892349</v>
      </c>
      <c r="H195" s="5">
        <f t="shared" si="0"/>
        <v>0</v>
      </c>
      <c r="I195" t="s">
        <v>149</v>
      </c>
      <c r="J195" t="s">
        <v>23</v>
      </c>
      <c r="K195" s="5">
        <f>180 / 86400</f>
        <v>2.0833333333333333E-3</v>
      </c>
      <c r="L195" s="5">
        <f>12 / 86400</f>
        <v>1.3888888888888889E-4</v>
      </c>
    </row>
    <row r="196" spans="1:12" x14ac:dyDescent="0.25">
      <c r="A196" s="3">
        <v>45689.160659722227</v>
      </c>
      <c r="B196" t="s">
        <v>209</v>
      </c>
      <c r="C196" s="3">
        <v>45689.161296296297</v>
      </c>
      <c r="D196" t="s">
        <v>210</v>
      </c>
      <c r="E196" s="4">
        <v>7.7224767446517947E-2</v>
      </c>
      <c r="F196" s="4">
        <v>345743.44572836405</v>
      </c>
      <c r="G196" s="4">
        <v>345743.52295313147</v>
      </c>
      <c r="H196" s="5">
        <f t="shared" si="0"/>
        <v>0</v>
      </c>
      <c r="I196" t="s">
        <v>116</v>
      </c>
      <c r="J196" t="s">
        <v>56</v>
      </c>
      <c r="K196" s="5">
        <f>55 / 86400</f>
        <v>6.3657407407407413E-4</v>
      </c>
      <c r="L196" s="5">
        <f>60 / 86400</f>
        <v>6.9444444444444447E-4</v>
      </c>
    </row>
    <row r="197" spans="1:12" x14ac:dyDescent="0.25">
      <c r="A197" s="3">
        <v>45689.161990740744</v>
      </c>
      <c r="B197" t="s">
        <v>211</v>
      </c>
      <c r="C197" s="3">
        <v>45689.16673611111</v>
      </c>
      <c r="D197" t="s">
        <v>169</v>
      </c>
      <c r="E197" s="4">
        <v>2.3306452952027321</v>
      </c>
      <c r="F197" s="4">
        <v>345743.57204938977</v>
      </c>
      <c r="G197" s="4">
        <v>345745.90269468498</v>
      </c>
      <c r="H197" s="5">
        <f t="shared" si="0"/>
        <v>0</v>
      </c>
      <c r="I197" t="s">
        <v>151</v>
      </c>
      <c r="J197" t="s">
        <v>62</v>
      </c>
      <c r="K197" s="5">
        <f>410 / 86400</f>
        <v>4.7453703703703703E-3</v>
      </c>
      <c r="L197" s="5">
        <f>7 / 86400</f>
        <v>8.1018518518518516E-5</v>
      </c>
    </row>
    <row r="198" spans="1:12" x14ac:dyDescent="0.25">
      <c r="A198" s="3">
        <v>45689.166817129633</v>
      </c>
      <c r="B198" t="s">
        <v>169</v>
      </c>
      <c r="C198" s="3">
        <v>45689.168437500004</v>
      </c>
      <c r="D198" t="s">
        <v>33</v>
      </c>
      <c r="E198" s="4">
        <v>0.71814813727140425</v>
      </c>
      <c r="F198" s="4">
        <v>345745.9051563894</v>
      </c>
      <c r="G198" s="4">
        <v>345746.62330452667</v>
      </c>
      <c r="H198" s="5">
        <f t="shared" si="0"/>
        <v>0</v>
      </c>
      <c r="I198" t="s">
        <v>184</v>
      </c>
      <c r="J198" t="s">
        <v>23</v>
      </c>
      <c r="K198" s="5">
        <f>140 / 86400</f>
        <v>1.6203703703703703E-3</v>
      </c>
      <c r="L198" s="5">
        <f t="shared" ref="L198:L208" si="1">20 / 86400</f>
        <v>2.3148148148148149E-4</v>
      </c>
    </row>
    <row r="199" spans="1:12" x14ac:dyDescent="0.25">
      <c r="A199" s="3">
        <v>45689.168668981481</v>
      </c>
      <c r="B199" t="s">
        <v>168</v>
      </c>
      <c r="C199" s="3">
        <v>45689.1721412037</v>
      </c>
      <c r="D199" t="s">
        <v>212</v>
      </c>
      <c r="E199" s="4">
        <v>1.3888166828751565</v>
      </c>
      <c r="F199" s="4">
        <v>345746.68734886841</v>
      </c>
      <c r="G199" s="4">
        <v>345748.07616555132</v>
      </c>
      <c r="H199" s="5">
        <f t="shared" si="0"/>
        <v>0</v>
      </c>
      <c r="I199" t="s">
        <v>206</v>
      </c>
      <c r="J199" t="s">
        <v>30</v>
      </c>
      <c r="K199" s="5">
        <f>300 / 86400</f>
        <v>3.472222222222222E-3</v>
      </c>
      <c r="L199" s="5">
        <f t="shared" si="1"/>
        <v>2.3148148148148149E-4</v>
      </c>
    </row>
    <row r="200" spans="1:12" x14ac:dyDescent="0.25">
      <c r="A200" s="3">
        <v>45689.172372685185</v>
      </c>
      <c r="B200" t="s">
        <v>212</v>
      </c>
      <c r="C200" s="3">
        <v>45689.181307870371</v>
      </c>
      <c r="D200" t="s">
        <v>213</v>
      </c>
      <c r="E200" s="4">
        <v>4.2632669234871861</v>
      </c>
      <c r="F200" s="4">
        <v>345748.12100096222</v>
      </c>
      <c r="G200" s="4">
        <v>345752.3842678857</v>
      </c>
      <c r="H200" s="5">
        <f t="shared" si="0"/>
        <v>0</v>
      </c>
      <c r="I200" t="s">
        <v>214</v>
      </c>
      <c r="J200" t="s">
        <v>62</v>
      </c>
      <c r="K200" s="5">
        <f>772 / 86400</f>
        <v>8.9351851851851849E-3</v>
      </c>
      <c r="L200" s="5">
        <f t="shared" si="1"/>
        <v>2.3148148148148149E-4</v>
      </c>
    </row>
    <row r="201" spans="1:12" x14ac:dyDescent="0.25">
      <c r="A201" s="3">
        <v>45689.181539351848</v>
      </c>
      <c r="B201" t="s">
        <v>213</v>
      </c>
      <c r="C201" s="3">
        <v>45689.182928240742</v>
      </c>
      <c r="D201" t="s">
        <v>213</v>
      </c>
      <c r="E201" s="4">
        <v>1.1526442102789878</v>
      </c>
      <c r="F201" s="4">
        <v>345752.45604242029</v>
      </c>
      <c r="G201" s="4">
        <v>345753.60868663056</v>
      </c>
      <c r="H201" s="5">
        <f t="shared" si="0"/>
        <v>0</v>
      </c>
      <c r="I201" t="s">
        <v>165</v>
      </c>
      <c r="J201" t="s">
        <v>138</v>
      </c>
      <c r="K201" s="5">
        <f>120 / 86400</f>
        <v>1.3888888888888889E-3</v>
      </c>
      <c r="L201" s="5">
        <f t="shared" si="1"/>
        <v>2.3148148148148149E-4</v>
      </c>
    </row>
    <row r="202" spans="1:12" x14ac:dyDescent="0.25">
      <c r="A202" s="3">
        <v>45689.183159722219</v>
      </c>
      <c r="B202" t="s">
        <v>213</v>
      </c>
      <c r="C202" s="3">
        <v>45689.184317129635</v>
      </c>
      <c r="D202" t="s">
        <v>75</v>
      </c>
      <c r="E202" s="4">
        <v>0.76220629584789279</v>
      </c>
      <c r="F202" s="4">
        <v>345753.63026643591</v>
      </c>
      <c r="G202" s="4">
        <v>345754.39247273176</v>
      </c>
      <c r="H202" s="5">
        <f t="shared" si="0"/>
        <v>0</v>
      </c>
      <c r="I202" t="s">
        <v>170</v>
      </c>
      <c r="J202" t="s">
        <v>141</v>
      </c>
      <c r="K202" s="5">
        <f>100 / 86400</f>
        <v>1.1574074074074073E-3</v>
      </c>
      <c r="L202" s="5">
        <f t="shared" si="1"/>
        <v>2.3148148148148149E-4</v>
      </c>
    </row>
    <row r="203" spans="1:12" x14ac:dyDescent="0.25">
      <c r="A203" s="3">
        <v>45689.184548611112</v>
      </c>
      <c r="B203" t="s">
        <v>75</v>
      </c>
      <c r="C203" s="3">
        <v>45689.185474537036</v>
      </c>
      <c r="D203" t="s">
        <v>75</v>
      </c>
      <c r="E203" s="4">
        <v>0.41461611199378967</v>
      </c>
      <c r="F203" s="4">
        <v>345754.49863857793</v>
      </c>
      <c r="G203" s="4">
        <v>345754.91325468995</v>
      </c>
      <c r="H203" s="5">
        <f t="shared" si="0"/>
        <v>0</v>
      </c>
      <c r="I203" t="s">
        <v>189</v>
      </c>
      <c r="J203" t="s">
        <v>49</v>
      </c>
      <c r="K203" s="5">
        <f>80 / 86400</f>
        <v>9.2592592592592596E-4</v>
      </c>
      <c r="L203" s="5">
        <f t="shared" si="1"/>
        <v>2.3148148148148149E-4</v>
      </c>
    </row>
    <row r="204" spans="1:12" x14ac:dyDescent="0.25">
      <c r="A204" s="3">
        <v>45689.185706018514</v>
      </c>
      <c r="B204" t="s">
        <v>215</v>
      </c>
      <c r="C204" s="3">
        <v>45689.18917824074</v>
      </c>
      <c r="D204" t="s">
        <v>75</v>
      </c>
      <c r="E204" s="4">
        <v>2.9922607095837592</v>
      </c>
      <c r="F204" s="4">
        <v>345754.93612682022</v>
      </c>
      <c r="G204" s="4">
        <v>345757.9283875298</v>
      </c>
      <c r="H204" s="5">
        <f t="shared" si="0"/>
        <v>0</v>
      </c>
      <c r="I204" t="s">
        <v>157</v>
      </c>
      <c r="J204" t="s">
        <v>189</v>
      </c>
      <c r="K204" s="5">
        <f>300 / 86400</f>
        <v>3.472222222222222E-3</v>
      </c>
      <c r="L204" s="5">
        <f t="shared" si="1"/>
        <v>2.3148148148148149E-4</v>
      </c>
    </row>
    <row r="205" spans="1:12" x14ac:dyDescent="0.25">
      <c r="A205" s="3">
        <v>45689.189409722225</v>
      </c>
      <c r="B205" t="s">
        <v>75</v>
      </c>
      <c r="C205" s="3">
        <v>45689.190104166672</v>
      </c>
      <c r="D205" t="s">
        <v>75</v>
      </c>
      <c r="E205" s="4">
        <v>0.47756804829835892</v>
      </c>
      <c r="F205" s="4">
        <v>345758.02911910438</v>
      </c>
      <c r="G205" s="4">
        <v>345758.50668715267</v>
      </c>
      <c r="H205" s="5">
        <f t="shared" si="0"/>
        <v>0</v>
      </c>
      <c r="I205" t="s">
        <v>178</v>
      </c>
      <c r="J205" t="s">
        <v>91</v>
      </c>
      <c r="K205" s="5">
        <f>60 / 86400</f>
        <v>6.9444444444444447E-4</v>
      </c>
      <c r="L205" s="5">
        <f t="shared" si="1"/>
        <v>2.3148148148148149E-4</v>
      </c>
    </row>
    <row r="206" spans="1:12" x14ac:dyDescent="0.25">
      <c r="A206" s="3">
        <v>45689.190335648149</v>
      </c>
      <c r="B206" t="s">
        <v>216</v>
      </c>
      <c r="C206" s="3">
        <v>45689.191261574073</v>
      </c>
      <c r="D206" t="s">
        <v>217</v>
      </c>
      <c r="E206" s="4">
        <v>0.82781059640645982</v>
      </c>
      <c r="F206" s="4">
        <v>345758.63919610827</v>
      </c>
      <c r="G206" s="4">
        <v>345759.46700670471</v>
      </c>
      <c r="H206" s="5">
        <f t="shared" si="0"/>
        <v>0</v>
      </c>
      <c r="I206" t="s">
        <v>157</v>
      </c>
      <c r="J206" t="s">
        <v>214</v>
      </c>
      <c r="K206" s="5">
        <f>80 / 86400</f>
        <v>9.2592592592592596E-4</v>
      </c>
      <c r="L206" s="5">
        <f t="shared" si="1"/>
        <v>2.3148148148148149E-4</v>
      </c>
    </row>
    <row r="207" spans="1:12" x14ac:dyDescent="0.25">
      <c r="A207" s="3">
        <v>45689.19149305555</v>
      </c>
      <c r="B207" t="s">
        <v>218</v>
      </c>
      <c r="C207" s="3">
        <v>45689.194965277777</v>
      </c>
      <c r="D207" t="s">
        <v>219</v>
      </c>
      <c r="E207" s="4">
        <v>2.8429128292798995</v>
      </c>
      <c r="F207" s="4">
        <v>345759.50571452756</v>
      </c>
      <c r="G207" s="4">
        <v>345762.34862735681</v>
      </c>
      <c r="H207" s="5">
        <f t="shared" si="0"/>
        <v>0</v>
      </c>
      <c r="I207" t="s">
        <v>220</v>
      </c>
      <c r="J207" t="s">
        <v>167</v>
      </c>
      <c r="K207" s="5">
        <f>300 / 86400</f>
        <v>3.472222222222222E-3</v>
      </c>
      <c r="L207" s="5">
        <f t="shared" si="1"/>
        <v>2.3148148148148149E-4</v>
      </c>
    </row>
    <row r="208" spans="1:12" x14ac:dyDescent="0.25">
      <c r="A208" s="3">
        <v>45689.195196759261</v>
      </c>
      <c r="B208" t="s">
        <v>219</v>
      </c>
      <c r="C208" s="3">
        <v>45689.195659722223</v>
      </c>
      <c r="D208" t="s">
        <v>221</v>
      </c>
      <c r="E208" s="4">
        <v>0.30639720749855043</v>
      </c>
      <c r="F208" s="4">
        <v>345762.4726185957</v>
      </c>
      <c r="G208" s="4">
        <v>345762.77901580324</v>
      </c>
      <c r="H208" s="5">
        <f t="shared" si="0"/>
        <v>0</v>
      </c>
      <c r="I208" t="s">
        <v>173</v>
      </c>
      <c r="J208" t="s">
        <v>149</v>
      </c>
      <c r="K208" s="5">
        <f>40 / 86400</f>
        <v>4.6296296296296298E-4</v>
      </c>
      <c r="L208" s="5">
        <f t="shared" si="1"/>
        <v>2.3148148148148149E-4</v>
      </c>
    </row>
    <row r="209" spans="1:12" x14ac:dyDescent="0.25">
      <c r="A209" s="3">
        <v>45689.195891203708</v>
      </c>
      <c r="B209" t="s">
        <v>64</v>
      </c>
      <c r="C209" s="3">
        <v>45689.196585648147</v>
      </c>
      <c r="D209" t="s">
        <v>128</v>
      </c>
      <c r="E209" s="4">
        <v>0.29912473845481874</v>
      </c>
      <c r="F209" s="4">
        <v>345762.88681561477</v>
      </c>
      <c r="G209" s="4">
        <v>345763.1859403532</v>
      </c>
      <c r="H209" s="5">
        <f t="shared" si="0"/>
        <v>0</v>
      </c>
      <c r="I209" t="s">
        <v>147</v>
      </c>
      <c r="J209" t="s">
        <v>23</v>
      </c>
      <c r="K209" s="5">
        <f>60 / 86400</f>
        <v>6.9444444444444447E-4</v>
      </c>
      <c r="L209" s="5">
        <f>40 / 86400</f>
        <v>4.6296296296296298E-4</v>
      </c>
    </row>
    <row r="210" spans="1:12" x14ac:dyDescent="0.25">
      <c r="A210" s="3">
        <v>45689.197048611109</v>
      </c>
      <c r="B210" t="s">
        <v>36</v>
      </c>
      <c r="C210" s="3">
        <v>45689.197280092594</v>
      </c>
      <c r="D210" t="s">
        <v>128</v>
      </c>
      <c r="E210" s="4">
        <v>2.2124439477920533E-3</v>
      </c>
      <c r="F210" s="4">
        <v>345763.19054287119</v>
      </c>
      <c r="G210" s="4">
        <v>345763.1927553151</v>
      </c>
      <c r="H210" s="5">
        <f t="shared" si="0"/>
        <v>0</v>
      </c>
      <c r="I210" t="s">
        <v>133</v>
      </c>
      <c r="J210" t="s">
        <v>37</v>
      </c>
      <c r="K210" s="5">
        <f>20 / 86400</f>
        <v>2.3148148148148149E-4</v>
      </c>
      <c r="L210" s="5">
        <f>91 / 86400</f>
        <v>1.0532407407407407E-3</v>
      </c>
    </row>
    <row r="211" spans="1:12" x14ac:dyDescent="0.25">
      <c r="A211" s="3">
        <v>45689.198333333334</v>
      </c>
      <c r="B211" t="s">
        <v>36</v>
      </c>
      <c r="C211" s="3">
        <v>45689.201157407406</v>
      </c>
      <c r="D211" t="s">
        <v>64</v>
      </c>
      <c r="E211" s="4">
        <v>2.9359924888610838</v>
      </c>
      <c r="F211" s="4">
        <v>345763.2021966906</v>
      </c>
      <c r="G211" s="4">
        <v>345766.13818917947</v>
      </c>
      <c r="H211" s="5">
        <f t="shared" si="0"/>
        <v>0</v>
      </c>
      <c r="I211" t="s">
        <v>42</v>
      </c>
      <c r="J211" t="s">
        <v>165</v>
      </c>
      <c r="K211" s="5">
        <f>244 / 86400</f>
        <v>2.8240740740740739E-3</v>
      </c>
      <c r="L211" s="5">
        <f>8 / 86400</f>
        <v>9.2592592592592588E-5</v>
      </c>
    </row>
    <row r="212" spans="1:12" x14ac:dyDescent="0.25">
      <c r="A212" s="3">
        <v>45689.201249999998</v>
      </c>
      <c r="B212" t="s">
        <v>64</v>
      </c>
      <c r="C212" s="3">
        <v>45689.204259259262</v>
      </c>
      <c r="D212" t="s">
        <v>222</v>
      </c>
      <c r="E212" s="4">
        <v>3.3337401203513144</v>
      </c>
      <c r="F212" s="4">
        <v>345766.14041257865</v>
      </c>
      <c r="G212" s="4">
        <v>345769.474152699</v>
      </c>
      <c r="H212" s="5">
        <f t="shared" si="0"/>
        <v>0</v>
      </c>
      <c r="I212" t="s">
        <v>34</v>
      </c>
      <c r="J212" t="s">
        <v>179</v>
      </c>
      <c r="K212" s="5">
        <f>260 / 86400</f>
        <v>3.0092592592592593E-3</v>
      </c>
      <c r="L212" s="5">
        <f>20 / 86400</f>
        <v>2.3148148148148149E-4</v>
      </c>
    </row>
    <row r="213" spans="1:12" x14ac:dyDescent="0.25">
      <c r="A213" s="3">
        <v>45689.20449074074</v>
      </c>
      <c r="B213" t="s">
        <v>222</v>
      </c>
      <c r="C213" s="3">
        <v>45689.206365740742</v>
      </c>
      <c r="D213" t="s">
        <v>223</v>
      </c>
      <c r="E213" s="4">
        <v>1.0705280727148057</v>
      </c>
      <c r="F213" s="4">
        <v>345769.47594195098</v>
      </c>
      <c r="G213" s="4">
        <v>345770.54647002369</v>
      </c>
      <c r="H213" s="5">
        <f t="shared" si="0"/>
        <v>0</v>
      </c>
      <c r="I213" t="s">
        <v>224</v>
      </c>
      <c r="J213" t="s">
        <v>125</v>
      </c>
      <c r="K213" s="5">
        <f>162 / 86400</f>
        <v>1.8749999999999999E-3</v>
      </c>
      <c r="L213" s="5">
        <f>524 / 86400</f>
        <v>6.0648148148148145E-3</v>
      </c>
    </row>
    <row r="214" spans="1:12" x14ac:dyDescent="0.25">
      <c r="A214" s="3">
        <v>45689.212430555555</v>
      </c>
      <c r="B214" t="s">
        <v>223</v>
      </c>
      <c r="C214" s="3">
        <v>45689.214143518519</v>
      </c>
      <c r="D214" t="s">
        <v>217</v>
      </c>
      <c r="E214" s="4">
        <v>0.9401488176584244</v>
      </c>
      <c r="F214" s="4">
        <v>345770.55571873236</v>
      </c>
      <c r="G214" s="4">
        <v>345771.49586755002</v>
      </c>
      <c r="H214" s="5">
        <f t="shared" si="0"/>
        <v>0</v>
      </c>
      <c r="I214" t="s">
        <v>178</v>
      </c>
      <c r="J214" t="s">
        <v>35</v>
      </c>
      <c r="K214" s="5">
        <f>148 / 86400</f>
        <v>1.712962962962963E-3</v>
      </c>
      <c r="L214" s="5">
        <f>20 / 86400</f>
        <v>2.3148148148148149E-4</v>
      </c>
    </row>
    <row r="215" spans="1:12" x14ac:dyDescent="0.25">
      <c r="A215" s="3">
        <v>45689.214374999996</v>
      </c>
      <c r="B215" t="s">
        <v>225</v>
      </c>
      <c r="C215" s="3">
        <v>45689.216817129629</v>
      </c>
      <c r="D215" t="s">
        <v>226</v>
      </c>
      <c r="E215" s="4">
        <v>0.76170136594772342</v>
      </c>
      <c r="F215" s="4">
        <v>345771.52004589146</v>
      </c>
      <c r="G215" s="4">
        <v>345772.2817472574</v>
      </c>
      <c r="H215" s="5">
        <f t="shared" si="0"/>
        <v>0</v>
      </c>
      <c r="I215" t="s">
        <v>154</v>
      </c>
      <c r="J215" t="s">
        <v>31</v>
      </c>
      <c r="K215" s="5">
        <f>211 / 86400</f>
        <v>2.4421296296296296E-3</v>
      </c>
      <c r="L215" s="5">
        <f>12 / 86400</f>
        <v>1.3888888888888889E-4</v>
      </c>
    </row>
    <row r="216" spans="1:12" x14ac:dyDescent="0.25">
      <c r="A216" s="3">
        <v>45689.216956018514</v>
      </c>
      <c r="B216" t="s">
        <v>226</v>
      </c>
      <c r="C216" s="3">
        <v>45689.217187499999</v>
      </c>
      <c r="D216" t="s">
        <v>226</v>
      </c>
      <c r="E216" s="4">
        <v>5.9991671442985537E-3</v>
      </c>
      <c r="F216" s="4">
        <v>345772.28621771676</v>
      </c>
      <c r="G216" s="4">
        <v>345772.29221688391</v>
      </c>
      <c r="H216" s="5">
        <f t="shared" si="0"/>
        <v>0</v>
      </c>
      <c r="I216" t="s">
        <v>56</v>
      </c>
      <c r="J216" t="s">
        <v>100</v>
      </c>
      <c r="K216" s="5">
        <f>20 / 86400</f>
        <v>2.3148148148148149E-4</v>
      </c>
      <c r="L216" s="5">
        <f>40 / 86400</f>
        <v>4.6296296296296298E-4</v>
      </c>
    </row>
    <row r="217" spans="1:12" x14ac:dyDescent="0.25">
      <c r="A217" s="3">
        <v>45689.217650462961</v>
      </c>
      <c r="B217" t="s">
        <v>226</v>
      </c>
      <c r="C217" s="3">
        <v>45689.21806712963</v>
      </c>
      <c r="D217" t="s">
        <v>227</v>
      </c>
      <c r="E217" s="4">
        <v>8.4799966216087333E-3</v>
      </c>
      <c r="F217" s="4">
        <v>345772.29608281114</v>
      </c>
      <c r="G217" s="4">
        <v>345772.30456280772</v>
      </c>
      <c r="H217" s="5">
        <f t="shared" si="0"/>
        <v>0</v>
      </c>
      <c r="I217" t="s">
        <v>56</v>
      </c>
      <c r="J217" t="s">
        <v>100</v>
      </c>
      <c r="K217" s="5">
        <f>36 / 86400</f>
        <v>4.1666666666666669E-4</v>
      </c>
      <c r="L217" s="5">
        <f>12 / 86400</f>
        <v>1.3888888888888889E-4</v>
      </c>
    </row>
    <row r="218" spans="1:12" x14ac:dyDescent="0.25">
      <c r="A218" s="3">
        <v>45689.218206018515</v>
      </c>
      <c r="B218" t="s">
        <v>227</v>
      </c>
      <c r="C218" s="3">
        <v>45689.2184375</v>
      </c>
      <c r="D218" t="s">
        <v>227</v>
      </c>
      <c r="E218" s="4">
        <v>4.1379645466804504E-2</v>
      </c>
      <c r="F218" s="4">
        <v>345772.30801208602</v>
      </c>
      <c r="G218" s="4">
        <v>345772.34939173149</v>
      </c>
      <c r="H218" s="5">
        <f t="shared" si="0"/>
        <v>0</v>
      </c>
      <c r="I218" t="s">
        <v>126</v>
      </c>
      <c r="J218" t="s">
        <v>126</v>
      </c>
      <c r="K218" s="5">
        <f>20 / 86400</f>
        <v>2.3148148148148149E-4</v>
      </c>
      <c r="L218" s="5">
        <f>40 / 86400</f>
        <v>4.6296296296296298E-4</v>
      </c>
    </row>
    <row r="219" spans="1:12" x14ac:dyDescent="0.25">
      <c r="A219" s="3">
        <v>45689.218900462962</v>
      </c>
      <c r="B219" t="s">
        <v>226</v>
      </c>
      <c r="C219" s="3">
        <v>45689.22075231481</v>
      </c>
      <c r="D219" t="s">
        <v>219</v>
      </c>
      <c r="E219" s="4">
        <v>1.5284017557501792</v>
      </c>
      <c r="F219" s="4">
        <v>345772.37461283157</v>
      </c>
      <c r="G219" s="4">
        <v>345773.90301458735</v>
      </c>
      <c r="H219" s="5">
        <f t="shared" si="0"/>
        <v>0</v>
      </c>
      <c r="I219" t="s">
        <v>165</v>
      </c>
      <c r="J219" t="s">
        <v>167</v>
      </c>
      <c r="K219" s="5">
        <f>160 / 86400</f>
        <v>1.8518518518518519E-3</v>
      </c>
      <c r="L219" s="5">
        <f>20 / 86400</f>
        <v>2.3148148148148149E-4</v>
      </c>
    </row>
    <row r="220" spans="1:12" x14ac:dyDescent="0.25">
      <c r="A220" s="3">
        <v>45689.220983796295</v>
      </c>
      <c r="B220" t="s">
        <v>219</v>
      </c>
      <c r="C220" s="3">
        <v>45689.222141203703</v>
      </c>
      <c r="D220" t="s">
        <v>221</v>
      </c>
      <c r="E220" s="4">
        <v>0.76548518514633179</v>
      </c>
      <c r="F220" s="4">
        <v>345774.05343747488</v>
      </c>
      <c r="G220" s="4">
        <v>345774.81892266008</v>
      </c>
      <c r="H220" s="5">
        <f t="shared" si="0"/>
        <v>0</v>
      </c>
      <c r="I220" t="s">
        <v>179</v>
      </c>
      <c r="J220" t="s">
        <v>149</v>
      </c>
      <c r="K220" s="5">
        <f>100 / 86400</f>
        <v>1.1574074074074073E-3</v>
      </c>
      <c r="L220" s="5">
        <f>60 / 86400</f>
        <v>6.9444444444444447E-4</v>
      </c>
    </row>
    <row r="221" spans="1:12" x14ac:dyDescent="0.25">
      <c r="A221" s="3">
        <v>45689.22283564815</v>
      </c>
      <c r="B221" t="s">
        <v>64</v>
      </c>
      <c r="C221" s="3">
        <v>45689.225150462968</v>
      </c>
      <c r="D221" t="s">
        <v>128</v>
      </c>
      <c r="E221" s="4">
        <v>2.3072313435077669</v>
      </c>
      <c r="F221" s="4">
        <v>345774.94761438732</v>
      </c>
      <c r="G221" s="4">
        <v>345777.25484573084</v>
      </c>
      <c r="H221" s="5">
        <f t="shared" si="0"/>
        <v>0</v>
      </c>
      <c r="I221" t="s">
        <v>118</v>
      </c>
      <c r="J221" t="s">
        <v>178</v>
      </c>
      <c r="K221" s="5">
        <f>200 / 86400</f>
        <v>2.3148148148148147E-3</v>
      </c>
      <c r="L221" s="5">
        <f t="shared" ref="L221:L227" si="2">20 / 86400</f>
        <v>2.3148148148148149E-4</v>
      </c>
    </row>
    <row r="222" spans="1:12" x14ac:dyDescent="0.25">
      <c r="A222" s="3">
        <v>45689.225381944445</v>
      </c>
      <c r="B222" t="s">
        <v>228</v>
      </c>
      <c r="C222" s="3">
        <v>45689.226770833338</v>
      </c>
      <c r="D222" t="s">
        <v>36</v>
      </c>
      <c r="E222" s="4">
        <v>1.3371952923536301</v>
      </c>
      <c r="F222" s="4">
        <v>345777.34002059291</v>
      </c>
      <c r="G222" s="4">
        <v>345778.67721588525</v>
      </c>
      <c r="H222" s="5">
        <f t="shared" si="0"/>
        <v>0</v>
      </c>
      <c r="I222" t="s">
        <v>224</v>
      </c>
      <c r="J222" t="s">
        <v>107</v>
      </c>
      <c r="K222" s="5">
        <f>120 / 86400</f>
        <v>1.3888888888888889E-3</v>
      </c>
      <c r="L222" s="5">
        <f t="shared" si="2"/>
        <v>2.3148148148148149E-4</v>
      </c>
    </row>
    <row r="223" spans="1:12" x14ac:dyDescent="0.25">
      <c r="A223" s="3">
        <v>45689.227002314816</v>
      </c>
      <c r="B223" t="s">
        <v>36</v>
      </c>
      <c r="C223" s="3">
        <v>45689.232789351852</v>
      </c>
      <c r="D223" t="s">
        <v>229</v>
      </c>
      <c r="E223" s="4">
        <v>4.242778914809227</v>
      </c>
      <c r="F223" s="4">
        <v>345778.69595005817</v>
      </c>
      <c r="G223" s="4">
        <v>345782.93872897298</v>
      </c>
      <c r="H223" s="5">
        <f t="shared" si="0"/>
        <v>0</v>
      </c>
      <c r="I223" t="s">
        <v>230</v>
      </c>
      <c r="J223" t="s">
        <v>151</v>
      </c>
      <c r="K223" s="5">
        <f>500 / 86400</f>
        <v>5.7870370370370367E-3</v>
      </c>
      <c r="L223" s="5">
        <f t="shared" si="2"/>
        <v>2.3148148148148149E-4</v>
      </c>
    </row>
    <row r="224" spans="1:12" x14ac:dyDescent="0.25">
      <c r="A224" s="3">
        <v>45689.23302083333</v>
      </c>
      <c r="B224" t="s">
        <v>229</v>
      </c>
      <c r="C224" s="3">
        <v>45689.23364583333</v>
      </c>
      <c r="D224" t="s">
        <v>231</v>
      </c>
      <c r="E224" s="4">
        <v>0.45552588099241259</v>
      </c>
      <c r="F224" s="4">
        <v>345783.07955979236</v>
      </c>
      <c r="G224" s="4">
        <v>345783.53508567333</v>
      </c>
      <c r="H224" s="5">
        <f t="shared" si="0"/>
        <v>0</v>
      </c>
      <c r="I224" t="s">
        <v>220</v>
      </c>
      <c r="J224" t="s">
        <v>206</v>
      </c>
      <c r="K224" s="5">
        <f>54 / 86400</f>
        <v>6.2500000000000001E-4</v>
      </c>
      <c r="L224" s="5">
        <f t="shared" si="2"/>
        <v>2.3148148148148149E-4</v>
      </c>
    </row>
    <row r="225" spans="1:12" x14ac:dyDescent="0.25">
      <c r="A225" s="3">
        <v>45689.233877314815</v>
      </c>
      <c r="B225" t="s">
        <v>115</v>
      </c>
      <c r="C225" s="3">
        <v>45689.235497685186</v>
      </c>
      <c r="D225" t="s">
        <v>232</v>
      </c>
      <c r="E225" s="4">
        <v>1.7701920449733735</v>
      </c>
      <c r="F225" s="4">
        <v>345783.70354882738</v>
      </c>
      <c r="G225" s="4">
        <v>345785.4737408724</v>
      </c>
      <c r="H225" s="5">
        <f t="shared" si="0"/>
        <v>0</v>
      </c>
      <c r="I225" t="s">
        <v>233</v>
      </c>
      <c r="J225" t="s">
        <v>179</v>
      </c>
      <c r="K225" s="5">
        <f>140 / 86400</f>
        <v>1.6203703703703703E-3</v>
      </c>
      <c r="L225" s="5">
        <f t="shared" si="2"/>
        <v>2.3148148148148149E-4</v>
      </c>
    </row>
    <row r="226" spans="1:12" x14ac:dyDescent="0.25">
      <c r="A226" s="3">
        <v>45689.23572916667</v>
      </c>
      <c r="B226" t="s">
        <v>234</v>
      </c>
      <c r="C226" s="3">
        <v>45689.237812499996</v>
      </c>
      <c r="D226" t="s">
        <v>235</v>
      </c>
      <c r="E226" s="4">
        <v>1.5802751100659371</v>
      </c>
      <c r="F226" s="4">
        <v>345785.54035739443</v>
      </c>
      <c r="G226" s="4">
        <v>345787.12063250452</v>
      </c>
      <c r="H226" s="5">
        <f t="shared" si="0"/>
        <v>0</v>
      </c>
      <c r="I226" t="s">
        <v>220</v>
      </c>
      <c r="J226" t="s">
        <v>147</v>
      </c>
      <c r="K226" s="5">
        <f>180 / 86400</f>
        <v>2.0833333333333333E-3</v>
      </c>
      <c r="L226" s="5">
        <f t="shared" si="2"/>
        <v>2.3148148148148149E-4</v>
      </c>
    </row>
    <row r="227" spans="1:12" x14ac:dyDescent="0.25">
      <c r="A227" s="3">
        <v>45689.238043981481</v>
      </c>
      <c r="B227" t="s">
        <v>235</v>
      </c>
      <c r="C227" s="3">
        <v>45689.240266203706</v>
      </c>
      <c r="D227" t="s">
        <v>236</v>
      </c>
      <c r="E227" s="4">
        <v>1.5164636723995208</v>
      </c>
      <c r="F227" s="4">
        <v>345787.17530226352</v>
      </c>
      <c r="G227" s="4">
        <v>345788.69176593592</v>
      </c>
      <c r="H227" s="5">
        <f t="shared" si="0"/>
        <v>0</v>
      </c>
      <c r="I227" t="s">
        <v>161</v>
      </c>
      <c r="J227" t="s">
        <v>149</v>
      </c>
      <c r="K227" s="5">
        <f>192 / 86400</f>
        <v>2.2222222222222222E-3</v>
      </c>
      <c r="L227" s="5">
        <f t="shared" si="2"/>
        <v>2.3148148148148149E-4</v>
      </c>
    </row>
    <row r="228" spans="1:12" x14ac:dyDescent="0.25">
      <c r="A228" s="3">
        <v>45689.240497685183</v>
      </c>
      <c r="B228" t="s">
        <v>237</v>
      </c>
      <c r="C228" s="3">
        <v>45689.241423611107</v>
      </c>
      <c r="D228" t="s">
        <v>238</v>
      </c>
      <c r="E228" s="4">
        <v>0.5607727744579315</v>
      </c>
      <c r="F228" s="4">
        <v>345788.81437201763</v>
      </c>
      <c r="G228" s="4">
        <v>345789.37514479208</v>
      </c>
      <c r="H228" s="5">
        <f t="shared" si="0"/>
        <v>0</v>
      </c>
      <c r="I228" t="s">
        <v>239</v>
      </c>
      <c r="J228" t="s">
        <v>123</v>
      </c>
      <c r="K228" s="5">
        <f>80 / 86400</f>
        <v>9.2592592592592596E-4</v>
      </c>
      <c r="L228" s="5">
        <f>6 / 86400</f>
        <v>6.9444444444444444E-5</v>
      </c>
    </row>
    <row r="229" spans="1:12" x14ac:dyDescent="0.25">
      <c r="A229" s="3">
        <v>45689.241493055553</v>
      </c>
      <c r="B229" t="s">
        <v>238</v>
      </c>
      <c r="C229" s="3">
        <v>45689.241724537038</v>
      </c>
      <c r="D229" t="s">
        <v>240</v>
      </c>
      <c r="E229" s="4">
        <v>0.12226025259494781</v>
      </c>
      <c r="F229" s="4">
        <v>345789.37978024076</v>
      </c>
      <c r="G229" s="4">
        <v>345789.50204049336</v>
      </c>
      <c r="H229" s="5">
        <f t="shared" si="0"/>
        <v>0</v>
      </c>
      <c r="I229" t="s">
        <v>71</v>
      </c>
      <c r="J229" t="s">
        <v>119</v>
      </c>
      <c r="K229" s="5">
        <f>20 / 86400</f>
        <v>2.3148148148148149E-4</v>
      </c>
      <c r="L229" s="5">
        <f>20 / 86400</f>
        <v>2.3148148148148149E-4</v>
      </c>
    </row>
    <row r="230" spans="1:12" x14ac:dyDescent="0.25">
      <c r="A230" s="3">
        <v>45689.241956018523</v>
      </c>
      <c r="B230" t="s">
        <v>237</v>
      </c>
      <c r="C230" s="3">
        <v>45689.242881944447</v>
      </c>
      <c r="D230" t="s">
        <v>241</v>
      </c>
      <c r="E230" s="4">
        <v>0.4928873229622841</v>
      </c>
      <c r="F230" s="4">
        <v>345789.62527281546</v>
      </c>
      <c r="G230" s="4">
        <v>345790.11816013843</v>
      </c>
      <c r="H230" s="5">
        <f t="shared" ref="H230:H293" si="3">0 / 86400</f>
        <v>0</v>
      </c>
      <c r="I230" t="s">
        <v>173</v>
      </c>
      <c r="J230" t="s">
        <v>119</v>
      </c>
      <c r="K230" s="5">
        <f>80 / 86400</f>
        <v>9.2592592592592596E-4</v>
      </c>
      <c r="L230" s="5">
        <f t="shared" ref="L230:L235" si="4">20 / 86400</f>
        <v>2.3148148148148149E-4</v>
      </c>
    </row>
    <row r="231" spans="1:12" x14ac:dyDescent="0.25">
      <c r="A231" s="3">
        <v>45689.243113425924</v>
      </c>
      <c r="B231" t="s">
        <v>237</v>
      </c>
      <c r="C231" s="3">
        <v>45689.245428240742</v>
      </c>
      <c r="D231" t="s">
        <v>101</v>
      </c>
      <c r="E231" s="4">
        <v>1.4561308462023734</v>
      </c>
      <c r="F231" s="4">
        <v>345790.13373598462</v>
      </c>
      <c r="G231" s="4">
        <v>345791.58986683085</v>
      </c>
      <c r="H231" s="5">
        <f t="shared" si="3"/>
        <v>0</v>
      </c>
      <c r="I231" t="s">
        <v>239</v>
      </c>
      <c r="J231" t="s">
        <v>184</v>
      </c>
      <c r="K231" s="5">
        <f>200 / 86400</f>
        <v>2.3148148148148147E-3</v>
      </c>
      <c r="L231" s="5">
        <f t="shared" si="4"/>
        <v>2.3148148148148149E-4</v>
      </c>
    </row>
    <row r="232" spans="1:12" x14ac:dyDescent="0.25">
      <c r="A232" s="3">
        <v>45689.245659722219</v>
      </c>
      <c r="B232" t="s">
        <v>101</v>
      </c>
      <c r="C232" s="3">
        <v>45689.246481481481</v>
      </c>
      <c r="D232" t="s">
        <v>242</v>
      </c>
      <c r="E232" s="4">
        <v>0.52739316707849504</v>
      </c>
      <c r="F232" s="4">
        <v>345791.74592717201</v>
      </c>
      <c r="G232" s="4">
        <v>345792.2733203391</v>
      </c>
      <c r="H232" s="5">
        <f t="shared" si="3"/>
        <v>0</v>
      </c>
      <c r="I232" t="s">
        <v>147</v>
      </c>
      <c r="J232" t="s">
        <v>141</v>
      </c>
      <c r="K232" s="5">
        <f>71 / 86400</f>
        <v>8.2175925925925927E-4</v>
      </c>
      <c r="L232" s="5">
        <f t="shared" si="4"/>
        <v>2.3148148148148149E-4</v>
      </c>
    </row>
    <row r="233" spans="1:12" x14ac:dyDescent="0.25">
      <c r="A233" s="3">
        <v>45689.246712962966</v>
      </c>
      <c r="B233" t="s">
        <v>242</v>
      </c>
      <c r="C233" s="3">
        <v>45689.247175925921</v>
      </c>
      <c r="D233" t="s">
        <v>243</v>
      </c>
      <c r="E233" s="4">
        <v>0.24187469184398652</v>
      </c>
      <c r="F233" s="4">
        <v>345792.40694159432</v>
      </c>
      <c r="G233" s="4">
        <v>345792.64881628612</v>
      </c>
      <c r="H233" s="5">
        <f t="shared" si="3"/>
        <v>0</v>
      </c>
      <c r="I233" t="s">
        <v>154</v>
      </c>
      <c r="J233" t="s">
        <v>119</v>
      </c>
      <c r="K233" s="5">
        <f>40 / 86400</f>
        <v>4.6296296296296298E-4</v>
      </c>
      <c r="L233" s="5">
        <f t="shared" si="4"/>
        <v>2.3148148148148149E-4</v>
      </c>
    </row>
    <row r="234" spans="1:12" x14ac:dyDescent="0.25">
      <c r="A234" s="3">
        <v>45689.247407407413</v>
      </c>
      <c r="B234" t="s">
        <v>243</v>
      </c>
      <c r="C234" s="3">
        <v>45689.248333333337</v>
      </c>
      <c r="D234" t="s">
        <v>244</v>
      </c>
      <c r="E234" s="4">
        <v>0.68858969229459766</v>
      </c>
      <c r="F234" s="4">
        <v>345792.73798912659</v>
      </c>
      <c r="G234" s="4">
        <v>345793.42657881888</v>
      </c>
      <c r="H234" s="5">
        <f t="shared" si="3"/>
        <v>0</v>
      </c>
      <c r="I234" t="s">
        <v>245</v>
      </c>
      <c r="J234" t="s">
        <v>151</v>
      </c>
      <c r="K234" s="5">
        <f>80 / 86400</f>
        <v>9.2592592592592596E-4</v>
      </c>
      <c r="L234" s="5">
        <f t="shared" si="4"/>
        <v>2.3148148148148149E-4</v>
      </c>
    </row>
    <row r="235" spans="1:12" x14ac:dyDescent="0.25">
      <c r="A235" s="3">
        <v>45689.248564814814</v>
      </c>
      <c r="B235" t="s">
        <v>246</v>
      </c>
      <c r="C235" s="3">
        <v>45689.249490740738</v>
      </c>
      <c r="D235" t="s">
        <v>146</v>
      </c>
      <c r="E235" s="4">
        <v>0.62422553783655166</v>
      </c>
      <c r="F235" s="4">
        <v>345793.4658205118</v>
      </c>
      <c r="G235" s="4">
        <v>345794.09004604968</v>
      </c>
      <c r="H235" s="5">
        <f t="shared" si="3"/>
        <v>0</v>
      </c>
      <c r="I235" t="s">
        <v>107</v>
      </c>
      <c r="J235" t="s">
        <v>149</v>
      </c>
      <c r="K235" s="5">
        <f>80 / 86400</f>
        <v>9.2592592592592596E-4</v>
      </c>
      <c r="L235" s="5">
        <f t="shared" si="4"/>
        <v>2.3148148148148149E-4</v>
      </c>
    </row>
    <row r="236" spans="1:12" x14ac:dyDescent="0.25">
      <c r="A236" s="3">
        <v>45689.249722222223</v>
      </c>
      <c r="B236" t="s">
        <v>247</v>
      </c>
      <c r="C236" s="3">
        <v>45689.250347222223</v>
      </c>
      <c r="D236" t="s">
        <v>143</v>
      </c>
      <c r="E236" s="4">
        <v>6.5401979327201848E-2</v>
      </c>
      <c r="F236" s="4">
        <v>345794.24986434873</v>
      </c>
      <c r="G236" s="4">
        <v>345794.31526632805</v>
      </c>
      <c r="H236" s="5">
        <f t="shared" si="3"/>
        <v>0</v>
      </c>
      <c r="I236" t="s">
        <v>245</v>
      </c>
      <c r="J236" t="s">
        <v>80</v>
      </c>
      <c r="K236" s="5">
        <f>54 / 86400</f>
        <v>6.2500000000000001E-4</v>
      </c>
      <c r="L236" s="5">
        <f>220 / 86400</f>
        <v>2.5462962962962965E-3</v>
      </c>
    </row>
    <row r="237" spans="1:12" x14ac:dyDescent="0.25">
      <c r="A237" s="3">
        <v>45689.252893518518</v>
      </c>
      <c r="B237" t="s">
        <v>143</v>
      </c>
      <c r="C237" s="3">
        <v>45689.253113425926</v>
      </c>
      <c r="D237" t="s">
        <v>143</v>
      </c>
      <c r="E237" s="4">
        <v>7.460665762424469E-3</v>
      </c>
      <c r="F237" s="4">
        <v>345794.32059377281</v>
      </c>
      <c r="G237" s="4">
        <v>345794.32805443858</v>
      </c>
      <c r="H237" s="5">
        <f t="shared" si="3"/>
        <v>0</v>
      </c>
      <c r="I237" t="s">
        <v>56</v>
      </c>
      <c r="J237" t="s">
        <v>100</v>
      </c>
      <c r="K237" s="5">
        <f>19 / 86400</f>
        <v>2.199074074074074E-4</v>
      </c>
      <c r="L237" s="5">
        <f>415 / 86400</f>
        <v>4.8032407407407407E-3</v>
      </c>
    </row>
    <row r="238" spans="1:12" x14ac:dyDescent="0.25">
      <c r="A238" s="3">
        <v>45689.257916666669</v>
      </c>
      <c r="B238" t="s">
        <v>143</v>
      </c>
      <c r="C238" s="3">
        <v>45689.258414351847</v>
      </c>
      <c r="D238" t="s">
        <v>146</v>
      </c>
      <c r="E238" s="4">
        <v>0.20290618664026261</v>
      </c>
      <c r="F238" s="4">
        <v>345794.35642502474</v>
      </c>
      <c r="G238" s="4">
        <v>345794.55933121138</v>
      </c>
      <c r="H238" s="5">
        <f t="shared" si="3"/>
        <v>0</v>
      </c>
      <c r="I238" t="s">
        <v>184</v>
      </c>
      <c r="J238" t="s">
        <v>30</v>
      </c>
      <c r="K238" s="5">
        <f>43 / 86400</f>
        <v>4.9768518518518521E-4</v>
      </c>
      <c r="L238" s="5">
        <f>2 / 86400</f>
        <v>2.3148148148148147E-5</v>
      </c>
    </row>
    <row r="239" spans="1:12" x14ac:dyDescent="0.25">
      <c r="A239" s="3">
        <v>45689.258437500001</v>
      </c>
      <c r="B239" t="s">
        <v>146</v>
      </c>
      <c r="C239" s="3">
        <v>45689.260752314818</v>
      </c>
      <c r="D239" t="s">
        <v>243</v>
      </c>
      <c r="E239" s="4">
        <v>1.4038894391655923</v>
      </c>
      <c r="F239" s="4">
        <v>345794.56101444823</v>
      </c>
      <c r="G239" s="4">
        <v>345795.96490388742</v>
      </c>
      <c r="H239" s="5">
        <f t="shared" si="3"/>
        <v>0</v>
      </c>
      <c r="I239" t="s">
        <v>107</v>
      </c>
      <c r="J239" t="s">
        <v>123</v>
      </c>
      <c r="K239" s="5">
        <f>200 / 86400</f>
        <v>2.3148148148148147E-3</v>
      </c>
      <c r="L239" s="5">
        <f>10 / 86400</f>
        <v>1.1574074074074075E-4</v>
      </c>
    </row>
    <row r="240" spans="1:12" x14ac:dyDescent="0.25">
      <c r="A240" s="3">
        <v>45689.260868055557</v>
      </c>
      <c r="B240" t="s">
        <v>243</v>
      </c>
      <c r="C240" s="3">
        <v>45689.261562500003</v>
      </c>
      <c r="D240" t="s">
        <v>242</v>
      </c>
      <c r="E240" s="4">
        <v>0.43792198044061659</v>
      </c>
      <c r="F240" s="4">
        <v>345795.9667593537</v>
      </c>
      <c r="G240" s="4">
        <v>345796.40468133416</v>
      </c>
      <c r="H240" s="5">
        <f t="shared" si="3"/>
        <v>0</v>
      </c>
      <c r="I240" t="s">
        <v>178</v>
      </c>
      <c r="J240" t="s">
        <v>184</v>
      </c>
      <c r="K240" s="5">
        <f>60 / 86400</f>
        <v>6.9444444444444447E-4</v>
      </c>
      <c r="L240" s="5">
        <f>20 / 86400</f>
        <v>2.3148148148148149E-4</v>
      </c>
    </row>
    <row r="241" spans="1:12" x14ac:dyDescent="0.25">
      <c r="A241" s="3">
        <v>45689.261793981481</v>
      </c>
      <c r="B241" t="s">
        <v>248</v>
      </c>
      <c r="C241" s="3">
        <v>45689.264432870375</v>
      </c>
      <c r="D241" t="s">
        <v>249</v>
      </c>
      <c r="E241" s="4">
        <v>1.7492850297689437</v>
      </c>
      <c r="F241" s="4">
        <v>345796.54758349166</v>
      </c>
      <c r="G241" s="4">
        <v>345798.29686852143</v>
      </c>
      <c r="H241" s="5">
        <f t="shared" si="3"/>
        <v>0</v>
      </c>
      <c r="I241" t="s">
        <v>154</v>
      </c>
      <c r="J241" t="s">
        <v>149</v>
      </c>
      <c r="K241" s="5">
        <f>228 / 86400</f>
        <v>2.638888888888889E-3</v>
      </c>
      <c r="L241" s="5">
        <f>11 / 86400</f>
        <v>1.273148148148148E-4</v>
      </c>
    </row>
    <row r="242" spans="1:12" x14ac:dyDescent="0.25">
      <c r="A242" s="3">
        <v>45689.264560185184</v>
      </c>
      <c r="B242" t="s">
        <v>249</v>
      </c>
      <c r="C242" s="3">
        <v>45689.266504629632</v>
      </c>
      <c r="D242" t="s">
        <v>250</v>
      </c>
      <c r="E242" s="4">
        <v>0.85618050503730769</v>
      </c>
      <c r="F242" s="4">
        <v>345798.31965302589</v>
      </c>
      <c r="G242" s="4">
        <v>345799.1758335309</v>
      </c>
      <c r="H242" s="5">
        <f t="shared" si="3"/>
        <v>0</v>
      </c>
      <c r="I242" t="s">
        <v>149</v>
      </c>
      <c r="J242" t="s">
        <v>23</v>
      </c>
      <c r="K242" s="5">
        <f>168 / 86400</f>
        <v>1.9444444444444444E-3</v>
      </c>
      <c r="L242" s="5">
        <f>34 / 86400</f>
        <v>3.9351851851851852E-4</v>
      </c>
    </row>
    <row r="243" spans="1:12" x14ac:dyDescent="0.25">
      <c r="A243" s="3">
        <v>45689.266898148147</v>
      </c>
      <c r="B243" t="s">
        <v>250</v>
      </c>
      <c r="C243" s="3">
        <v>45689.267650462964</v>
      </c>
      <c r="D243" t="s">
        <v>251</v>
      </c>
      <c r="E243" s="4">
        <v>0.24644275230169296</v>
      </c>
      <c r="F243" s="4">
        <v>345799.20479229325</v>
      </c>
      <c r="G243" s="4">
        <v>345799.45123504556</v>
      </c>
      <c r="H243" s="5">
        <f t="shared" si="3"/>
        <v>0</v>
      </c>
      <c r="I243" t="s">
        <v>141</v>
      </c>
      <c r="J243" t="s">
        <v>51</v>
      </c>
      <c r="K243" s="5">
        <f>65 / 86400</f>
        <v>7.5231481481481482E-4</v>
      </c>
      <c r="L243" s="5">
        <f>20 / 86400</f>
        <v>2.3148148148148149E-4</v>
      </c>
    </row>
    <row r="244" spans="1:12" x14ac:dyDescent="0.25">
      <c r="A244" s="3">
        <v>45689.267881944441</v>
      </c>
      <c r="B244" t="s">
        <v>252</v>
      </c>
      <c r="C244" s="3">
        <v>45689.26834490741</v>
      </c>
      <c r="D244" t="s">
        <v>237</v>
      </c>
      <c r="E244" s="4">
        <v>0.38313700520992278</v>
      </c>
      <c r="F244" s="4">
        <v>345799.46896274056</v>
      </c>
      <c r="G244" s="4">
        <v>345799.85209974577</v>
      </c>
      <c r="H244" s="5">
        <f t="shared" si="3"/>
        <v>0</v>
      </c>
      <c r="I244" t="s">
        <v>233</v>
      </c>
      <c r="J244" t="s">
        <v>167</v>
      </c>
      <c r="K244" s="5">
        <f>40 / 86400</f>
        <v>4.6296296296296298E-4</v>
      </c>
      <c r="L244" s="5">
        <f>7 / 86400</f>
        <v>8.1018518518518516E-5</v>
      </c>
    </row>
    <row r="245" spans="1:12" x14ac:dyDescent="0.25">
      <c r="A245" s="3">
        <v>45689.268425925926</v>
      </c>
      <c r="B245" t="s">
        <v>253</v>
      </c>
      <c r="C245" s="3">
        <v>45689.271874999999</v>
      </c>
      <c r="D245" t="s">
        <v>234</v>
      </c>
      <c r="E245" s="4">
        <v>3.3715275266170504</v>
      </c>
      <c r="F245" s="4">
        <v>345799.87017399166</v>
      </c>
      <c r="G245" s="4">
        <v>345803.2417015183</v>
      </c>
      <c r="H245" s="5">
        <f t="shared" si="3"/>
        <v>0</v>
      </c>
      <c r="I245" t="s">
        <v>42</v>
      </c>
      <c r="J245" t="s">
        <v>254</v>
      </c>
      <c r="K245" s="5">
        <f>298 / 86400</f>
        <v>3.449074074074074E-3</v>
      </c>
      <c r="L245" s="5">
        <f>20 / 86400</f>
        <v>2.3148148148148149E-4</v>
      </c>
    </row>
    <row r="246" spans="1:12" x14ac:dyDescent="0.25">
      <c r="A246" s="3">
        <v>45689.272106481483</v>
      </c>
      <c r="B246" t="s">
        <v>234</v>
      </c>
      <c r="C246" s="3">
        <v>45689.273958333331</v>
      </c>
      <c r="D246" t="s">
        <v>115</v>
      </c>
      <c r="E246" s="4">
        <v>1.7577051652073861</v>
      </c>
      <c r="F246" s="4">
        <v>345803.24301279167</v>
      </c>
      <c r="G246" s="4">
        <v>345805.00071795692</v>
      </c>
      <c r="H246" s="5">
        <f t="shared" si="3"/>
        <v>0</v>
      </c>
      <c r="I246" t="s">
        <v>255</v>
      </c>
      <c r="J246" t="s">
        <v>107</v>
      </c>
      <c r="K246" s="5">
        <f>160 / 86400</f>
        <v>1.8518518518518519E-3</v>
      </c>
      <c r="L246" s="5">
        <f>26 / 86400</f>
        <v>3.0092592592592595E-4</v>
      </c>
    </row>
    <row r="247" spans="1:12" x14ac:dyDescent="0.25">
      <c r="A247" s="3">
        <v>45689.274259259255</v>
      </c>
      <c r="B247" t="s">
        <v>115</v>
      </c>
      <c r="C247" s="3">
        <v>45689.275648148148</v>
      </c>
      <c r="D247" t="s">
        <v>229</v>
      </c>
      <c r="E247" s="4">
        <v>0.86022120791673662</v>
      </c>
      <c r="F247" s="4">
        <v>345805.00413462514</v>
      </c>
      <c r="G247" s="4">
        <v>345805.86435583304</v>
      </c>
      <c r="H247" s="5">
        <f t="shared" si="3"/>
        <v>0</v>
      </c>
      <c r="I247" t="s">
        <v>157</v>
      </c>
      <c r="J247" t="s">
        <v>184</v>
      </c>
      <c r="K247" s="5">
        <f>120 / 86400</f>
        <v>1.3888888888888889E-3</v>
      </c>
      <c r="L247" s="5">
        <f t="shared" ref="L247:L252" si="5">20 / 86400</f>
        <v>2.3148148148148149E-4</v>
      </c>
    </row>
    <row r="248" spans="1:12" x14ac:dyDescent="0.25">
      <c r="A248" s="3">
        <v>45689.275879629626</v>
      </c>
      <c r="B248" t="s">
        <v>229</v>
      </c>
      <c r="C248" s="3">
        <v>45689.279085648144</v>
      </c>
      <c r="D248" t="s">
        <v>256</v>
      </c>
      <c r="E248" s="4">
        <v>2.5532680210471153</v>
      </c>
      <c r="F248" s="4">
        <v>345805.86927059421</v>
      </c>
      <c r="G248" s="4">
        <v>345808.42253861524</v>
      </c>
      <c r="H248" s="5">
        <f t="shared" si="3"/>
        <v>0</v>
      </c>
      <c r="I248" t="s">
        <v>224</v>
      </c>
      <c r="J248" t="s">
        <v>164</v>
      </c>
      <c r="K248" s="5">
        <f>277 / 86400</f>
        <v>3.2060185185185186E-3</v>
      </c>
      <c r="L248" s="5">
        <f t="shared" si="5"/>
        <v>2.3148148148148149E-4</v>
      </c>
    </row>
    <row r="249" spans="1:12" x14ac:dyDescent="0.25">
      <c r="A249" s="3">
        <v>45689.279317129629</v>
      </c>
      <c r="B249" t="s">
        <v>256</v>
      </c>
      <c r="C249" s="3">
        <v>45689.280011574076</v>
      </c>
      <c r="D249" t="s">
        <v>256</v>
      </c>
      <c r="E249" s="4">
        <v>0.23132313984632491</v>
      </c>
      <c r="F249" s="4">
        <v>345808.59977952146</v>
      </c>
      <c r="G249" s="4">
        <v>345808.83110266132</v>
      </c>
      <c r="H249" s="5">
        <f t="shared" si="3"/>
        <v>0</v>
      </c>
      <c r="I249" t="s">
        <v>257</v>
      </c>
      <c r="J249" t="s">
        <v>51</v>
      </c>
      <c r="K249" s="5">
        <f>60 / 86400</f>
        <v>6.9444444444444447E-4</v>
      </c>
      <c r="L249" s="5">
        <f t="shared" si="5"/>
        <v>2.3148148148148149E-4</v>
      </c>
    </row>
    <row r="250" spans="1:12" x14ac:dyDescent="0.25">
      <c r="A250" s="3">
        <v>45689.28024305556</v>
      </c>
      <c r="B250" t="s">
        <v>256</v>
      </c>
      <c r="C250" s="3">
        <v>45689.2809375</v>
      </c>
      <c r="D250" t="s">
        <v>229</v>
      </c>
      <c r="E250" s="4">
        <v>0.51760287845134734</v>
      </c>
      <c r="F250" s="4">
        <v>345808.88689473778</v>
      </c>
      <c r="G250" s="4">
        <v>345809.40449761623</v>
      </c>
      <c r="H250" s="5">
        <f t="shared" si="3"/>
        <v>0</v>
      </c>
      <c r="I250" t="s">
        <v>179</v>
      </c>
      <c r="J250" t="s">
        <v>151</v>
      </c>
      <c r="K250" s="5">
        <f>60 / 86400</f>
        <v>6.9444444444444447E-4</v>
      </c>
      <c r="L250" s="5">
        <f t="shared" si="5"/>
        <v>2.3148148148148149E-4</v>
      </c>
    </row>
    <row r="251" spans="1:12" x14ac:dyDescent="0.25">
      <c r="A251" s="3">
        <v>45689.281168981484</v>
      </c>
      <c r="B251" t="s">
        <v>258</v>
      </c>
      <c r="C251" s="3">
        <v>45689.284097222218</v>
      </c>
      <c r="D251" t="s">
        <v>259</v>
      </c>
      <c r="E251" s="4">
        <v>2.0207033301591872</v>
      </c>
      <c r="F251" s="4">
        <v>345809.4807855417</v>
      </c>
      <c r="G251" s="4">
        <v>345811.50148887187</v>
      </c>
      <c r="H251" s="5">
        <f t="shared" si="3"/>
        <v>0</v>
      </c>
      <c r="I251" t="s">
        <v>260</v>
      </c>
      <c r="J251" t="s">
        <v>91</v>
      </c>
      <c r="K251" s="5">
        <f>253 / 86400</f>
        <v>2.9282407407407408E-3</v>
      </c>
      <c r="L251" s="5">
        <f t="shared" si="5"/>
        <v>2.3148148148148149E-4</v>
      </c>
    </row>
    <row r="252" spans="1:12" x14ac:dyDescent="0.25">
      <c r="A252" s="3">
        <v>45689.284328703703</v>
      </c>
      <c r="B252" t="s">
        <v>259</v>
      </c>
      <c r="C252" s="3">
        <v>45689.29142361111</v>
      </c>
      <c r="D252" t="s">
        <v>222</v>
      </c>
      <c r="E252" s="4">
        <v>5.683126144230366</v>
      </c>
      <c r="F252" s="4">
        <v>345811.65787243773</v>
      </c>
      <c r="G252" s="4">
        <v>345817.34099858196</v>
      </c>
      <c r="H252" s="5">
        <f t="shared" si="3"/>
        <v>0</v>
      </c>
      <c r="I252" t="s">
        <v>95</v>
      </c>
      <c r="J252" t="s">
        <v>164</v>
      </c>
      <c r="K252" s="5">
        <f>613 / 86400</f>
        <v>7.0949074074074074E-3</v>
      </c>
      <c r="L252" s="5">
        <f t="shared" si="5"/>
        <v>2.3148148148148149E-4</v>
      </c>
    </row>
    <row r="253" spans="1:12" x14ac:dyDescent="0.25">
      <c r="A253" s="3">
        <v>45689.291655092587</v>
      </c>
      <c r="B253" t="s">
        <v>222</v>
      </c>
      <c r="C253" s="3">
        <v>45689.291886574079</v>
      </c>
      <c r="D253" t="s">
        <v>222</v>
      </c>
      <c r="E253" s="4">
        <v>5.9426404833793642E-3</v>
      </c>
      <c r="F253" s="4">
        <v>345817.34256738424</v>
      </c>
      <c r="G253" s="4">
        <v>345817.34851002472</v>
      </c>
      <c r="H253" s="5">
        <f t="shared" si="3"/>
        <v>0</v>
      </c>
      <c r="I253" t="s">
        <v>133</v>
      </c>
      <c r="J253" t="s">
        <v>100</v>
      </c>
      <c r="K253" s="5">
        <f>20 / 86400</f>
        <v>2.3148148148148149E-4</v>
      </c>
      <c r="L253" s="5">
        <f>80 / 86400</f>
        <v>9.2592592592592596E-4</v>
      </c>
    </row>
    <row r="254" spans="1:12" x14ac:dyDescent="0.25">
      <c r="A254" s="3">
        <v>45689.292812500003</v>
      </c>
      <c r="B254" t="s">
        <v>222</v>
      </c>
      <c r="C254" s="3">
        <v>45689.293287037042</v>
      </c>
      <c r="D254" t="s">
        <v>216</v>
      </c>
      <c r="E254" s="4">
        <v>0.4140022701025009</v>
      </c>
      <c r="F254" s="4">
        <v>345817.36740889878</v>
      </c>
      <c r="G254" s="4">
        <v>345817.78141116886</v>
      </c>
      <c r="H254" s="5">
        <f t="shared" si="3"/>
        <v>0</v>
      </c>
      <c r="I254" t="s">
        <v>260</v>
      </c>
      <c r="J254" t="s">
        <v>189</v>
      </c>
      <c r="K254" s="5">
        <f>41 / 86400</f>
        <v>4.7453703703703704E-4</v>
      </c>
      <c r="L254" s="5">
        <f>20 / 86400</f>
        <v>2.3148148148148149E-4</v>
      </c>
    </row>
    <row r="255" spans="1:12" x14ac:dyDescent="0.25">
      <c r="A255" s="3">
        <v>45689.29351851852</v>
      </c>
      <c r="B255" t="s">
        <v>222</v>
      </c>
      <c r="C255" s="3">
        <v>45689.295358796298</v>
      </c>
      <c r="D255" t="s">
        <v>75</v>
      </c>
      <c r="E255" s="4">
        <v>1.6109031484723091</v>
      </c>
      <c r="F255" s="4">
        <v>345817.94335630134</v>
      </c>
      <c r="G255" s="4">
        <v>345819.55425944983</v>
      </c>
      <c r="H255" s="5">
        <f t="shared" si="3"/>
        <v>0</v>
      </c>
      <c r="I255" t="s">
        <v>261</v>
      </c>
      <c r="J255" t="s">
        <v>189</v>
      </c>
      <c r="K255" s="5">
        <f>159 / 86400</f>
        <v>1.8402777777777777E-3</v>
      </c>
      <c r="L255" s="5">
        <f>20 / 86400</f>
        <v>2.3148148148148149E-4</v>
      </c>
    </row>
    <row r="256" spans="1:12" x14ac:dyDescent="0.25">
      <c r="A256" s="3">
        <v>45689.295590277776</v>
      </c>
      <c r="B256" t="s">
        <v>75</v>
      </c>
      <c r="C256" s="3">
        <v>45689.298368055555</v>
      </c>
      <c r="D256" t="s">
        <v>215</v>
      </c>
      <c r="E256" s="4">
        <v>2.3387441948652268</v>
      </c>
      <c r="F256" s="4">
        <v>345819.55467472802</v>
      </c>
      <c r="G256" s="4">
        <v>345821.8934189229</v>
      </c>
      <c r="H256" s="5">
        <f t="shared" si="3"/>
        <v>0</v>
      </c>
      <c r="I256" t="s">
        <v>224</v>
      </c>
      <c r="J256" t="s">
        <v>138</v>
      </c>
      <c r="K256" s="5">
        <f>240 / 86400</f>
        <v>2.7777777777777779E-3</v>
      </c>
      <c r="L256" s="5">
        <f>40 / 86400</f>
        <v>4.6296296296296298E-4</v>
      </c>
    </row>
    <row r="257" spans="1:12" x14ac:dyDescent="0.25">
      <c r="A257" s="3">
        <v>45689.298831018517</v>
      </c>
      <c r="B257" t="s">
        <v>75</v>
      </c>
      <c r="C257" s="3">
        <v>45689.30091435185</v>
      </c>
      <c r="D257" t="s">
        <v>213</v>
      </c>
      <c r="E257" s="4">
        <v>1.6222163248062134</v>
      </c>
      <c r="F257" s="4">
        <v>345822.04446826747</v>
      </c>
      <c r="G257" s="4">
        <v>345823.66668459232</v>
      </c>
      <c r="H257" s="5">
        <f t="shared" si="3"/>
        <v>0</v>
      </c>
      <c r="I257" t="s">
        <v>136</v>
      </c>
      <c r="J257" t="s">
        <v>147</v>
      </c>
      <c r="K257" s="5">
        <f>180 / 86400</f>
        <v>2.0833333333333333E-3</v>
      </c>
      <c r="L257" s="5">
        <f>40 / 86400</f>
        <v>4.6296296296296298E-4</v>
      </c>
    </row>
    <row r="258" spans="1:12" x14ac:dyDescent="0.25">
      <c r="A258" s="3">
        <v>45689.301377314812</v>
      </c>
      <c r="B258" t="s">
        <v>213</v>
      </c>
      <c r="C258" s="3">
        <v>45689.302766203706</v>
      </c>
      <c r="D258" t="s">
        <v>213</v>
      </c>
      <c r="E258" s="4">
        <v>0.52783734726905818</v>
      </c>
      <c r="F258" s="4">
        <v>345823.68397458008</v>
      </c>
      <c r="G258" s="4">
        <v>345824.21181192738</v>
      </c>
      <c r="H258" s="5">
        <f t="shared" si="3"/>
        <v>0</v>
      </c>
      <c r="I258" t="s">
        <v>141</v>
      </c>
      <c r="J258" t="s">
        <v>26</v>
      </c>
      <c r="K258" s="5">
        <f>120 / 86400</f>
        <v>1.3888888888888889E-3</v>
      </c>
      <c r="L258" s="5">
        <f>20 / 86400</f>
        <v>2.3148148148148149E-4</v>
      </c>
    </row>
    <row r="259" spans="1:12" x14ac:dyDescent="0.25">
      <c r="A259" s="3">
        <v>45689.302997685183</v>
      </c>
      <c r="B259" t="s">
        <v>213</v>
      </c>
      <c r="C259" s="3">
        <v>45689.303460648152</v>
      </c>
      <c r="D259" t="s">
        <v>213</v>
      </c>
      <c r="E259" s="4">
        <v>0.12084985792636871</v>
      </c>
      <c r="F259" s="4">
        <v>345824.22900118318</v>
      </c>
      <c r="G259" s="4">
        <v>345824.3498510411</v>
      </c>
      <c r="H259" s="5">
        <f t="shared" si="3"/>
        <v>0</v>
      </c>
      <c r="I259" t="s">
        <v>51</v>
      </c>
      <c r="J259" t="s">
        <v>71</v>
      </c>
      <c r="K259" s="5">
        <f>40 / 86400</f>
        <v>4.6296296296296298E-4</v>
      </c>
      <c r="L259" s="5">
        <f>20 / 86400</f>
        <v>2.3148148148148149E-4</v>
      </c>
    </row>
    <row r="260" spans="1:12" x14ac:dyDescent="0.25">
      <c r="A260" s="3">
        <v>45689.30369212963</v>
      </c>
      <c r="B260" t="s">
        <v>213</v>
      </c>
      <c r="C260" s="3">
        <v>45689.305312500001</v>
      </c>
      <c r="D260" t="s">
        <v>262</v>
      </c>
      <c r="E260" s="4">
        <v>0.93177287030220035</v>
      </c>
      <c r="F260" s="4">
        <v>345824.40556795534</v>
      </c>
      <c r="G260" s="4">
        <v>345825.33734082564</v>
      </c>
      <c r="H260" s="5">
        <f t="shared" si="3"/>
        <v>0</v>
      </c>
      <c r="I260" t="s">
        <v>245</v>
      </c>
      <c r="J260" t="s">
        <v>125</v>
      </c>
      <c r="K260" s="5">
        <f>140 / 86400</f>
        <v>1.6203703703703703E-3</v>
      </c>
      <c r="L260" s="5">
        <f>20 / 86400</f>
        <v>2.3148148148148149E-4</v>
      </c>
    </row>
    <row r="261" spans="1:12" x14ac:dyDescent="0.25">
      <c r="A261" s="3">
        <v>45689.305543981478</v>
      </c>
      <c r="B261" t="s">
        <v>263</v>
      </c>
      <c r="C261" s="3">
        <v>45689.311331018514</v>
      </c>
      <c r="D261" t="s">
        <v>212</v>
      </c>
      <c r="E261" s="4">
        <v>3.2611587240099906</v>
      </c>
      <c r="F261" s="4">
        <v>345825.40894327807</v>
      </c>
      <c r="G261" s="4">
        <v>345828.6701020021</v>
      </c>
      <c r="H261" s="5">
        <f t="shared" si="3"/>
        <v>0</v>
      </c>
      <c r="I261" t="s">
        <v>255</v>
      </c>
      <c r="J261" t="s">
        <v>35</v>
      </c>
      <c r="K261" s="5">
        <f>500 / 86400</f>
        <v>5.7870370370370367E-3</v>
      </c>
      <c r="L261" s="5">
        <f>11 / 86400</f>
        <v>1.273148148148148E-4</v>
      </c>
    </row>
    <row r="262" spans="1:12" x14ac:dyDescent="0.25">
      <c r="A262" s="3">
        <v>45689.311458333337</v>
      </c>
      <c r="B262" t="s">
        <v>264</v>
      </c>
      <c r="C262" s="3">
        <v>45689.313680555555</v>
      </c>
      <c r="D262" t="s">
        <v>265</v>
      </c>
      <c r="E262" s="4">
        <v>1.3252163595557214</v>
      </c>
      <c r="F262" s="4">
        <v>345828.71968793537</v>
      </c>
      <c r="G262" s="4">
        <v>345830.04490429489</v>
      </c>
      <c r="H262" s="5">
        <f t="shared" si="3"/>
        <v>0</v>
      </c>
      <c r="I262" t="s">
        <v>152</v>
      </c>
      <c r="J262" t="s">
        <v>123</v>
      </c>
      <c r="K262" s="5">
        <f>192 / 86400</f>
        <v>2.2222222222222222E-3</v>
      </c>
      <c r="L262" s="5">
        <f>18 / 86400</f>
        <v>2.0833333333333335E-4</v>
      </c>
    </row>
    <row r="263" spans="1:12" x14ac:dyDescent="0.25">
      <c r="A263" s="3">
        <v>45689.313888888893</v>
      </c>
      <c r="B263" t="s">
        <v>166</v>
      </c>
      <c r="C263" s="3">
        <v>45689.31527777778</v>
      </c>
      <c r="D263" t="s">
        <v>166</v>
      </c>
      <c r="E263" s="4">
        <v>0.93750140488147737</v>
      </c>
      <c r="F263" s="4">
        <v>345830.09217649145</v>
      </c>
      <c r="G263" s="4">
        <v>345831.02967789629</v>
      </c>
      <c r="H263" s="5">
        <f t="shared" si="3"/>
        <v>0</v>
      </c>
      <c r="I263" t="s">
        <v>65</v>
      </c>
      <c r="J263" t="s">
        <v>149</v>
      </c>
      <c r="K263" s="5">
        <f>120 / 86400</f>
        <v>1.3888888888888889E-3</v>
      </c>
      <c r="L263" s="5">
        <f>20 / 86400</f>
        <v>2.3148148148148149E-4</v>
      </c>
    </row>
    <row r="264" spans="1:12" x14ac:dyDescent="0.25">
      <c r="A264" s="3">
        <v>45689.315509259264</v>
      </c>
      <c r="B264" t="s">
        <v>166</v>
      </c>
      <c r="C264" s="3">
        <v>45689.318564814814</v>
      </c>
      <c r="D264" t="s">
        <v>266</v>
      </c>
      <c r="E264" s="4">
        <v>1.4255093822479248</v>
      </c>
      <c r="F264" s="4">
        <v>345831.07032531005</v>
      </c>
      <c r="G264" s="4">
        <v>345832.49583469232</v>
      </c>
      <c r="H264" s="5">
        <f t="shared" si="3"/>
        <v>0</v>
      </c>
      <c r="I264" t="s">
        <v>189</v>
      </c>
      <c r="J264" t="s">
        <v>49</v>
      </c>
      <c r="K264" s="5">
        <f>264 / 86400</f>
        <v>3.0555555555555557E-3</v>
      </c>
      <c r="L264" s="5">
        <f>19 / 86400</f>
        <v>2.199074074074074E-4</v>
      </c>
    </row>
    <row r="265" spans="1:12" x14ac:dyDescent="0.25">
      <c r="A265" s="3">
        <v>45689.318784722222</v>
      </c>
      <c r="B265" t="s">
        <v>266</v>
      </c>
      <c r="C265" s="3">
        <v>45689.319166666668</v>
      </c>
      <c r="D265" t="s">
        <v>172</v>
      </c>
      <c r="E265" s="4">
        <v>0.10865023982524871</v>
      </c>
      <c r="F265" s="4">
        <v>345832.50310257688</v>
      </c>
      <c r="G265" s="4">
        <v>345832.61175281671</v>
      </c>
      <c r="H265" s="5">
        <f t="shared" si="3"/>
        <v>0</v>
      </c>
      <c r="I265" t="s">
        <v>119</v>
      </c>
      <c r="J265" t="s">
        <v>99</v>
      </c>
      <c r="K265" s="5">
        <f>33 / 86400</f>
        <v>3.8194444444444446E-4</v>
      </c>
      <c r="L265" s="5">
        <f>8 / 86400</f>
        <v>9.2592592592592588E-5</v>
      </c>
    </row>
    <row r="266" spans="1:12" x14ac:dyDescent="0.25">
      <c r="A266" s="3">
        <v>45689.31925925926</v>
      </c>
      <c r="B266" t="s">
        <v>172</v>
      </c>
      <c r="C266" s="3">
        <v>45689.323009259257</v>
      </c>
      <c r="D266" t="s">
        <v>267</v>
      </c>
      <c r="E266" s="4">
        <v>2.0776077620983124</v>
      </c>
      <c r="F266" s="4">
        <v>345832.61635010713</v>
      </c>
      <c r="G266" s="4">
        <v>345834.69395786925</v>
      </c>
      <c r="H266" s="5">
        <f t="shared" si="3"/>
        <v>0</v>
      </c>
      <c r="I266" t="s">
        <v>179</v>
      </c>
      <c r="J266" t="s">
        <v>35</v>
      </c>
      <c r="K266" s="5">
        <f>324 / 86400</f>
        <v>3.7499999999999999E-3</v>
      </c>
      <c r="L266" s="5">
        <f>17 / 86400</f>
        <v>1.9675925925925926E-4</v>
      </c>
    </row>
    <row r="267" spans="1:12" x14ac:dyDescent="0.25">
      <c r="A267" s="3">
        <v>45689.323206018518</v>
      </c>
      <c r="B267" t="s">
        <v>267</v>
      </c>
      <c r="C267" s="3">
        <v>45689.323437500003</v>
      </c>
      <c r="D267" t="s">
        <v>177</v>
      </c>
      <c r="E267" s="4">
        <v>1.585726511478424E-2</v>
      </c>
      <c r="F267" s="4">
        <v>345834.70170545566</v>
      </c>
      <c r="G267" s="4">
        <v>345834.71756272076</v>
      </c>
      <c r="H267" s="5">
        <f t="shared" si="3"/>
        <v>0</v>
      </c>
      <c r="I267" t="s">
        <v>92</v>
      </c>
      <c r="J267" t="s">
        <v>121</v>
      </c>
      <c r="K267" s="5">
        <f>20 / 86400</f>
        <v>2.3148148148148149E-4</v>
      </c>
      <c r="L267" s="5">
        <f>20 / 86400</f>
        <v>2.3148148148148149E-4</v>
      </c>
    </row>
    <row r="268" spans="1:12" x14ac:dyDescent="0.25">
      <c r="A268" s="3">
        <v>45689.32366898148</v>
      </c>
      <c r="B268" t="s">
        <v>177</v>
      </c>
      <c r="C268" s="3">
        <v>45689.324155092589</v>
      </c>
      <c r="D268" t="s">
        <v>268</v>
      </c>
      <c r="E268" s="4">
        <v>0.15854194349050521</v>
      </c>
      <c r="F268" s="4">
        <v>345834.71959968004</v>
      </c>
      <c r="G268" s="4">
        <v>345834.87814162357</v>
      </c>
      <c r="H268" s="5">
        <f t="shared" si="3"/>
        <v>0</v>
      </c>
      <c r="I268" t="s">
        <v>35</v>
      </c>
      <c r="J268" t="s">
        <v>51</v>
      </c>
      <c r="K268" s="5">
        <f>42 / 86400</f>
        <v>4.861111111111111E-4</v>
      </c>
      <c r="L268" s="5">
        <f>11 / 86400</f>
        <v>1.273148148148148E-4</v>
      </c>
    </row>
    <row r="269" spans="1:12" x14ac:dyDescent="0.25">
      <c r="A269" s="3">
        <v>45689.324282407411</v>
      </c>
      <c r="B269" t="s">
        <v>177</v>
      </c>
      <c r="C269" s="3">
        <v>45689.324537037042</v>
      </c>
      <c r="D269" t="s">
        <v>205</v>
      </c>
      <c r="E269" s="4">
        <v>8.7621027231216432E-3</v>
      </c>
      <c r="F269" s="4">
        <v>345834.88748047652</v>
      </c>
      <c r="G269" s="4">
        <v>345834.89624257921</v>
      </c>
      <c r="H269" s="5">
        <f t="shared" si="3"/>
        <v>0</v>
      </c>
      <c r="I269" t="s">
        <v>31</v>
      </c>
      <c r="J269" t="s">
        <v>100</v>
      </c>
      <c r="K269" s="5">
        <f>22 / 86400</f>
        <v>2.5462962962962961E-4</v>
      </c>
      <c r="L269" s="5">
        <f>52 / 86400</f>
        <v>6.018518518518519E-4</v>
      </c>
    </row>
    <row r="270" spans="1:12" x14ac:dyDescent="0.25">
      <c r="A270" s="3">
        <v>45689.325138888889</v>
      </c>
      <c r="B270" t="s">
        <v>269</v>
      </c>
      <c r="C270" s="3">
        <v>45689.325370370367</v>
      </c>
      <c r="D270" t="s">
        <v>269</v>
      </c>
      <c r="E270" s="4">
        <v>0</v>
      </c>
      <c r="F270" s="4">
        <v>345835.01922618266</v>
      </c>
      <c r="G270" s="4">
        <v>345835.01922618266</v>
      </c>
      <c r="H270" s="5">
        <f t="shared" si="3"/>
        <v>0</v>
      </c>
      <c r="I270" t="s">
        <v>56</v>
      </c>
      <c r="J270" t="s">
        <v>37</v>
      </c>
      <c r="K270" s="5">
        <f>20 / 86400</f>
        <v>2.3148148148148149E-4</v>
      </c>
      <c r="L270" s="5">
        <f>20 / 86400</f>
        <v>2.3148148148148149E-4</v>
      </c>
    </row>
    <row r="271" spans="1:12" x14ac:dyDescent="0.25">
      <c r="A271" s="3">
        <v>45689.325601851851</v>
      </c>
      <c r="B271" t="s">
        <v>270</v>
      </c>
      <c r="C271" s="3">
        <v>45689.327152777776</v>
      </c>
      <c r="D271" t="s">
        <v>204</v>
      </c>
      <c r="E271" s="4">
        <v>0.83164187467098238</v>
      </c>
      <c r="F271" s="4">
        <v>345835.23362868937</v>
      </c>
      <c r="G271" s="4">
        <v>345836.06527056399</v>
      </c>
      <c r="H271" s="5">
        <f t="shared" si="3"/>
        <v>0</v>
      </c>
      <c r="I271" t="s">
        <v>254</v>
      </c>
      <c r="J271" t="s">
        <v>119</v>
      </c>
      <c r="K271" s="5">
        <f>134 / 86400</f>
        <v>1.5509259259259259E-3</v>
      </c>
      <c r="L271" s="5">
        <f>20 / 86400</f>
        <v>2.3148148148148149E-4</v>
      </c>
    </row>
    <row r="272" spans="1:12" x14ac:dyDescent="0.25">
      <c r="A272" s="3">
        <v>45689.327384259261</v>
      </c>
      <c r="B272" t="s">
        <v>204</v>
      </c>
      <c r="C272" s="3">
        <v>45689.329733796301</v>
      </c>
      <c r="D272" t="s">
        <v>271</v>
      </c>
      <c r="E272" s="4">
        <v>1.1371676163077356</v>
      </c>
      <c r="F272" s="4">
        <v>345836.10170142411</v>
      </c>
      <c r="G272" s="4">
        <v>345837.23886904045</v>
      </c>
      <c r="H272" s="5">
        <f t="shared" si="3"/>
        <v>0</v>
      </c>
      <c r="I272" t="s">
        <v>233</v>
      </c>
      <c r="J272" t="s">
        <v>62</v>
      </c>
      <c r="K272" s="5">
        <f>203 / 86400</f>
        <v>2.3495370370370371E-3</v>
      </c>
      <c r="L272" s="5">
        <f>20 / 86400</f>
        <v>2.3148148148148149E-4</v>
      </c>
    </row>
    <row r="273" spans="1:12" x14ac:dyDescent="0.25">
      <c r="A273" s="3">
        <v>45689.329965277779</v>
      </c>
      <c r="B273" t="s">
        <v>271</v>
      </c>
      <c r="C273" s="3">
        <v>45689.330879629633</v>
      </c>
      <c r="D273" t="s">
        <v>271</v>
      </c>
      <c r="E273" s="4">
        <v>0.36200846713781359</v>
      </c>
      <c r="F273" s="4">
        <v>345837.34756778326</v>
      </c>
      <c r="G273" s="4">
        <v>345837.7095762504</v>
      </c>
      <c r="H273" s="5">
        <f t="shared" si="3"/>
        <v>0</v>
      </c>
      <c r="I273" t="s">
        <v>119</v>
      </c>
      <c r="J273" t="s">
        <v>26</v>
      </c>
      <c r="K273" s="5">
        <f>79 / 86400</f>
        <v>9.1435185185185185E-4</v>
      </c>
      <c r="L273" s="5">
        <f>20 / 86400</f>
        <v>2.3148148148148149E-4</v>
      </c>
    </row>
    <row r="274" spans="1:12" x14ac:dyDescent="0.25">
      <c r="A274" s="3">
        <v>45689.331111111111</v>
      </c>
      <c r="B274" t="s">
        <v>271</v>
      </c>
      <c r="C274" s="3">
        <v>45689.333310185189</v>
      </c>
      <c r="D274" t="s">
        <v>272</v>
      </c>
      <c r="E274" s="4">
        <v>0.70308161783218381</v>
      </c>
      <c r="F274" s="4">
        <v>345837.72654388007</v>
      </c>
      <c r="G274" s="4">
        <v>345838.4296254979</v>
      </c>
      <c r="H274" s="5">
        <f t="shared" si="3"/>
        <v>0</v>
      </c>
      <c r="I274" t="s">
        <v>151</v>
      </c>
      <c r="J274" t="s">
        <v>31</v>
      </c>
      <c r="K274" s="5">
        <f>190 / 86400</f>
        <v>2.1990740740740742E-3</v>
      </c>
      <c r="L274" s="5">
        <f>14 / 86400</f>
        <v>1.6203703703703703E-4</v>
      </c>
    </row>
    <row r="275" spans="1:12" x14ac:dyDescent="0.25">
      <c r="A275" s="3">
        <v>45689.333472222221</v>
      </c>
      <c r="B275" t="s">
        <v>273</v>
      </c>
      <c r="C275" s="3">
        <v>45689.334189814814</v>
      </c>
      <c r="D275" t="s">
        <v>130</v>
      </c>
      <c r="E275" s="4">
        <v>0.11835889881849289</v>
      </c>
      <c r="F275" s="4">
        <v>345838.46767114935</v>
      </c>
      <c r="G275" s="4">
        <v>345838.5860300482</v>
      </c>
      <c r="H275" s="5">
        <f t="shared" si="3"/>
        <v>0</v>
      </c>
      <c r="I275" t="s">
        <v>20</v>
      </c>
      <c r="J275" t="s">
        <v>126</v>
      </c>
      <c r="K275" s="5">
        <f>62 / 86400</f>
        <v>7.1759259259259259E-4</v>
      </c>
      <c r="L275" s="5">
        <f>4 / 86400</f>
        <v>4.6296296296296294E-5</v>
      </c>
    </row>
    <row r="276" spans="1:12" x14ac:dyDescent="0.25">
      <c r="A276" s="3">
        <v>45689.334236111114</v>
      </c>
      <c r="B276" t="s">
        <v>130</v>
      </c>
      <c r="C276" s="3">
        <v>45689.335960648154</v>
      </c>
      <c r="D276" t="s">
        <v>274</v>
      </c>
      <c r="E276" s="4">
        <v>0.26655275171995163</v>
      </c>
      <c r="F276" s="4">
        <v>345838.58982333809</v>
      </c>
      <c r="G276" s="4">
        <v>345838.8563760898</v>
      </c>
      <c r="H276" s="5">
        <f t="shared" si="3"/>
        <v>0</v>
      </c>
      <c r="I276" t="s">
        <v>116</v>
      </c>
      <c r="J276" t="s">
        <v>92</v>
      </c>
      <c r="K276" s="5">
        <f>149 / 86400</f>
        <v>1.724537037037037E-3</v>
      </c>
      <c r="L276" s="5">
        <f>20 / 86400</f>
        <v>2.3148148148148149E-4</v>
      </c>
    </row>
    <row r="277" spans="1:12" x14ac:dyDescent="0.25">
      <c r="A277" s="3">
        <v>45689.336192129631</v>
      </c>
      <c r="B277" t="s">
        <v>130</v>
      </c>
      <c r="C277" s="3">
        <v>45689.337314814809</v>
      </c>
      <c r="D277" t="s">
        <v>274</v>
      </c>
      <c r="E277" s="4">
        <v>0.14502019119262696</v>
      </c>
      <c r="F277" s="4">
        <v>345838.89798619825</v>
      </c>
      <c r="G277" s="4">
        <v>345839.04300638946</v>
      </c>
      <c r="H277" s="5">
        <f t="shared" si="3"/>
        <v>0</v>
      </c>
      <c r="I277" t="s">
        <v>20</v>
      </c>
      <c r="J277" t="s">
        <v>56</v>
      </c>
      <c r="K277" s="5">
        <f>97 / 86400</f>
        <v>1.1226851851851851E-3</v>
      </c>
      <c r="L277" s="5">
        <f>4 / 86400</f>
        <v>4.6296296296296294E-5</v>
      </c>
    </row>
    <row r="278" spans="1:12" x14ac:dyDescent="0.25">
      <c r="A278" s="3">
        <v>45689.337361111116</v>
      </c>
      <c r="B278" t="s">
        <v>274</v>
      </c>
      <c r="C278" s="3">
        <v>45689.337592592594</v>
      </c>
      <c r="D278" t="s">
        <v>274</v>
      </c>
      <c r="E278" s="4">
        <v>3.2746153354644772E-2</v>
      </c>
      <c r="F278" s="4">
        <v>345839.04655519983</v>
      </c>
      <c r="G278" s="4">
        <v>345839.07930135319</v>
      </c>
      <c r="H278" s="5">
        <f t="shared" si="3"/>
        <v>0</v>
      </c>
      <c r="I278" t="s">
        <v>56</v>
      </c>
      <c r="J278" t="s">
        <v>92</v>
      </c>
      <c r="K278" s="5">
        <f>20 / 86400</f>
        <v>2.3148148148148149E-4</v>
      </c>
      <c r="L278" s="5">
        <f>25 / 86400</f>
        <v>2.8935185185185184E-4</v>
      </c>
    </row>
    <row r="279" spans="1:12" x14ac:dyDescent="0.25">
      <c r="A279" s="3">
        <v>45689.337881944448</v>
      </c>
      <c r="B279" t="s">
        <v>274</v>
      </c>
      <c r="C279" s="3">
        <v>45689.339444444442</v>
      </c>
      <c r="D279" t="s">
        <v>275</v>
      </c>
      <c r="E279" s="4">
        <v>0.49026209294795992</v>
      </c>
      <c r="F279" s="4">
        <v>345839.0892047598</v>
      </c>
      <c r="G279" s="4">
        <v>345839.57946685271</v>
      </c>
      <c r="H279" s="5">
        <f t="shared" si="3"/>
        <v>0</v>
      </c>
      <c r="I279" t="s">
        <v>206</v>
      </c>
      <c r="J279" t="s">
        <v>31</v>
      </c>
      <c r="K279" s="5">
        <f>135 / 86400</f>
        <v>1.5625000000000001E-3</v>
      </c>
      <c r="L279" s="5">
        <f>8 / 86400</f>
        <v>9.2592592592592588E-5</v>
      </c>
    </row>
    <row r="280" spans="1:12" x14ac:dyDescent="0.25">
      <c r="A280" s="3">
        <v>45689.339537037042</v>
      </c>
      <c r="B280" t="s">
        <v>275</v>
      </c>
      <c r="C280" s="3">
        <v>45689.340798611112</v>
      </c>
      <c r="D280" t="s">
        <v>131</v>
      </c>
      <c r="E280" s="4">
        <v>0.27546382671594621</v>
      </c>
      <c r="F280" s="4">
        <v>345839.58599740086</v>
      </c>
      <c r="G280" s="4">
        <v>345839.86146122759</v>
      </c>
      <c r="H280" s="5">
        <f t="shared" si="3"/>
        <v>0</v>
      </c>
      <c r="I280" t="s">
        <v>31</v>
      </c>
      <c r="J280" t="s">
        <v>85</v>
      </c>
      <c r="K280" s="5">
        <f>109 / 86400</f>
        <v>1.261574074074074E-3</v>
      </c>
      <c r="L280" s="5">
        <f>7 / 86400</f>
        <v>8.1018518518518516E-5</v>
      </c>
    </row>
    <row r="281" spans="1:12" x14ac:dyDescent="0.25">
      <c r="A281" s="3">
        <v>45689.340879629628</v>
      </c>
      <c r="B281" t="s">
        <v>276</v>
      </c>
      <c r="C281" s="3">
        <v>45689.342499999999</v>
      </c>
      <c r="D281" t="s">
        <v>134</v>
      </c>
      <c r="E281" s="4">
        <v>0.90754081797599795</v>
      </c>
      <c r="F281" s="4">
        <v>345839.8702031463</v>
      </c>
      <c r="G281" s="4">
        <v>345840.77774396428</v>
      </c>
      <c r="H281" s="5">
        <f t="shared" si="3"/>
        <v>0</v>
      </c>
      <c r="I281" t="s">
        <v>165</v>
      </c>
      <c r="J281" t="s">
        <v>35</v>
      </c>
      <c r="K281" s="5">
        <f>140 / 86400</f>
        <v>1.6203703703703703E-3</v>
      </c>
      <c r="L281" s="5">
        <f>28 / 86400</f>
        <v>3.2407407407407406E-4</v>
      </c>
    </row>
    <row r="282" spans="1:12" x14ac:dyDescent="0.25">
      <c r="A282" s="3">
        <v>45689.342824074076</v>
      </c>
      <c r="B282" t="s">
        <v>277</v>
      </c>
      <c r="C282" s="3">
        <v>45689.343981481477</v>
      </c>
      <c r="D282" t="s">
        <v>278</v>
      </c>
      <c r="E282" s="4">
        <v>0.17402969080209732</v>
      </c>
      <c r="F282" s="4">
        <v>345840.81583920179</v>
      </c>
      <c r="G282" s="4">
        <v>345840.98986889259</v>
      </c>
      <c r="H282" s="5">
        <f t="shared" si="3"/>
        <v>0</v>
      </c>
      <c r="I282" t="s">
        <v>62</v>
      </c>
      <c r="J282" t="s">
        <v>92</v>
      </c>
      <c r="K282" s="5">
        <f>100 / 86400</f>
        <v>1.1574074074074073E-3</v>
      </c>
      <c r="L282" s="5">
        <f>20 / 86400</f>
        <v>2.3148148148148149E-4</v>
      </c>
    </row>
    <row r="283" spans="1:12" x14ac:dyDescent="0.25">
      <c r="A283" s="3">
        <v>45689.344212962962</v>
      </c>
      <c r="B283" t="s">
        <v>279</v>
      </c>
      <c r="C283" s="3">
        <v>45689.344675925924</v>
      </c>
      <c r="D283" t="s">
        <v>280</v>
      </c>
      <c r="E283" s="4">
        <v>0.18248017990589141</v>
      </c>
      <c r="F283" s="4">
        <v>345841.02512486937</v>
      </c>
      <c r="G283" s="4">
        <v>345841.20760504925</v>
      </c>
      <c r="H283" s="5">
        <f t="shared" si="3"/>
        <v>0</v>
      </c>
      <c r="I283" t="s">
        <v>20</v>
      </c>
      <c r="J283" t="s">
        <v>26</v>
      </c>
      <c r="K283" s="5">
        <f>40 / 86400</f>
        <v>4.6296296296296298E-4</v>
      </c>
      <c r="L283" s="5">
        <f>40 / 86400</f>
        <v>4.6296296296296298E-4</v>
      </c>
    </row>
    <row r="284" spans="1:12" x14ac:dyDescent="0.25">
      <c r="A284" s="3">
        <v>45689.345138888893</v>
      </c>
      <c r="B284" t="s">
        <v>281</v>
      </c>
      <c r="C284" s="3">
        <v>45689.345833333333</v>
      </c>
      <c r="D284" t="s">
        <v>282</v>
      </c>
      <c r="E284" s="4">
        <v>0.39359798765182497</v>
      </c>
      <c r="F284" s="4">
        <v>345841.34930467361</v>
      </c>
      <c r="G284" s="4">
        <v>345841.74290266127</v>
      </c>
      <c r="H284" s="5">
        <f t="shared" si="3"/>
        <v>0</v>
      </c>
      <c r="I284" t="s">
        <v>161</v>
      </c>
      <c r="J284" t="s">
        <v>125</v>
      </c>
      <c r="K284" s="5">
        <f>60 / 86400</f>
        <v>6.9444444444444447E-4</v>
      </c>
      <c r="L284" s="5">
        <f>46 / 86400</f>
        <v>5.3240740740740744E-4</v>
      </c>
    </row>
    <row r="285" spans="1:12" x14ac:dyDescent="0.25">
      <c r="A285" s="3">
        <v>45689.346365740741</v>
      </c>
      <c r="B285" t="s">
        <v>283</v>
      </c>
      <c r="C285" s="3">
        <v>45689.348495370374</v>
      </c>
      <c r="D285" t="s">
        <v>284</v>
      </c>
      <c r="E285" s="4">
        <v>1.6916252078413963</v>
      </c>
      <c r="F285" s="4">
        <v>345841.75816764677</v>
      </c>
      <c r="G285" s="4">
        <v>345843.4497928546</v>
      </c>
      <c r="H285" s="5">
        <f t="shared" si="3"/>
        <v>0</v>
      </c>
      <c r="I285" t="s">
        <v>145</v>
      </c>
      <c r="J285" t="s">
        <v>164</v>
      </c>
      <c r="K285" s="5">
        <f>184 / 86400</f>
        <v>2.1296296296296298E-3</v>
      </c>
      <c r="L285" s="5">
        <f>20 / 86400</f>
        <v>2.3148148148148149E-4</v>
      </c>
    </row>
    <row r="286" spans="1:12" x14ac:dyDescent="0.25">
      <c r="A286" s="3">
        <v>45689.348726851851</v>
      </c>
      <c r="B286" t="s">
        <v>285</v>
      </c>
      <c r="C286" s="3">
        <v>45689.348958333328</v>
      </c>
      <c r="D286" t="s">
        <v>285</v>
      </c>
      <c r="E286" s="4">
        <v>0</v>
      </c>
      <c r="F286" s="4">
        <v>345843.50463670859</v>
      </c>
      <c r="G286" s="4">
        <v>345843.50463670859</v>
      </c>
      <c r="H286" s="5">
        <f t="shared" si="3"/>
        <v>0</v>
      </c>
      <c r="I286" t="s">
        <v>100</v>
      </c>
      <c r="J286" t="s">
        <v>37</v>
      </c>
      <c r="K286" s="5">
        <f>20 / 86400</f>
        <v>2.3148148148148149E-4</v>
      </c>
      <c r="L286" s="5">
        <f>20 / 86400</f>
        <v>2.3148148148148149E-4</v>
      </c>
    </row>
    <row r="287" spans="1:12" x14ac:dyDescent="0.25">
      <c r="A287" s="3">
        <v>45689.349189814813</v>
      </c>
      <c r="B287" t="s">
        <v>109</v>
      </c>
      <c r="C287" s="3">
        <v>45689.350115740745</v>
      </c>
      <c r="D287" t="s">
        <v>199</v>
      </c>
      <c r="E287" s="4">
        <v>0.25868691360950469</v>
      </c>
      <c r="F287" s="4">
        <v>345843.52326169272</v>
      </c>
      <c r="G287" s="4">
        <v>345843.78194860631</v>
      </c>
      <c r="H287" s="5">
        <f t="shared" si="3"/>
        <v>0</v>
      </c>
      <c r="I287" t="s">
        <v>123</v>
      </c>
      <c r="J287" t="s">
        <v>99</v>
      </c>
      <c r="K287" s="5">
        <f>80 / 86400</f>
        <v>9.2592592592592596E-4</v>
      </c>
      <c r="L287" s="5">
        <f>40 / 86400</f>
        <v>4.6296296296296298E-4</v>
      </c>
    </row>
    <row r="288" spans="1:12" x14ac:dyDescent="0.25">
      <c r="A288" s="3">
        <v>45689.350578703699</v>
      </c>
      <c r="B288" t="s">
        <v>284</v>
      </c>
      <c r="C288" s="3">
        <v>45689.352187500001</v>
      </c>
      <c r="D288" t="s">
        <v>286</v>
      </c>
      <c r="E288" s="4">
        <v>0.55329090857505803</v>
      </c>
      <c r="F288" s="4">
        <v>345843.81982417201</v>
      </c>
      <c r="G288" s="4">
        <v>345844.37311508058</v>
      </c>
      <c r="H288" s="5">
        <f t="shared" si="3"/>
        <v>0</v>
      </c>
      <c r="I288" t="s">
        <v>239</v>
      </c>
      <c r="J288" t="s">
        <v>51</v>
      </c>
      <c r="K288" s="5">
        <f>139 / 86400</f>
        <v>1.6087962962962963E-3</v>
      </c>
      <c r="L288" s="5">
        <f>20 / 86400</f>
        <v>2.3148148148148149E-4</v>
      </c>
    </row>
    <row r="289" spans="1:12" x14ac:dyDescent="0.25">
      <c r="A289" s="3">
        <v>45689.352418981478</v>
      </c>
      <c r="B289" t="s">
        <v>287</v>
      </c>
      <c r="C289" s="3">
        <v>45689.352650462963</v>
      </c>
      <c r="D289" t="s">
        <v>287</v>
      </c>
      <c r="E289" s="4">
        <v>2.2201841473579406E-3</v>
      </c>
      <c r="F289" s="4">
        <v>345844.38593243976</v>
      </c>
      <c r="G289" s="4">
        <v>345844.3881526239</v>
      </c>
      <c r="H289" s="5">
        <f t="shared" si="3"/>
        <v>0</v>
      </c>
      <c r="I289" t="s">
        <v>100</v>
      </c>
      <c r="J289" t="s">
        <v>37</v>
      </c>
      <c r="K289" s="5">
        <f>20 / 86400</f>
        <v>2.3148148148148149E-4</v>
      </c>
      <c r="L289" s="5">
        <f>349 / 86400</f>
        <v>4.0393518518518521E-3</v>
      </c>
    </row>
    <row r="290" spans="1:12" x14ac:dyDescent="0.25">
      <c r="A290" s="3">
        <v>45689.356689814813</v>
      </c>
      <c r="B290" t="s">
        <v>286</v>
      </c>
      <c r="C290" s="3">
        <v>45689.357615740737</v>
      </c>
      <c r="D290" t="s">
        <v>288</v>
      </c>
      <c r="E290" s="4">
        <v>0.78191395533084873</v>
      </c>
      <c r="F290" s="4">
        <v>345844.55375863682</v>
      </c>
      <c r="G290" s="4">
        <v>345845.33567259216</v>
      </c>
      <c r="H290" s="5">
        <f t="shared" si="3"/>
        <v>0</v>
      </c>
      <c r="I290" t="s">
        <v>170</v>
      </c>
      <c r="J290" t="s">
        <v>138</v>
      </c>
      <c r="K290" s="5">
        <f>80 / 86400</f>
        <v>9.2592592592592596E-4</v>
      </c>
      <c r="L290" s="5">
        <f>20 / 86400</f>
        <v>2.3148148148148149E-4</v>
      </c>
    </row>
    <row r="291" spans="1:12" x14ac:dyDescent="0.25">
      <c r="A291" s="3">
        <v>45689.357847222222</v>
      </c>
      <c r="B291" t="s">
        <v>288</v>
      </c>
      <c r="C291" s="3">
        <v>45689.359050925923</v>
      </c>
      <c r="D291" t="s">
        <v>289</v>
      </c>
      <c r="E291" s="4">
        <v>0.79540866571664814</v>
      </c>
      <c r="F291" s="4">
        <v>345845.41534652666</v>
      </c>
      <c r="G291" s="4">
        <v>345846.21075519238</v>
      </c>
      <c r="H291" s="5">
        <f t="shared" si="3"/>
        <v>0</v>
      </c>
      <c r="I291" t="s">
        <v>154</v>
      </c>
      <c r="J291" t="s">
        <v>149</v>
      </c>
      <c r="K291" s="5">
        <f>104 / 86400</f>
        <v>1.2037037037037038E-3</v>
      </c>
      <c r="L291" s="5">
        <f>118 / 86400</f>
        <v>1.3657407407407407E-3</v>
      </c>
    </row>
    <row r="292" spans="1:12" x14ac:dyDescent="0.25">
      <c r="A292" s="3">
        <v>45689.360416666663</v>
      </c>
      <c r="B292" t="s">
        <v>289</v>
      </c>
      <c r="C292" s="3">
        <v>45689.361111111109</v>
      </c>
      <c r="D292" t="s">
        <v>290</v>
      </c>
      <c r="E292" s="4">
        <v>0.1882468020915985</v>
      </c>
      <c r="F292" s="4">
        <v>345846.22208456928</v>
      </c>
      <c r="G292" s="4">
        <v>345846.41033137136</v>
      </c>
      <c r="H292" s="5">
        <f t="shared" si="3"/>
        <v>0</v>
      </c>
      <c r="I292" t="s">
        <v>99</v>
      </c>
      <c r="J292" t="s">
        <v>71</v>
      </c>
      <c r="K292" s="5">
        <f>60 / 86400</f>
        <v>6.9444444444444447E-4</v>
      </c>
      <c r="L292" s="5">
        <f>80 / 86400</f>
        <v>9.2592592592592596E-4</v>
      </c>
    </row>
    <row r="293" spans="1:12" x14ac:dyDescent="0.25">
      <c r="A293" s="3">
        <v>45689.362037037034</v>
      </c>
      <c r="B293" t="s">
        <v>290</v>
      </c>
      <c r="C293" s="3">
        <v>45689.362754629634</v>
      </c>
      <c r="D293" t="s">
        <v>200</v>
      </c>
      <c r="E293" s="4">
        <v>0.13416767275333405</v>
      </c>
      <c r="F293" s="4">
        <v>345846.43355089932</v>
      </c>
      <c r="G293" s="4">
        <v>345846.5677185721</v>
      </c>
      <c r="H293" s="5">
        <f t="shared" si="3"/>
        <v>0</v>
      </c>
      <c r="I293" t="s">
        <v>35</v>
      </c>
      <c r="J293" t="s">
        <v>120</v>
      </c>
      <c r="K293" s="5">
        <f>62 / 86400</f>
        <v>7.1759259259259259E-4</v>
      </c>
      <c r="L293" s="5">
        <f>20 / 86400</f>
        <v>2.3148148148148149E-4</v>
      </c>
    </row>
    <row r="294" spans="1:12" x14ac:dyDescent="0.25">
      <c r="A294" s="3">
        <v>45689.362986111111</v>
      </c>
      <c r="B294" t="s">
        <v>200</v>
      </c>
      <c r="C294" s="3">
        <v>45689.365856481483</v>
      </c>
      <c r="D294" t="s">
        <v>291</v>
      </c>
      <c r="E294" s="4">
        <v>0.70559059554338455</v>
      </c>
      <c r="F294" s="4">
        <v>345846.58960441465</v>
      </c>
      <c r="G294" s="4">
        <v>345847.2951950102</v>
      </c>
      <c r="H294" s="5">
        <f t="shared" ref="H294:H357" si="6">0 / 86400</f>
        <v>0</v>
      </c>
      <c r="I294" t="s">
        <v>206</v>
      </c>
      <c r="J294" t="s">
        <v>116</v>
      </c>
      <c r="K294" s="5">
        <f>248 / 86400</f>
        <v>2.8703703703703703E-3</v>
      </c>
      <c r="L294" s="5">
        <f>13 / 86400</f>
        <v>1.5046296296296297E-4</v>
      </c>
    </row>
    <row r="295" spans="1:12" x14ac:dyDescent="0.25">
      <c r="A295" s="3">
        <v>45689.366006944445</v>
      </c>
      <c r="B295" t="s">
        <v>292</v>
      </c>
      <c r="C295" s="3">
        <v>45689.366238425922</v>
      </c>
      <c r="D295" t="s">
        <v>292</v>
      </c>
      <c r="E295" s="4">
        <v>2.2124552130699158E-3</v>
      </c>
      <c r="F295" s="4">
        <v>345847.29963448411</v>
      </c>
      <c r="G295" s="4">
        <v>345847.30184693931</v>
      </c>
      <c r="H295" s="5">
        <f t="shared" si="6"/>
        <v>0</v>
      </c>
      <c r="I295" t="s">
        <v>56</v>
      </c>
      <c r="J295" t="s">
        <v>37</v>
      </c>
      <c r="K295" s="5">
        <f>20 / 86400</f>
        <v>2.3148148148148149E-4</v>
      </c>
      <c r="L295" s="5">
        <f>40 / 86400</f>
        <v>4.6296296296296298E-4</v>
      </c>
    </row>
    <row r="296" spans="1:12" x14ac:dyDescent="0.25">
      <c r="A296" s="3">
        <v>45689.366701388892</v>
      </c>
      <c r="B296" t="s">
        <v>292</v>
      </c>
      <c r="C296" s="3">
        <v>45689.370821759258</v>
      </c>
      <c r="D296" t="s">
        <v>293</v>
      </c>
      <c r="E296" s="4">
        <v>0.95900873309373857</v>
      </c>
      <c r="F296" s="4">
        <v>345847.32645875751</v>
      </c>
      <c r="G296" s="4">
        <v>345848.28546749061</v>
      </c>
      <c r="H296" s="5">
        <f t="shared" si="6"/>
        <v>0</v>
      </c>
      <c r="I296" t="s">
        <v>35</v>
      </c>
      <c r="J296" t="s">
        <v>116</v>
      </c>
      <c r="K296" s="5">
        <f>356 / 86400</f>
        <v>4.1203703703703706E-3</v>
      </c>
      <c r="L296" s="5">
        <f>20 / 86400</f>
        <v>2.3148148148148149E-4</v>
      </c>
    </row>
    <row r="297" spans="1:12" x14ac:dyDescent="0.25">
      <c r="A297" s="3">
        <v>45689.371053240742</v>
      </c>
      <c r="B297" t="s">
        <v>294</v>
      </c>
      <c r="C297" s="3">
        <v>45689.37128472222</v>
      </c>
      <c r="D297" t="s">
        <v>294</v>
      </c>
      <c r="E297" s="4">
        <v>2.8484820127487182E-3</v>
      </c>
      <c r="F297" s="4">
        <v>345848.3872885668</v>
      </c>
      <c r="G297" s="4">
        <v>345848.39013704879</v>
      </c>
      <c r="H297" s="5">
        <f t="shared" si="6"/>
        <v>0</v>
      </c>
      <c r="I297" t="s">
        <v>100</v>
      </c>
      <c r="J297" t="s">
        <v>100</v>
      </c>
      <c r="K297" s="5">
        <f>20 / 86400</f>
        <v>2.3148148148148149E-4</v>
      </c>
      <c r="L297" s="5">
        <f>2 / 86400</f>
        <v>2.3148148148148147E-5</v>
      </c>
    </row>
    <row r="298" spans="1:12" x14ac:dyDescent="0.25">
      <c r="A298" s="3">
        <v>45689.371307870373</v>
      </c>
      <c r="B298" t="s">
        <v>294</v>
      </c>
      <c r="C298" s="3">
        <v>45689.372245370367</v>
      </c>
      <c r="D298" t="s">
        <v>182</v>
      </c>
      <c r="E298" s="4">
        <v>0.12445959430932999</v>
      </c>
      <c r="F298" s="4">
        <v>345848.39146218938</v>
      </c>
      <c r="G298" s="4">
        <v>345848.51592178369</v>
      </c>
      <c r="H298" s="5">
        <f t="shared" si="6"/>
        <v>0</v>
      </c>
      <c r="I298" t="s">
        <v>99</v>
      </c>
      <c r="J298" t="s">
        <v>92</v>
      </c>
      <c r="K298" s="5">
        <f>81 / 86400</f>
        <v>9.3749999999999997E-4</v>
      </c>
      <c r="L298" s="5">
        <f>76 / 86400</f>
        <v>8.7962962962962962E-4</v>
      </c>
    </row>
    <row r="299" spans="1:12" x14ac:dyDescent="0.25">
      <c r="A299" s="3">
        <v>45689.373124999998</v>
      </c>
      <c r="B299" t="s">
        <v>182</v>
      </c>
      <c r="C299" s="3">
        <v>45689.37364583333</v>
      </c>
      <c r="D299" t="s">
        <v>295</v>
      </c>
      <c r="E299" s="4">
        <v>0.2903717859387398</v>
      </c>
      <c r="F299" s="4">
        <v>345848.58025171619</v>
      </c>
      <c r="G299" s="4">
        <v>345848.87062350212</v>
      </c>
      <c r="H299" s="5">
        <f t="shared" si="6"/>
        <v>0</v>
      </c>
      <c r="I299" t="s">
        <v>173</v>
      </c>
      <c r="J299" t="s">
        <v>35</v>
      </c>
      <c r="K299" s="5">
        <f>45 / 86400</f>
        <v>5.2083333333333333E-4</v>
      </c>
      <c r="L299" s="5">
        <f>20 / 86400</f>
        <v>2.3148148148148149E-4</v>
      </c>
    </row>
    <row r="300" spans="1:12" x14ac:dyDescent="0.25">
      <c r="A300" s="3">
        <v>45689.373877314814</v>
      </c>
      <c r="B300" t="s">
        <v>203</v>
      </c>
      <c r="C300" s="3">
        <v>45689.374108796299</v>
      </c>
      <c r="D300" t="s">
        <v>295</v>
      </c>
      <c r="E300" s="4">
        <v>2.5890503466129304E-2</v>
      </c>
      <c r="F300" s="4">
        <v>345848.93911054649</v>
      </c>
      <c r="G300" s="4">
        <v>345848.96500104992</v>
      </c>
      <c r="H300" s="5">
        <f t="shared" si="6"/>
        <v>0</v>
      </c>
      <c r="I300" t="s">
        <v>26</v>
      </c>
      <c r="J300" t="s">
        <v>56</v>
      </c>
      <c r="K300" s="5">
        <f>20 / 86400</f>
        <v>2.3148148148148149E-4</v>
      </c>
      <c r="L300" s="5">
        <f>100 / 86400</f>
        <v>1.1574074074074073E-3</v>
      </c>
    </row>
    <row r="301" spans="1:12" x14ac:dyDescent="0.25">
      <c r="A301" s="3">
        <v>45689.3752662037</v>
      </c>
      <c r="B301" t="s">
        <v>203</v>
      </c>
      <c r="C301" s="3">
        <v>45689.37572916667</v>
      </c>
      <c r="D301" t="s">
        <v>202</v>
      </c>
      <c r="E301" s="4">
        <v>8.470947414636612E-2</v>
      </c>
      <c r="F301" s="4">
        <v>345848.97094235994</v>
      </c>
      <c r="G301" s="4">
        <v>345849.05565183406</v>
      </c>
      <c r="H301" s="5">
        <f t="shared" si="6"/>
        <v>0</v>
      </c>
      <c r="I301" t="s">
        <v>99</v>
      </c>
      <c r="J301" t="s">
        <v>120</v>
      </c>
      <c r="K301" s="5">
        <f>40 / 86400</f>
        <v>4.6296296296296298E-4</v>
      </c>
      <c r="L301" s="5">
        <f>120 / 86400</f>
        <v>1.3888888888888889E-3</v>
      </c>
    </row>
    <row r="302" spans="1:12" x14ac:dyDescent="0.25">
      <c r="A302" s="3">
        <v>45689.377118055556</v>
      </c>
      <c r="B302" t="s">
        <v>203</v>
      </c>
      <c r="C302" s="3">
        <v>45689.381608796291</v>
      </c>
      <c r="D302" t="s">
        <v>205</v>
      </c>
      <c r="E302" s="4">
        <v>3.1249882367253305</v>
      </c>
      <c r="F302" s="4">
        <v>345849.09123980772</v>
      </c>
      <c r="G302" s="4">
        <v>345852.21622804448</v>
      </c>
      <c r="H302" s="5">
        <f t="shared" si="6"/>
        <v>0</v>
      </c>
      <c r="I302" t="s">
        <v>261</v>
      </c>
      <c r="J302" t="s">
        <v>91</v>
      </c>
      <c r="K302" s="5">
        <f>388 / 86400</f>
        <v>4.4907407407407405E-3</v>
      </c>
      <c r="L302" s="5">
        <f>60 / 86400</f>
        <v>6.9444444444444447E-4</v>
      </c>
    </row>
    <row r="303" spans="1:12" x14ac:dyDescent="0.25">
      <c r="A303" s="3">
        <v>45689.382303240738</v>
      </c>
      <c r="B303" t="s">
        <v>296</v>
      </c>
      <c r="C303" s="3">
        <v>45689.382534722223</v>
      </c>
      <c r="D303" t="s">
        <v>205</v>
      </c>
      <c r="E303" s="4">
        <v>1.3330294489860535E-2</v>
      </c>
      <c r="F303" s="4">
        <v>345852.24537785858</v>
      </c>
      <c r="G303" s="4">
        <v>345852.25870815309</v>
      </c>
      <c r="H303" s="5">
        <f t="shared" si="6"/>
        <v>0</v>
      </c>
      <c r="I303" t="s">
        <v>100</v>
      </c>
      <c r="J303" t="s">
        <v>133</v>
      </c>
      <c r="K303" s="5">
        <f>20 / 86400</f>
        <v>2.3148148148148149E-4</v>
      </c>
      <c r="L303" s="5">
        <f>80 / 86400</f>
        <v>9.2592592592592596E-4</v>
      </c>
    </row>
    <row r="304" spans="1:12" x14ac:dyDescent="0.25">
      <c r="A304" s="3">
        <v>45689.383460648147</v>
      </c>
      <c r="B304" t="s">
        <v>205</v>
      </c>
      <c r="C304" s="3">
        <v>45689.383900462963</v>
      </c>
      <c r="D304" t="s">
        <v>296</v>
      </c>
      <c r="E304" s="4">
        <v>1.9448221385478973E-2</v>
      </c>
      <c r="F304" s="4">
        <v>345852.28170175181</v>
      </c>
      <c r="G304" s="4">
        <v>345852.30114997324</v>
      </c>
      <c r="H304" s="5">
        <f t="shared" si="6"/>
        <v>0</v>
      </c>
      <c r="I304" t="s">
        <v>56</v>
      </c>
      <c r="J304" t="s">
        <v>133</v>
      </c>
      <c r="K304" s="5">
        <f>38 / 86400</f>
        <v>4.3981481481481481E-4</v>
      </c>
      <c r="L304" s="5">
        <f>220 / 86400</f>
        <v>2.5462962962962965E-3</v>
      </c>
    </row>
    <row r="305" spans="1:12" x14ac:dyDescent="0.25">
      <c r="A305" s="3">
        <v>45689.386446759258</v>
      </c>
      <c r="B305" t="s">
        <v>296</v>
      </c>
      <c r="C305" s="3">
        <v>45689.386678240742</v>
      </c>
      <c r="D305" t="s">
        <v>296</v>
      </c>
      <c r="E305" s="4">
        <v>3.8134859204292299E-3</v>
      </c>
      <c r="F305" s="4">
        <v>345852.3422889951</v>
      </c>
      <c r="G305" s="4">
        <v>345852.34610248101</v>
      </c>
      <c r="H305" s="5">
        <f t="shared" si="6"/>
        <v>0</v>
      </c>
      <c r="I305" t="s">
        <v>100</v>
      </c>
      <c r="J305" t="s">
        <v>100</v>
      </c>
      <c r="K305" s="5">
        <f>20 / 86400</f>
        <v>2.3148148148148149E-4</v>
      </c>
      <c r="L305" s="5">
        <f>140 / 86400</f>
        <v>1.6203703703703703E-3</v>
      </c>
    </row>
    <row r="306" spans="1:12" x14ac:dyDescent="0.25">
      <c r="A306" s="3">
        <v>45689.388298611113</v>
      </c>
      <c r="B306" t="s">
        <v>296</v>
      </c>
      <c r="C306" s="3">
        <v>45689.390428240746</v>
      </c>
      <c r="D306" t="s">
        <v>297</v>
      </c>
      <c r="E306" s="4">
        <v>0.65332763719558717</v>
      </c>
      <c r="F306" s="4">
        <v>345852.36856044881</v>
      </c>
      <c r="G306" s="4">
        <v>345853.02188808605</v>
      </c>
      <c r="H306" s="5">
        <f t="shared" si="6"/>
        <v>0</v>
      </c>
      <c r="I306" t="s">
        <v>125</v>
      </c>
      <c r="J306" t="s">
        <v>31</v>
      </c>
      <c r="K306" s="5">
        <f>184 / 86400</f>
        <v>2.1296296296296298E-3</v>
      </c>
      <c r="L306" s="5">
        <f>7 / 86400</f>
        <v>8.1018518518518516E-5</v>
      </c>
    </row>
    <row r="307" spans="1:12" x14ac:dyDescent="0.25">
      <c r="A307" s="3">
        <v>45689.390509259261</v>
      </c>
      <c r="B307" t="s">
        <v>297</v>
      </c>
      <c r="C307" s="3">
        <v>45689.391203703708</v>
      </c>
      <c r="D307" t="s">
        <v>298</v>
      </c>
      <c r="E307" s="4">
        <v>0.39076401084661483</v>
      </c>
      <c r="F307" s="4">
        <v>345853.02886543662</v>
      </c>
      <c r="G307" s="4">
        <v>345853.41962944745</v>
      </c>
      <c r="H307" s="5">
        <f t="shared" si="6"/>
        <v>0</v>
      </c>
      <c r="I307" t="s">
        <v>138</v>
      </c>
      <c r="J307" t="s">
        <v>35</v>
      </c>
      <c r="K307" s="5">
        <f>60 / 86400</f>
        <v>6.9444444444444447E-4</v>
      </c>
      <c r="L307" s="5">
        <f>23 / 86400</f>
        <v>2.6620370370370372E-4</v>
      </c>
    </row>
    <row r="308" spans="1:12" x14ac:dyDescent="0.25">
      <c r="A308" s="3">
        <v>45689.391469907408</v>
      </c>
      <c r="B308" t="s">
        <v>298</v>
      </c>
      <c r="C308" s="3">
        <v>45689.394259259258</v>
      </c>
      <c r="D308" t="s">
        <v>172</v>
      </c>
      <c r="E308" s="4">
        <v>1.5003119578957558</v>
      </c>
      <c r="F308" s="4">
        <v>345853.42703988362</v>
      </c>
      <c r="G308" s="4">
        <v>345854.92735184153</v>
      </c>
      <c r="H308" s="5">
        <f t="shared" si="6"/>
        <v>0</v>
      </c>
      <c r="I308" t="s">
        <v>138</v>
      </c>
      <c r="J308" t="s">
        <v>119</v>
      </c>
      <c r="K308" s="5">
        <f>241 / 86400</f>
        <v>2.7893518518518519E-3</v>
      </c>
      <c r="L308" s="5">
        <f>20 / 86400</f>
        <v>2.3148148148148149E-4</v>
      </c>
    </row>
    <row r="309" spans="1:12" x14ac:dyDescent="0.25">
      <c r="A309" s="3">
        <v>45689.394490740742</v>
      </c>
      <c r="B309" t="s">
        <v>172</v>
      </c>
      <c r="C309" s="3">
        <v>45689.398159722223</v>
      </c>
      <c r="D309" t="s">
        <v>168</v>
      </c>
      <c r="E309" s="4">
        <v>1.9630379146933556</v>
      </c>
      <c r="F309" s="4">
        <v>345854.9478898638</v>
      </c>
      <c r="G309" s="4">
        <v>345856.91092777846</v>
      </c>
      <c r="H309" s="5">
        <f t="shared" si="6"/>
        <v>0</v>
      </c>
      <c r="I309" t="s">
        <v>129</v>
      </c>
      <c r="J309" t="s">
        <v>119</v>
      </c>
      <c r="K309" s="5">
        <f>317 / 86400</f>
        <v>3.6689814814814814E-3</v>
      </c>
      <c r="L309" s="5">
        <f>40 / 86400</f>
        <v>4.6296296296296298E-4</v>
      </c>
    </row>
    <row r="310" spans="1:12" x14ac:dyDescent="0.25">
      <c r="A310" s="3">
        <v>45689.398622685185</v>
      </c>
      <c r="B310" t="s">
        <v>166</v>
      </c>
      <c r="C310" s="3">
        <v>45689.399317129632</v>
      </c>
      <c r="D310" t="s">
        <v>166</v>
      </c>
      <c r="E310" s="4">
        <v>0.3696341942548752</v>
      </c>
      <c r="F310" s="4">
        <v>345857.07215495454</v>
      </c>
      <c r="G310" s="4">
        <v>345857.44178914878</v>
      </c>
      <c r="H310" s="5">
        <f t="shared" si="6"/>
        <v>0</v>
      </c>
      <c r="I310" t="s">
        <v>189</v>
      </c>
      <c r="J310" t="s">
        <v>119</v>
      </c>
      <c r="K310" s="5">
        <f>60 / 86400</f>
        <v>6.9444444444444447E-4</v>
      </c>
      <c r="L310" s="5">
        <f>20 / 86400</f>
        <v>2.3148148148148149E-4</v>
      </c>
    </row>
    <row r="311" spans="1:12" x14ac:dyDescent="0.25">
      <c r="A311" s="3">
        <v>45689.399548611109</v>
      </c>
      <c r="B311" t="s">
        <v>166</v>
      </c>
      <c r="C311" s="3">
        <v>45689.400011574078</v>
      </c>
      <c r="D311" t="s">
        <v>299</v>
      </c>
      <c r="E311" s="4">
        <v>5.9525916934013365E-2</v>
      </c>
      <c r="F311" s="4">
        <v>345857.44566953991</v>
      </c>
      <c r="G311" s="4">
        <v>345857.50519545685</v>
      </c>
      <c r="H311" s="5">
        <f t="shared" si="6"/>
        <v>0</v>
      </c>
      <c r="I311" t="s">
        <v>99</v>
      </c>
      <c r="J311" t="s">
        <v>56</v>
      </c>
      <c r="K311" s="5">
        <f>40 / 86400</f>
        <v>4.6296296296296298E-4</v>
      </c>
      <c r="L311" s="5">
        <f>20 / 86400</f>
        <v>2.3148148148148149E-4</v>
      </c>
    </row>
    <row r="312" spans="1:12" x14ac:dyDescent="0.25">
      <c r="A312" s="3">
        <v>45689.400243055556</v>
      </c>
      <c r="B312" t="s">
        <v>33</v>
      </c>
      <c r="C312" s="3">
        <v>45689.402071759258</v>
      </c>
      <c r="D312" t="s">
        <v>212</v>
      </c>
      <c r="E312" s="4">
        <v>1.1502868492007257</v>
      </c>
      <c r="F312" s="4">
        <v>345857.51855742413</v>
      </c>
      <c r="G312" s="4">
        <v>345858.66884427331</v>
      </c>
      <c r="H312" s="5">
        <f t="shared" si="6"/>
        <v>0</v>
      </c>
      <c r="I312" t="s">
        <v>170</v>
      </c>
      <c r="J312" t="s">
        <v>184</v>
      </c>
      <c r="K312" s="5">
        <f>158 / 86400</f>
        <v>1.8287037037037037E-3</v>
      </c>
      <c r="L312" s="5">
        <f>20 / 86400</f>
        <v>2.3148148148148149E-4</v>
      </c>
    </row>
    <row r="313" spans="1:12" x14ac:dyDescent="0.25">
      <c r="A313" s="3">
        <v>45689.402303240742</v>
      </c>
      <c r="B313" t="s">
        <v>212</v>
      </c>
      <c r="C313" s="3">
        <v>45689.402766203704</v>
      </c>
      <c r="D313" t="s">
        <v>212</v>
      </c>
      <c r="E313" s="4">
        <v>0.22442326349020003</v>
      </c>
      <c r="F313" s="4">
        <v>345858.69651452592</v>
      </c>
      <c r="G313" s="4">
        <v>345858.92093778937</v>
      </c>
      <c r="H313" s="5">
        <f t="shared" si="6"/>
        <v>0</v>
      </c>
      <c r="I313" t="s">
        <v>123</v>
      </c>
      <c r="J313" t="s">
        <v>62</v>
      </c>
      <c r="K313" s="5">
        <f>40 / 86400</f>
        <v>4.6296296296296298E-4</v>
      </c>
      <c r="L313" s="5">
        <f>20 / 86400</f>
        <v>2.3148148148148149E-4</v>
      </c>
    </row>
    <row r="314" spans="1:12" x14ac:dyDescent="0.25">
      <c r="A314" s="3">
        <v>45689.402997685189</v>
      </c>
      <c r="B314" t="s">
        <v>212</v>
      </c>
      <c r="C314" s="3">
        <v>45689.403923611113</v>
      </c>
      <c r="D314" t="s">
        <v>212</v>
      </c>
      <c r="E314" s="4">
        <v>0.61224985313415525</v>
      </c>
      <c r="F314" s="4">
        <v>345859.09678984678</v>
      </c>
      <c r="G314" s="4">
        <v>345859.70903969993</v>
      </c>
      <c r="H314" s="5">
        <f t="shared" si="6"/>
        <v>0</v>
      </c>
      <c r="I314" t="s">
        <v>160</v>
      </c>
      <c r="J314" t="s">
        <v>149</v>
      </c>
      <c r="K314" s="5">
        <f>80 / 86400</f>
        <v>9.2592592592592596E-4</v>
      </c>
      <c r="L314" s="5">
        <f>60 / 86400</f>
        <v>6.9444444444444447E-4</v>
      </c>
    </row>
    <row r="315" spans="1:12" x14ac:dyDescent="0.25">
      <c r="A315" s="3">
        <v>45689.40461805556</v>
      </c>
      <c r="B315" t="s">
        <v>212</v>
      </c>
      <c r="C315" s="3">
        <v>45689.405312499999</v>
      </c>
      <c r="D315" t="s">
        <v>300</v>
      </c>
      <c r="E315" s="4">
        <v>9.5516433238983151E-2</v>
      </c>
      <c r="F315" s="4">
        <v>345859.81237128307</v>
      </c>
      <c r="G315" s="4">
        <v>345859.90788771631</v>
      </c>
      <c r="H315" s="5">
        <f t="shared" si="6"/>
        <v>0</v>
      </c>
      <c r="I315" t="s">
        <v>51</v>
      </c>
      <c r="J315" t="s">
        <v>92</v>
      </c>
      <c r="K315" s="5">
        <f>60 / 86400</f>
        <v>6.9444444444444447E-4</v>
      </c>
      <c r="L315" s="5">
        <f>40 / 86400</f>
        <v>4.6296296296296298E-4</v>
      </c>
    </row>
    <row r="316" spans="1:12" x14ac:dyDescent="0.25">
      <c r="A316" s="3">
        <v>45689.405775462961</v>
      </c>
      <c r="B316" t="s">
        <v>300</v>
      </c>
      <c r="C316" s="3">
        <v>45689.406655092593</v>
      </c>
      <c r="D316" t="s">
        <v>301</v>
      </c>
      <c r="E316" s="4">
        <v>0.26031151485443116</v>
      </c>
      <c r="F316" s="4">
        <v>345859.91089265147</v>
      </c>
      <c r="G316" s="4">
        <v>345860.17120416637</v>
      </c>
      <c r="H316" s="5">
        <f t="shared" si="6"/>
        <v>0</v>
      </c>
      <c r="I316" t="s">
        <v>149</v>
      </c>
      <c r="J316" t="s">
        <v>99</v>
      </c>
      <c r="K316" s="5">
        <f>76 / 86400</f>
        <v>8.7962962962962962E-4</v>
      </c>
      <c r="L316" s="5">
        <f>40 / 86400</f>
        <v>4.6296296296296298E-4</v>
      </c>
    </row>
    <row r="317" spans="1:12" x14ac:dyDescent="0.25">
      <c r="A317" s="3">
        <v>45689.407118055555</v>
      </c>
      <c r="B317" t="s">
        <v>302</v>
      </c>
      <c r="C317" s="3">
        <v>45689.407581018517</v>
      </c>
      <c r="D317" t="s">
        <v>302</v>
      </c>
      <c r="E317" s="4">
        <v>1.5081274986267089E-2</v>
      </c>
      <c r="F317" s="4">
        <v>345860.18876814825</v>
      </c>
      <c r="G317" s="4">
        <v>345860.20384942321</v>
      </c>
      <c r="H317" s="5">
        <f t="shared" si="6"/>
        <v>0</v>
      </c>
      <c r="I317" t="s">
        <v>121</v>
      </c>
      <c r="J317" t="s">
        <v>100</v>
      </c>
      <c r="K317" s="5">
        <f>40 / 86400</f>
        <v>4.6296296296296298E-4</v>
      </c>
      <c r="L317" s="5">
        <f>2 / 86400</f>
        <v>2.3148148148148147E-5</v>
      </c>
    </row>
    <row r="318" spans="1:12" x14ac:dyDescent="0.25">
      <c r="A318" s="3">
        <v>45689.40760416667</v>
      </c>
      <c r="B318" t="s">
        <v>302</v>
      </c>
      <c r="C318" s="3">
        <v>45689.408136574071</v>
      </c>
      <c r="D318" t="s">
        <v>303</v>
      </c>
      <c r="E318" s="4">
        <v>0.21144987946748733</v>
      </c>
      <c r="F318" s="4">
        <v>345860.20591635304</v>
      </c>
      <c r="G318" s="4">
        <v>345860.41736623249</v>
      </c>
      <c r="H318" s="5">
        <f t="shared" si="6"/>
        <v>0</v>
      </c>
      <c r="I318" t="s">
        <v>107</v>
      </c>
      <c r="J318" t="s">
        <v>30</v>
      </c>
      <c r="K318" s="5">
        <f>46 / 86400</f>
        <v>5.3240740740740744E-4</v>
      </c>
      <c r="L318" s="5">
        <f>60 / 86400</f>
        <v>6.9444444444444447E-4</v>
      </c>
    </row>
    <row r="319" spans="1:12" x14ac:dyDescent="0.25">
      <c r="A319" s="3">
        <v>45689.408831018518</v>
      </c>
      <c r="B319" t="s">
        <v>304</v>
      </c>
      <c r="C319" s="3">
        <v>45689.409525462965</v>
      </c>
      <c r="D319" t="s">
        <v>305</v>
      </c>
      <c r="E319" s="4">
        <v>4.240290892124176E-2</v>
      </c>
      <c r="F319" s="4">
        <v>345860.58511250978</v>
      </c>
      <c r="G319" s="4">
        <v>345860.62751541869</v>
      </c>
      <c r="H319" s="5">
        <f t="shared" si="6"/>
        <v>0</v>
      </c>
      <c r="I319" t="s">
        <v>121</v>
      </c>
      <c r="J319" t="s">
        <v>121</v>
      </c>
      <c r="K319" s="5">
        <f>60 / 86400</f>
        <v>6.9444444444444447E-4</v>
      </c>
      <c r="L319" s="5">
        <f>20 / 86400</f>
        <v>2.3148148148148149E-4</v>
      </c>
    </row>
    <row r="320" spans="1:12" x14ac:dyDescent="0.25">
      <c r="A320" s="3">
        <v>45689.409756944442</v>
      </c>
      <c r="B320" t="s">
        <v>305</v>
      </c>
      <c r="C320" s="3">
        <v>45689.411851851852</v>
      </c>
      <c r="D320" t="s">
        <v>18</v>
      </c>
      <c r="E320" s="4">
        <v>0.63142747050523762</v>
      </c>
      <c r="F320" s="4">
        <v>345860.64119857212</v>
      </c>
      <c r="G320" s="4">
        <v>345861.2726260426</v>
      </c>
      <c r="H320" s="5">
        <f t="shared" si="6"/>
        <v>0</v>
      </c>
      <c r="I320" t="s">
        <v>149</v>
      </c>
      <c r="J320" t="s">
        <v>31</v>
      </c>
      <c r="K320" s="5">
        <f>181 / 86400</f>
        <v>2.0949074074074073E-3</v>
      </c>
      <c r="L320" s="5">
        <f>26 / 86400</f>
        <v>3.0092592592592595E-4</v>
      </c>
    </row>
    <row r="321" spans="1:12" x14ac:dyDescent="0.25">
      <c r="A321" s="3">
        <v>45689.412152777775</v>
      </c>
      <c r="B321" t="s">
        <v>306</v>
      </c>
      <c r="C321" s="3">
        <v>45689.413310185184</v>
      </c>
      <c r="D321" t="s">
        <v>307</v>
      </c>
      <c r="E321" s="4">
        <v>0.60732455319166179</v>
      </c>
      <c r="F321" s="4">
        <v>345861.29980584723</v>
      </c>
      <c r="G321" s="4">
        <v>345861.90713040042</v>
      </c>
      <c r="H321" s="5">
        <f t="shared" si="6"/>
        <v>0</v>
      </c>
      <c r="I321" t="s">
        <v>91</v>
      </c>
      <c r="J321" t="s">
        <v>119</v>
      </c>
      <c r="K321" s="5">
        <f>100 / 86400</f>
        <v>1.1574074074074073E-3</v>
      </c>
      <c r="L321" s="5">
        <f>40 / 86400</f>
        <v>4.6296296296296298E-4</v>
      </c>
    </row>
    <row r="322" spans="1:12" x14ac:dyDescent="0.25">
      <c r="A322" s="3">
        <v>45689.413773148146</v>
      </c>
      <c r="B322" t="s">
        <v>308</v>
      </c>
      <c r="C322" s="3">
        <v>45689.414467592593</v>
      </c>
      <c r="D322" t="s">
        <v>213</v>
      </c>
      <c r="E322" s="4">
        <v>0.56631348210573196</v>
      </c>
      <c r="F322" s="4">
        <v>345862.00562630495</v>
      </c>
      <c r="G322" s="4">
        <v>345862.57193978701</v>
      </c>
      <c r="H322" s="5">
        <f t="shared" si="6"/>
        <v>0</v>
      </c>
      <c r="I322" t="s">
        <v>154</v>
      </c>
      <c r="J322" t="s">
        <v>167</v>
      </c>
      <c r="K322" s="5">
        <f>60 / 86400</f>
        <v>6.9444444444444447E-4</v>
      </c>
      <c r="L322" s="5">
        <f>57 / 86400</f>
        <v>6.5972222222222224E-4</v>
      </c>
    </row>
    <row r="323" spans="1:12" x14ac:dyDescent="0.25">
      <c r="A323" s="3">
        <v>45689.415127314816</v>
      </c>
      <c r="B323" t="s">
        <v>213</v>
      </c>
      <c r="C323" s="3">
        <v>45689.416284722218</v>
      </c>
      <c r="D323" t="s">
        <v>213</v>
      </c>
      <c r="E323" s="4">
        <v>0.66256129556894305</v>
      </c>
      <c r="F323" s="4">
        <v>345862.57582742063</v>
      </c>
      <c r="G323" s="4">
        <v>345863.23838871624</v>
      </c>
      <c r="H323" s="5">
        <f t="shared" si="6"/>
        <v>0</v>
      </c>
      <c r="I323" t="s">
        <v>170</v>
      </c>
      <c r="J323" t="s">
        <v>125</v>
      </c>
      <c r="K323" s="5">
        <f>100 / 86400</f>
        <v>1.1574074074074073E-3</v>
      </c>
      <c r="L323" s="5">
        <f>40 / 86400</f>
        <v>4.6296296296296298E-4</v>
      </c>
    </row>
    <row r="324" spans="1:12" x14ac:dyDescent="0.25">
      <c r="A324" s="3">
        <v>45689.416747685187</v>
      </c>
      <c r="B324" t="s">
        <v>213</v>
      </c>
      <c r="C324" s="3">
        <v>45689.417442129634</v>
      </c>
      <c r="D324" t="s">
        <v>213</v>
      </c>
      <c r="E324" s="4">
        <v>0.1310904719233513</v>
      </c>
      <c r="F324" s="4">
        <v>345863.25636688212</v>
      </c>
      <c r="G324" s="4">
        <v>345863.38745735405</v>
      </c>
      <c r="H324" s="5">
        <f t="shared" si="6"/>
        <v>0</v>
      </c>
      <c r="I324" t="s">
        <v>31</v>
      </c>
      <c r="J324" t="s">
        <v>120</v>
      </c>
      <c r="K324" s="5">
        <f>60 / 86400</f>
        <v>6.9444444444444447E-4</v>
      </c>
      <c r="L324" s="5">
        <f>60 / 86400</f>
        <v>6.9444444444444447E-4</v>
      </c>
    </row>
    <row r="325" spans="1:12" x14ac:dyDescent="0.25">
      <c r="A325" s="3">
        <v>45689.418136574073</v>
      </c>
      <c r="B325" t="s">
        <v>213</v>
      </c>
      <c r="C325" s="3">
        <v>45689.42114583333</v>
      </c>
      <c r="D325" t="s">
        <v>75</v>
      </c>
      <c r="E325" s="4">
        <v>1.6148782987594605</v>
      </c>
      <c r="F325" s="4">
        <v>345863.51029741101</v>
      </c>
      <c r="G325" s="4">
        <v>345865.12517570978</v>
      </c>
      <c r="H325" s="5">
        <f t="shared" si="6"/>
        <v>0</v>
      </c>
      <c r="I325" t="s">
        <v>224</v>
      </c>
      <c r="J325" t="s">
        <v>119</v>
      </c>
      <c r="K325" s="5">
        <f>260 / 86400</f>
        <v>3.0092592592592593E-3</v>
      </c>
      <c r="L325" s="5">
        <f>8 / 86400</f>
        <v>9.2592592592592588E-5</v>
      </c>
    </row>
    <row r="326" spans="1:12" x14ac:dyDescent="0.25">
      <c r="A326" s="3">
        <v>45689.42123842593</v>
      </c>
      <c r="B326" t="s">
        <v>75</v>
      </c>
      <c r="C326" s="3">
        <v>45689.421631944446</v>
      </c>
      <c r="D326" t="s">
        <v>75</v>
      </c>
      <c r="E326" s="4">
        <v>9.8030983209609988E-3</v>
      </c>
      <c r="F326" s="4">
        <v>345865.13916679961</v>
      </c>
      <c r="G326" s="4">
        <v>345865.14896989794</v>
      </c>
      <c r="H326" s="5">
        <f t="shared" si="6"/>
        <v>0</v>
      </c>
      <c r="I326" t="s">
        <v>126</v>
      </c>
      <c r="J326" t="s">
        <v>100</v>
      </c>
      <c r="K326" s="5">
        <f>34 / 86400</f>
        <v>3.9351851851851852E-4</v>
      </c>
      <c r="L326" s="5">
        <f>41 / 86400</f>
        <v>4.7453703703703704E-4</v>
      </c>
    </row>
    <row r="327" spans="1:12" x14ac:dyDescent="0.25">
      <c r="A327" s="3">
        <v>45689.422106481477</v>
      </c>
      <c r="B327" t="s">
        <v>75</v>
      </c>
      <c r="C327" s="3">
        <v>45689.422337962962</v>
      </c>
      <c r="D327" t="s">
        <v>75</v>
      </c>
      <c r="E327" s="4">
        <v>1.6279098689556123E-2</v>
      </c>
      <c r="F327" s="4">
        <v>345865.16729971406</v>
      </c>
      <c r="G327" s="4">
        <v>345865.18357881269</v>
      </c>
      <c r="H327" s="5">
        <f t="shared" si="6"/>
        <v>0</v>
      </c>
      <c r="I327" t="s">
        <v>85</v>
      </c>
      <c r="J327" t="s">
        <v>121</v>
      </c>
      <c r="K327" s="5">
        <f>20 / 86400</f>
        <v>2.3148148148148149E-4</v>
      </c>
      <c r="L327" s="5">
        <f>20 / 86400</f>
        <v>2.3148148148148149E-4</v>
      </c>
    </row>
    <row r="328" spans="1:12" x14ac:dyDescent="0.25">
      <c r="A328" s="3">
        <v>45689.422569444447</v>
      </c>
      <c r="B328" t="s">
        <v>75</v>
      </c>
      <c r="C328" s="3">
        <v>45689.422800925924</v>
      </c>
      <c r="D328" t="s">
        <v>75</v>
      </c>
      <c r="E328" s="4">
        <v>2.9909142851829527E-3</v>
      </c>
      <c r="F328" s="4">
        <v>345865.19654201553</v>
      </c>
      <c r="G328" s="4">
        <v>345865.19953292987</v>
      </c>
      <c r="H328" s="5">
        <f t="shared" si="6"/>
        <v>0</v>
      </c>
      <c r="I328" t="s">
        <v>121</v>
      </c>
      <c r="J328" t="s">
        <v>100</v>
      </c>
      <c r="K328" s="5">
        <f>20 / 86400</f>
        <v>2.3148148148148149E-4</v>
      </c>
      <c r="L328" s="5">
        <f>60 / 86400</f>
        <v>6.9444444444444447E-4</v>
      </c>
    </row>
    <row r="329" spans="1:12" x14ac:dyDescent="0.25">
      <c r="A329" s="3">
        <v>45689.423495370371</v>
      </c>
      <c r="B329" t="s">
        <v>75</v>
      </c>
      <c r="C329" s="3">
        <v>45689.42465277778</v>
      </c>
      <c r="D329" t="s">
        <v>75</v>
      </c>
      <c r="E329" s="4">
        <v>0.85733067625761028</v>
      </c>
      <c r="F329" s="4">
        <v>345865.20480783482</v>
      </c>
      <c r="G329" s="4">
        <v>345866.06213851104</v>
      </c>
      <c r="H329" s="5">
        <f t="shared" si="6"/>
        <v>0</v>
      </c>
      <c r="I329" t="s">
        <v>152</v>
      </c>
      <c r="J329" t="s">
        <v>151</v>
      </c>
      <c r="K329" s="5">
        <f>100 / 86400</f>
        <v>1.1574074074074073E-3</v>
      </c>
      <c r="L329" s="5">
        <f>20 / 86400</f>
        <v>2.3148148148148149E-4</v>
      </c>
    </row>
    <row r="330" spans="1:12" x14ac:dyDescent="0.25">
      <c r="A330" s="3">
        <v>45689.424884259264</v>
      </c>
      <c r="B330" t="s">
        <v>309</v>
      </c>
      <c r="C330" s="3">
        <v>45689.425810185188</v>
      </c>
      <c r="D330" t="s">
        <v>75</v>
      </c>
      <c r="E330" s="4">
        <v>0.71761836075782781</v>
      </c>
      <c r="F330" s="4">
        <v>345866.13192182139</v>
      </c>
      <c r="G330" s="4">
        <v>345866.84954018216</v>
      </c>
      <c r="H330" s="5">
        <f t="shared" si="6"/>
        <v>0</v>
      </c>
      <c r="I330" t="s">
        <v>160</v>
      </c>
      <c r="J330" t="s">
        <v>147</v>
      </c>
      <c r="K330" s="5">
        <f>80 / 86400</f>
        <v>9.2592592592592596E-4</v>
      </c>
      <c r="L330" s="5">
        <f>20 / 86400</f>
        <v>2.3148148148148149E-4</v>
      </c>
    </row>
    <row r="331" spans="1:12" x14ac:dyDescent="0.25">
      <c r="A331" s="3">
        <v>45689.426041666666</v>
      </c>
      <c r="B331" t="s">
        <v>75</v>
      </c>
      <c r="C331" s="3">
        <v>45689.427372685182</v>
      </c>
      <c r="D331" t="s">
        <v>75</v>
      </c>
      <c r="E331" s="4">
        <v>0.6266075482964516</v>
      </c>
      <c r="F331" s="4">
        <v>345866.90192576253</v>
      </c>
      <c r="G331" s="4">
        <v>345867.5285333108</v>
      </c>
      <c r="H331" s="5">
        <f t="shared" si="6"/>
        <v>0</v>
      </c>
      <c r="I331" t="s">
        <v>189</v>
      </c>
      <c r="J331" t="s">
        <v>62</v>
      </c>
      <c r="K331" s="5">
        <f>115 / 86400</f>
        <v>1.3310185185185185E-3</v>
      </c>
      <c r="L331" s="5">
        <f>20 / 86400</f>
        <v>2.3148148148148149E-4</v>
      </c>
    </row>
    <row r="332" spans="1:12" x14ac:dyDescent="0.25">
      <c r="A332" s="3">
        <v>45689.427604166667</v>
      </c>
      <c r="B332" t="s">
        <v>75</v>
      </c>
      <c r="C332" s="3">
        <v>45689.430138888885</v>
      </c>
      <c r="D332" t="s">
        <v>217</v>
      </c>
      <c r="E332" s="4">
        <v>2.1973380293250084</v>
      </c>
      <c r="F332" s="4">
        <v>345867.54461167374</v>
      </c>
      <c r="G332" s="4">
        <v>345869.74194970308</v>
      </c>
      <c r="H332" s="5">
        <f t="shared" si="6"/>
        <v>0</v>
      </c>
      <c r="I332" t="s">
        <v>261</v>
      </c>
      <c r="J332" t="s">
        <v>189</v>
      </c>
      <c r="K332" s="5">
        <f>219 / 86400</f>
        <v>2.5347222222222221E-3</v>
      </c>
      <c r="L332" s="5">
        <f>34 / 86400</f>
        <v>3.9351851851851852E-4</v>
      </c>
    </row>
    <row r="333" spans="1:12" x14ac:dyDescent="0.25">
      <c r="A333" s="3">
        <v>45689.430532407408</v>
      </c>
      <c r="B333" t="s">
        <v>218</v>
      </c>
      <c r="C333" s="3">
        <v>45689.43168981481</v>
      </c>
      <c r="D333" t="s">
        <v>310</v>
      </c>
      <c r="E333" s="4">
        <v>0.76733819311857221</v>
      </c>
      <c r="F333" s="4">
        <v>345869.78627997672</v>
      </c>
      <c r="G333" s="4">
        <v>345870.55361816986</v>
      </c>
      <c r="H333" s="5">
        <f t="shared" si="6"/>
        <v>0</v>
      </c>
      <c r="I333" t="s">
        <v>233</v>
      </c>
      <c r="J333" t="s">
        <v>149</v>
      </c>
      <c r="K333" s="5">
        <f>100 / 86400</f>
        <v>1.1574074074074073E-3</v>
      </c>
      <c r="L333" s="5">
        <f>40 / 86400</f>
        <v>4.6296296296296298E-4</v>
      </c>
    </row>
    <row r="334" spans="1:12" x14ac:dyDescent="0.25">
      <c r="A334" s="3">
        <v>45689.432152777779</v>
      </c>
      <c r="B334" t="s">
        <v>222</v>
      </c>
      <c r="C334" s="3">
        <v>45689.433356481481</v>
      </c>
      <c r="D334" t="s">
        <v>64</v>
      </c>
      <c r="E334" s="4">
        <v>1.3037536433339119</v>
      </c>
      <c r="F334" s="4">
        <v>345870.65714901593</v>
      </c>
      <c r="G334" s="4">
        <v>345871.96090265922</v>
      </c>
      <c r="H334" s="5">
        <f t="shared" si="6"/>
        <v>0</v>
      </c>
      <c r="I334" t="s">
        <v>145</v>
      </c>
      <c r="J334" t="s">
        <v>239</v>
      </c>
      <c r="K334" s="5">
        <f>104 / 86400</f>
        <v>1.2037037037037038E-3</v>
      </c>
      <c r="L334" s="5">
        <f>20 / 86400</f>
        <v>2.3148148148148149E-4</v>
      </c>
    </row>
    <row r="335" spans="1:12" x14ac:dyDescent="0.25">
      <c r="A335" s="3">
        <v>45689.433587962965</v>
      </c>
      <c r="B335" t="s">
        <v>64</v>
      </c>
      <c r="C335" s="3">
        <v>45689.434976851851</v>
      </c>
      <c r="D335" t="s">
        <v>64</v>
      </c>
      <c r="E335" s="4">
        <v>0.92718703728914265</v>
      </c>
      <c r="F335" s="4">
        <v>345872.07456302305</v>
      </c>
      <c r="G335" s="4">
        <v>345873.0017500603</v>
      </c>
      <c r="H335" s="5">
        <f t="shared" si="6"/>
        <v>0</v>
      </c>
      <c r="I335" t="s">
        <v>260</v>
      </c>
      <c r="J335" t="s">
        <v>149</v>
      </c>
      <c r="K335" s="5">
        <f>120 / 86400</f>
        <v>1.3888888888888889E-3</v>
      </c>
      <c r="L335" s="5">
        <f>60 / 86400</f>
        <v>6.9444444444444447E-4</v>
      </c>
    </row>
    <row r="336" spans="1:12" x14ac:dyDescent="0.25">
      <c r="A336" s="3">
        <v>45689.435671296298</v>
      </c>
      <c r="B336" t="s">
        <v>221</v>
      </c>
      <c r="C336" s="3">
        <v>45689.43644675926</v>
      </c>
      <c r="D336" t="s">
        <v>221</v>
      </c>
      <c r="E336" s="4">
        <v>4.9073116660118106E-2</v>
      </c>
      <c r="F336" s="4">
        <v>345873.08337063866</v>
      </c>
      <c r="G336" s="4">
        <v>345873.13244375534</v>
      </c>
      <c r="H336" s="5">
        <f t="shared" si="6"/>
        <v>0</v>
      </c>
      <c r="I336" t="s">
        <v>56</v>
      </c>
      <c r="J336" t="s">
        <v>121</v>
      </c>
      <c r="K336" s="5">
        <f>67 / 86400</f>
        <v>7.7546296296296293E-4</v>
      </c>
      <c r="L336" s="5">
        <f>24 / 86400</f>
        <v>2.7777777777777778E-4</v>
      </c>
    </row>
    <row r="337" spans="1:12" x14ac:dyDescent="0.25">
      <c r="A337" s="3">
        <v>45689.436724537038</v>
      </c>
      <c r="B337" t="s">
        <v>221</v>
      </c>
      <c r="C337" s="3">
        <v>45689.439780092594</v>
      </c>
      <c r="D337" t="s">
        <v>128</v>
      </c>
      <c r="E337" s="4">
        <v>2.4421131041646005</v>
      </c>
      <c r="F337" s="4">
        <v>345873.13579620922</v>
      </c>
      <c r="G337" s="4">
        <v>345875.57790931338</v>
      </c>
      <c r="H337" s="5">
        <f t="shared" si="6"/>
        <v>0</v>
      </c>
      <c r="I337" t="s">
        <v>261</v>
      </c>
      <c r="J337" t="s">
        <v>164</v>
      </c>
      <c r="K337" s="5">
        <f>264 / 86400</f>
        <v>3.0555555555555557E-3</v>
      </c>
      <c r="L337" s="5">
        <f>20 / 86400</f>
        <v>2.3148148148148149E-4</v>
      </c>
    </row>
    <row r="338" spans="1:12" x14ac:dyDescent="0.25">
      <c r="A338" s="3">
        <v>45689.440011574072</v>
      </c>
      <c r="B338" t="s">
        <v>128</v>
      </c>
      <c r="C338" s="3">
        <v>45689.442326388889</v>
      </c>
      <c r="D338" t="s">
        <v>311</v>
      </c>
      <c r="E338" s="4">
        <v>1.7361025251150131</v>
      </c>
      <c r="F338" s="4">
        <v>345875.58671770658</v>
      </c>
      <c r="G338" s="4">
        <v>345877.32282023167</v>
      </c>
      <c r="H338" s="5">
        <f t="shared" si="6"/>
        <v>0</v>
      </c>
      <c r="I338" t="s">
        <v>233</v>
      </c>
      <c r="J338" t="s">
        <v>151</v>
      </c>
      <c r="K338" s="5">
        <f>200 / 86400</f>
        <v>2.3148148148148147E-3</v>
      </c>
      <c r="L338" s="5">
        <f>20 / 86400</f>
        <v>2.3148148148148149E-4</v>
      </c>
    </row>
    <row r="339" spans="1:12" x14ac:dyDescent="0.25">
      <c r="A339" s="3">
        <v>45689.442557870367</v>
      </c>
      <c r="B339" t="s">
        <v>311</v>
      </c>
      <c r="C339" s="3">
        <v>45689.443020833336</v>
      </c>
      <c r="D339" t="s">
        <v>258</v>
      </c>
      <c r="E339" s="4">
        <v>0.28137439423799515</v>
      </c>
      <c r="F339" s="4">
        <v>345877.43187125365</v>
      </c>
      <c r="G339" s="4">
        <v>345877.7132456479</v>
      </c>
      <c r="H339" s="5">
        <f t="shared" si="6"/>
        <v>0</v>
      </c>
      <c r="I339" t="s">
        <v>214</v>
      </c>
      <c r="J339" t="s">
        <v>123</v>
      </c>
      <c r="K339" s="5">
        <f>40 / 86400</f>
        <v>4.6296296296296298E-4</v>
      </c>
      <c r="L339" s="5">
        <f>32 / 86400</f>
        <v>3.7037037037037035E-4</v>
      </c>
    </row>
    <row r="340" spans="1:12" x14ac:dyDescent="0.25">
      <c r="A340" s="3">
        <v>45689.443391203706</v>
      </c>
      <c r="B340" t="s">
        <v>258</v>
      </c>
      <c r="C340" s="3">
        <v>45689.444085648152</v>
      </c>
      <c r="D340" t="s">
        <v>312</v>
      </c>
      <c r="E340" s="4">
        <v>0.52870137929916383</v>
      </c>
      <c r="F340" s="4">
        <v>345877.71677073982</v>
      </c>
      <c r="G340" s="4">
        <v>345878.24547211907</v>
      </c>
      <c r="H340" s="5">
        <f t="shared" si="6"/>
        <v>0</v>
      </c>
      <c r="I340" t="s">
        <v>179</v>
      </c>
      <c r="J340" t="s">
        <v>147</v>
      </c>
      <c r="K340" s="5">
        <f>60 / 86400</f>
        <v>6.9444444444444447E-4</v>
      </c>
      <c r="L340" s="5">
        <f>20 / 86400</f>
        <v>2.3148148148148149E-4</v>
      </c>
    </row>
    <row r="341" spans="1:12" x14ac:dyDescent="0.25">
      <c r="A341" s="3">
        <v>45689.44431712963</v>
      </c>
      <c r="B341" t="s">
        <v>312</v>
      </c>
      <c r="C341" s="3">
        <v>45689.449178240742</v>
      </c>
      <c r="D341" t="s">
        <v>229</v>
      </c>
      <c r="E341" s="4">
        <v>3.1147509600520134</v>
      </c>
      <c r="F341" s="4">
        <v>345878.26608285942</v>
      </c>
      <c r="G341" s="4">
        <v>345881.38083381945</v>
      </c>
      <c r="H341" s="5">
        <f t="shared" si="6"/>
        <v>0</v>
      </c>
      <c r="I341" t="s">
        <v>230</v>
      </c>
      <c r="J341" t="s">
        <v>141</v>
      </c>
      <c r="K341" s="5">
        <f>420 / 86400</f>
        <v>4.8611111111111112E-3</v>
      </c>
      <c r="L341" s="5">
        <f>9 / 86400</f>
        <v>1.0416666666666667E-4</v>
      </c>
    </row>
    <row r="342" spans="1:12" x14ac:dyDescent="0.25">
      <c r="A342" s="3">
        <v>45689.449282407411</v>
      </c>
      <c r="B342" t="s">
        <v>229</v>
      </c>
      <c r="C342" s="3">
        <v>45689.452060185184</v>
      </c>
      <c r="D342" t="s">
        <v>234</v>
      </c>
      <c r="E342" s="4">
        <v>2.4082852116823195</v>
      </c>
      <c r="F342" s="4">
        <v>345881.42193871015</v>
      </c>
      <c r="G342" s="4">
        <v>345883.83022392186</v>
      </c>
      <c r="H342" s="5">
        <f t="shared" si="6"/>
        <v>0</v>
      </c>
      <c r="I342" t="s">
        <v>261</v>
      </c>
      <c r="J342" t="s">
        <v>189</v>
      </c>
      <c r="K342" s="5">
        <f>240 / 86400</f>
        <v>2.7777777777777779E-3</v>
      </c>
      <c r="L342" s="5">
        <f>2 / 86400</f>
        <v>2.3148148148148147E-5</v>
      </c>
    </row>
    <row r="343" spans="1:12" x14ac:dyDescent="0.25">
      <c r="A343" s="3">
        <v>45689.452083333337</v>
      </c>
      <c r="B343" t="s">
        <v>234</v>
      </c>
      <c r="C343" s="3">
        <v>45689.454513888893</v>
      </c>
      <c r="D343" t="s">
        <v>237</v>
      </c>
      <c r="E343" s="4">
        <v>2.4929283564686777</v>
      </c>
      <c r="F343" s="4">
        <v>345883.83180267131</v>
      </c>
      <c r="G343" s="4">
        <v>345886.32473102777</v>
      </c>
      <c r="H343" s="5">
        <f t="shared" si="6"/>
        <v>0</v>
      </c>
      <c r="I343" t="s">
        <v>145</v>
      </c>
      <c r="J343" t="s">
        <v>165</v>
      </c>
      <c r="K343" s="5">
        <f>210 / 86400</f>
        <v>2.4305555555555556E-3</v>
      </c>
      <c r="L343" s="5">
        <f>40 / 86400</f>
        <v>4.6296296296296298E-4</v>
      </c>
    </row>
    <row r="344" spans="1:12" x14ac:dyDescent="0.25">
      <c r="A344" s="3">
        <v>45689.454976851848</v>
      </c>
      <c r="B344" t="s">
        <v>313</v>
      </c>
      <c r="C344" s="3">
        <v>45689.457523148143</v>
      </c>
      <c r="D344" t="s">
        <v>237</v>
      </c>
      <c r="E344" s="4">
        <v>1.3957763165831565</v>
      </c>
      <c r="F344" s="4">
        <v>345886.48988707905</v>
      </c>
      <c r="G344" s="4">
        <v>345887.88566339563</v>
      </c>
      <c r="H344" s="5">
        <f t="shared" si="6"/>
        <v>0</v>
      </c>
      <c r="I344" t="s">
        <v>170</v>
      </c>
      <c r="J344" t="s">
        <v>35</v>
      </c>
      <c r="K344" s="5">
        <f>220 / 86400</f>
        <v>2.5462962962962965E-3</v>
      </c>
      <c r="L344" s="5">
        <f>32 / 86400</f>
        <v>3.7037037037037035E-4</v>
      </c>
    </row>
    <row r="345" spans="1:12" x14ac:dyDescent="0.25">
      <c r="A345" s="3">
        <v>45689.45789351852</v>
      </c>
      <c r="B345" t="s">
        <v>237</v>
      </c>
      <c r="C345" s="3">
        <v>45689.458356481482</v>
      </c>
      <c r="D345" t="s">
        <v>237</v>
      </c>
      <c r="E345" s="4">
        <v>5.3135975718498228E-2</v>
      </c>
      <c r="F345" s="4">
        <v>345887.89203013503</v>
      </c>
      <c r="G345" s="4">
        <v>345887.94516611076</v>
      </c>
      <c r="H345" s="5">
        <f t="shared" si="6"/>
        <v>0</v>
      </c>
      <c r="I345" t="s">
        <v>126</v>
      </c>
      <c r="J345" t="s">
        <v>56</v>
      </c>
      <c r="K345" s="5">
        <f>40 / 86400</f>
        <v>4.6296296296296298E-4</v>
      </c>
      <c r="L345" s="5">
        <f>26 / 86400</f>
        <v>3.0092592592592595E-4</v>
      </c>
    </row>
    <row r="346" spans="1:12" x14ac:dyDescent="0.25">
      <c r="A346" s="3">
        <v>45689.458657407406</v>
      </c>
      <c r="B346" t="s">
        <v>237</v>
      </c>
      <c r="C346" s="3">
        <v>45689.459120370375</v>
      </c>
      <c r="D346" t="s">
        <v>314</v>
      </c>
      <c r="E346" s="4">
        <v>5.7797247111797331E-2</v>
      </c>
      <c r="F346" s="4">
        <v>345887.95198925718</v>
      </c>
      <c r="G346" s="4">
        <v>345888.00978650426</v>
      </c>
      <c r="H346" s="5">
        <f t="shared" si="6"/>
        <v>0</v>
      </c>
      <c r="I346" t="s">
        <v>92</v>
      </c>
      <c r="J346" t="s">
        <v>56</v>
      </c>
      <c r="K346" s="5">
        <f>40 / 86400</f>
        <v>4.6296296296296298E-4</v>
      </c>
      <c r="L346" s="5">
        <f>39 / 86400</f>
        <v>4.5138888888888887E-4</v>
      </c>
    </row>
    <row r="347" spans="1:12" x14ac:dyDescent="0.25">
      <c r="A347" s="3">
        <v>45689.45957175926</v>
      </c>
      <c r="B347" t="s">
        <v>314</v>
      </c>
      <c r="C347" s="3">
        <v>45689.460034722222</v>
      </c>
      <c r="D347" t="s">
        <v>314</v>
      </c>
      <c r="E347" s="4">
        <v>4.0985389351844786E-2</v>
      </c>
      <c r="F347" s="4">
        <v>345888.02512334601</v>
      </c>
      <c r="G347" s="4">
        <v>345888.06610873539</v>
      </c>
      <c r="H347" s="5">
        <f t="shared" si="6"/>
        <v>0</v>
      </c>
      <c r="I347" t="s">
        <v>56</v>
      </c>
      <c r="J347" t="s">
        <v>80</v>
      </c>
      <c r="K347" s="5">
        <f>40 / 86400</f>
        <v>4.6296296296296298E-4</v>
      </c>
      <c r="L347" s="5">
        <f>60 / 86400</f>
        <v>6.9444444444444447E-4</v>
      </c>
    </row>
    <row r="348" spans="1:12" x14ac:dyDescent="0.25">
      <c r="A348" s="3">
        <v>45689.460729166662</v>
      </c>
      <c r="B348" t="s">
        <v>314</v>
      </c>
      <c r="C348" s="3">
        <v>45689.461192129631</v>
      </c>
      <c r="D348" t="s">
        <v>314</v>
      </c>
      <c r="E348" s="4">
        <v>1.8998203098773956E-2</v>
      </c>
      <c r="F348" s="4">
        <v>345888.0900346507</v>
      </c>
      <c r="G348" s="4">
        <v>345888.1090328538</v>
      </c>
      <c r="H348" s="5">
        <f t="shared" si="6"/>
        <v>0</v>
      </c>
      <c r="I348" t="s">
        <v>100</v>
      </c>
      <c r="J348" t="s">
        <v>133</v>
      </c>
      <c r="K348" s="5">
        <f>40 / 86400</f>
        <v>4.6296296296296298E-4</v>
      </c>
      <c r="L348" s="5">
        <f>20 / 86400</f>
        <v>2.3148148148148149E-4</v>
      </c>
    </row>
    <row r="349" spans="1:12" x14ac:dyDescent="0.25">
      <c r="A349" s="3">
        <v>45689.461423611108</v>
      </c>
      <c r="B349" t="s">
        <v>314</v>
      </c>
      <c r="C349" s="3">
        <v>45689.462280092594</v>
      </c>
      <c r="D349" t="s">
        <v>314</v>
      </c>
      <c r="E349" s="4">
        <v>0.13330988287925721</v>
      </c>
      <c r="F349" s="4">
        <v>345888.11824836681</v>
      </c>
      <c r="G349" s="4">
        <v>345888.2515582497</v>
      </c>
      <c r="H349" s="5">
        <f t="shared" si="6"/>
        <v>0</v>
      </c>
      <c r="I349" t="s">
        <v>92</v>
      </c>
      <c r="J349" t="s">
        <v>92</v>
      </c>
      <c r="K349" s="5">
        <f>74 / 86400</f>
        <v>8.564814814814815E-4</v>
      </c>
      <c r="L349" s="5">
        <f>20 / 86400</f>
        <v>2.3148148148148149E-4</v>
      </c>
    </row>
    <row r="350" spans="1:12" x14ac:dyDescent="0.25">
      <c r="A350" s="3">
        <v>45689.462511574078</v>
      </c>
      <c r="B350" t="s">
        <v>314</v>
      </c>
      <c r="C350" s="3">
        <v>45689.462743055556</v>
      </c>
      <c r="D350" t="s">
        <v>237</v>
      </c>
      <c r="E350" s="4">
        <v>4.2892276644706726E-3</v>
      </c>
      <c r="F350" s="4">
        <v>345888.25562204863</v>
      </c>
      <c r="G350" s="4">
        <v>345888.25991127628</v>
      </c>
      <c r="H350" s="5">
        <f t="shared" si="6"/>
        <v>0</v>
      </c>
      <c r="I350" t="s">
        <v>100</v>
      </c>
      <c r="J350" t="s">
        <v>100</v>
      </c>
      <c r="K350" s="5">
        <f>20 / 86400</f>
        <v>2.3148148148148149E-4</v>
      </c>
      <c r="L350" s="5">
        <f>35 / 86400</f>
        <v>4.0509259259259258E-4</v>
      </c>
    </row>
    <row r="351" spans="1:12" x14ac:dyDescent="0.25">
      <c r="A351" s="3">
        <v>45689.463148148148</v>
      </c>
      <c r="B351" t="s">
        <v>237</v>
      </c>
      <c r="C351" s="3">
        <v>45689.463379629626</v>
      </c>
      <c r="D351" t="s">
        <v>237</v>
      </c>
      <c r="E351" s="4">
        <v>1.5886618673801423E-2</v>
      </c>
      <c r="F351" s="4">
        <v>345888.30268649547</v>
      </c>
      <c r="G351" s="4">
        <v>345888.31857311417</v>
      </c>
      <c r="H351" s="5">
        <f t="shared" si="6"/>
        <v>0</v>
      </c>
      <c r="I351" t="s">
        <v>56</v>
      </c>
      <c r="J351" t="s">
        <v>121</v>
      </c>
      <c r="K351" s="5">
        <f>20 / 86400</f>
        <v>2.3148148148148149E-4</v>
      </c>
      <c r="L351" s="5">
        <f>5 / 86400</f>
        <v>5.7870370370370373E-5</v>
      </c>
    </row>
    <row r="352" spans="1:12" x14ac:dyDescent="0.25">
      <c r="A352" s="3">
        <v>45689.463437500002</v>
      </c>
      <c r="B352" t="s">
        <v>237</v>
      </c>
      <c r="C352" s="3">
        <v>45689.464131944449</v>
      </c>
      <c r="D352" t="s">
        <v>241</v>
      </c>
      <c r="E352" s="4">
        <v>9.2860891997814179E-2</v>
      </c>
      <c r="F352" s="4">
        <v>345888.320519623</v>
      </c>
      <c r="G352" s="4">
        <v>345888.413380515</v>
      </c>
      <c r="H352" s="5">
        <f t="shared" si="6"/>
        <v>0</v>
      </c>
      <c r="I352" t="s">
        <v>43</v>
      </c>
      <c r="J352" t="s">
        <v>92</v>
      </c>
      <c r="K352" s="5">
        <f>60 / 86400</f>
        <v>6.9444444444444447E-4</v>
      </c>
      <c r="L352" s="5">
        <f>13 / 86400</f>
        <v>1.5046296296296297E-4</v>
      </c>
    </row>
    <row r="353" spans="1:12" x14ac:dyDescent="0.25">
      <c r="A353" s="3">
        <v>45689.464282407411</v>
      </c>
      <c r="B353" t="s">
        <v>241</v>
      </c>
      <c r="C353" s="3">
        <v>45689.46497685185</v>
      </c>
      <c r="D353" t="s">
        <v>315</v>
      </c>
      <c r="E353" s="4">
        <v>0.13077249264717103</v>
      </c>
      <c r="F353" s="4">
        <v>345888.41565900319</v>
      </c>
      <c r="G353" s="4">
        <v>345888.54643149587</v>
      </c>
      <c r="H353" s="5">
        <f t="shared" si="6"/>
        <v>0</v>
      </c>
      <c r="I353" t="s">
        <v>31</v>
      </c>
      <c r="J353" t="s">
        <v>120</v>
      </c>
      <c r="K353" s="5">
        <f>60 / 86400</f>
        <v>6.9444444444444447E-4</v>
      </c>
      <c r="L353" s="5">
        <f>32 / 86400</f>
        <v>3.7037037037037035E-4</v>
      </c>
    </row>
    <row r="354" spans="1:12" x14ac:dyDescent="0.25">
      <c r="A354" s="3">
        <v>45689.465347222227</v>
      </c>
      <c r="B354" t="s">
        <v>237</v>
      </c>
      <c r="C354" s="3">
        <v>45689.465578703705</v>
      </c>
      <c r="D354" t="s">
        <v>237</v>
      </c>
      <c r="E354" s="4">
        <v>0</v>
      </c>
      <c r="F354" s="4">
        <v>345888.55690919532</v>
      </c>
      <c r="G354" s="4">
        <v>345888.55690919532</v>
      </c>
      <c r="H354" s="5">
        <f t="shared" si="6"/>
        <v>0</v>
      </c>
      <c r="I354" t="s">
        <v>92</v>
      </c>
      <c r="J354" t="s">
        <v>37</v>
      </c>
      <c r="K354" s="5">
        <f>20 / 86400</f>
        <v>2.3148148148148149E-4</v>
      </c>
      <c r="L354" s="5">
        <f>34 / 86400</f>
        <v>3.9351851851851852E-4</v>
      </c>
    </row>
    <row r="355" spans="1:12" x14ac:dyDescent="0.25">
      <c r="A355" s="3">
        <v>45689.46597222222</v>
      </c>
      <c r="B355" t="s">
        <v>249</v>
      </c>
      <c r="C355" s="3">
        <v>45689.467592592591</v>
      </c>
      <c r="D355" t="s">
        <v>248</v>
      </c>
      <c r="E355" s="4">
        <v>0.73163308387994763</v>
      </c>
      <c r="F355" s="4">
        <v>345888.70147551247</v>
      </c>
      <c r="G355" s="4">
        <v>345889.43310859631</v>
      </c>
      <c r="H355" s="5">
        <f t="shared" si="6"/>
        <v>0</v>
      </c>
      <c r="I355" t="s">
        <v>245</v>
      </c>
      <c r="J355" t="s">
        <v>49</v>
      </c>
      <c r="K355" s="5">
        <f>140 / 86400</f>
        <v>1.6203703703703703E-3</v>
      </c>
      <c r="L355" s="5">
        <f>17 / 86400</f>
        <v>1.9675925925925926E-4</v>
      </c>
    </row>
    <row r="356" spans="1:12" x14ac:dyDescent="0.25">
      <c r="A356" s="3">
        <v>45689.467789351853</v>
      </c>
      <c r="B356" t="s">
        <v>248</v>
      </c>
      <c r="C356" s="3">
        <v>45689.47010416667</v>
      </c>
      <c r="D356" t="s">
        <v>242</v>
      </c>
      <c r="E356" s="4">
        <v>1.2941201620697975</v>
      </c>
      <c r="F356" s="4">
        <v>345889.43686209794</v>
      </c>
      <c r="G356" s="4">
        <v>345890.73098225996</v>
      </c>
      <c r="H356" s="5">
        <f t="shared" si="6"/>
        <v>0</v>
      </c>
      <c r="I356" t="s">
        <v>214</v>
      </c>
      <c r="J356" t="s">
        <v>35</v>
      </c>
      <c r="K356" s="5">
        <f>200 / 86400</f>
        <v>2.3148148148148147E-3</v>
      </c>
      <c r="L356" s="5">
        <f>5 / 86400</f>
        <v>5.7870370370370373E-5</v>
      </c>
    </row>
    <row r="357" spans="1:12" x14ac:dyDescent="0.25">
      <c r="A357" s="3">
        <v>45689.470162037032</v>
      </c>
      <c r="B357" t="s">
        <v>242</v>
      </c>
      <c r="C357" s="3">
        <v>45689.470625000002</v>
      </c>
      <c r="D357" t="s">
        <v>243</v>
      </c>
      <c r="E357" s="4">
        <v>0.25837596821784975</v>
      </c>
      <c r="F357" s="4">
        <v>345890.73286200222</v>
      </c>
      <c r="G357" s="4">
        <v>345890.99123797042</v>
      </c>
      <c r="H357" s="5">
        <f t="shared" si="6"/>
        <v>0</v>
      </c>
      <c r="I357" t="s">
        <v>214</v>
      </c>
      <c r="J357" t="s">
        <v>35</v>
      </c>
      <c r="K357" s="5">
        <f>40 / 86400</f>
        <v>4.6296296296296298E-4</v>
      </c>
      <c r="L357" s="5">
        <f>40 / 86400</f>
        <v>4.6296296296296298E-4</v>
      </c>
    </row>
    <row r="358" spans="1:12" x14ac:dyDescent="0.25">
      <c r="A358" s="3">
        <v>45689.471087962964</v>
      </c>
      <c r="B358" t="s">
        <v>243</v>
      </c>
      <c r="C358" s="3">
        <v>45689.471319444448</v>
      </c>
      <c r="D358" t="s">
        <v>243</v>
      </c>
      <c r="E358" s="4">
        <v>0.1544550022482872</v>
      </c>
      <c r="F358" s="4">
        <v>345891.05369839276</v>
      </c>
      <c r="G358" s="4">
        <v>345891.20815339498</v>
      </c>
      <c r="H358" s="5">
        <f t="shared" ref="H358:H421" si="7">0 / 86400</f>
        <v>0</v>
      </c>
      <c r="I358" t="s">
        <v>206</v>
      </c>
      <c r="J358" t="s">
        <v>149</v>
      </c>
      <c r="K358" s="5">
        <f>20 / 86400</f>
        <v>2.3148148148148149E-4</v>
      </c>
      <c r="L358" s="5">
        <f>20 / 86400</f>
        <v>2.3148148148148149E-4</v>
      </c>
    </row>
    <row r="359" spans="1:12" x14ac:dyDescent="0.25">
      <c r="A359" s="3">
        <v>45689.471550925926</v>
      </c>
      <c r="B359" t="s">
        <v>248</v>
      </c>
      <c r="C359" s="3">
        <v>45689.472245370373</v>
      </c>
      <c r="D359" t="s">
        <v>244</v>
      </c>
      <c r="E359" s="4">
        <v>0.33994339615106584</v>
      </c>
      <c r="F359" s="4">
        <v>345891.38500280335</v>
      </c>
      <c r="G359" s="4">
        <v>345891.72494619945</v>
      </c>
      <c r="H359" s="5">
        <f t="shared" si="7"/>
        <v>0</v>
      </c>
      <c r="I359" t="s">
        <v>230</v>
      </c>
      <c r="J359" t="s">
        <v>62</v>
      </c>
      <c r="K359" s="5">
        <f>60 / 86400</f>
        <v>6.9444444444444447E-4</v>
      </c>
      <c r="L359" s="5">
        <f>20 / 86400</f>
        <v>2.3148148148148149E-4</v>
      </c>
    </row>
    <row r="360" spans="1:12" x14ac:dyDescent="0.25">
      <c r="A360" s="3">
        <v>45689.47247685185</v>
      </c>
      <c r="B360" t="s">
        <v>244</v>
      </c>
      <c r="C360" s="3">
        <v>45689.474097222221</v>
      </c>
      <c r="D360" t="s">
        <v>143</v>
      </c>
      <c r="E360" s="4">
        <v>0.89924347287416462</v>
      </c>
      <c r="F360" s="4">
        <v>345891.74059247918</v>
      </c>
      <c r="G360" s="4">
        <v>345892.63983595202</v>
      </c>
      <c r="H360" s="5">
        <f t="shared" si="7"/>
        <v>0</v>
      </c>
      <c r="I360" t="s">
        <v>220</v>
      </c>
      <c r="J360" t="s">
        <v>35</v>
      </c>
      <c r="K360" s="5">
        <f>140 / 86400</f>
        <v>1.6203703703703703E-3</v>
      </c>
      <c r="L360" s="5">
        <f>5 / 86400</f>
        <v>5.7870370370370373E-5</v>
      </c>
    </row>
    <row r="361" spans="1:12" x14ac:dyDescent="0.25">
      <c r="A361" s="3">
        <v>45689.474155092597</v>
      </c>
      <c r="B361" t="s">
        <v>143</v>
      </c>
      <c r="C361" s="3">
        <v>45689.475324074076</v>
      </c>
      <c r="D361" t="s">
        <v>69</v>
      </c>
      <c r="E361" s="4">
        <v>0.57949323773384098</v>
      </c>
      <c r="F361" s="4">
        <v>345892.64441201527</v>
      </c>
      <c r="G361" s="4">
        <v>345893.22390525299</v>
      </c>
      <c r="H361" s="5">
        <f t="shared" si="7"/>
        <v>0</v>
      </c>
      <c r="I361" t="s">
        <v>173</v>
      </c>
      <c r="J361" t="s">
        <v>20</v>
      </c>
      <c r="K361" s="5">
        <f>101 / 86400</f>
        <v>1.1689814814814816E-3</v>
      </c>
      <c r="L361" s="5">
        <f>275 / 86400</f>
        <v>3.1828703703703702E-3</v>
      </c>
    </row>
    <row r="362" spans="1:12" x14ac:dyDescent="0.25">
      <c r="A362" s="3">
        <v>45689.478506944448</v>
      </c>
      <c r="B362" t="s">
        <v>69</v>
      </c>
      <c r="C362" s="3">
        <v>45689.478912037041</v>
      </c>
      <c r="D362" t="s">
        <v>146</v>
      </c>
      <c r="E362" s="4">
        <v>3.3466762661933901E-2</v>
      </c>
      <c r="F362" s="4">
        <v>345893.23634993134</v>
      </c>
      <c r="G362" s="4">
        <v>345893.26981669402</v>
      </c>
      <c r="H362" s="5">
        <f t="shared" si="7"/>
        <v>0</v>
      </c>
      <c r="I362" t="s">
        <v>126</v>
      </c>
      <c r="J362" t="s">
        <v>121</v>
      </c>
      <c r="K362" s="5">
        <f>35 / 86400</f>
        <v>4.0509259259259258E-4</v>
      </c>
      <c r="L362" s="5">
        <f>32 / 86400</f>
        <v>3.7037037037037035E-4</v>
      </c>
    </row>
    <row r="363" spans="1:12" x14ac:dyDescent="0.25">
      <c r="A363" s="3">
        <v>45689.47928240741</v>
      </c>
      <c r="B363" t="s">
        <v>146</v>
      </c>
      <c r="C363" s="3">
        <v>45689.479444444441</v>
      </c>
      <c r="D363" t="s">
        <v>146</v>
      </c>
      <c r="E363" s="4">
        <v>5.5310836434364317E-3</v>
      </c>
      <c r="F363" s="4">
        <v>345893.28250764468</v>
      </c>
      <c r="G363" s="4">
        <v>345893.28803872829</v>
      </c>
      <c r="H363" s="5">
        <f t="shared" si="7"/>
        <v>0</v>
      </c>
      <c r="I363" t="s">
        <v>80</v>
      </c>
      <c r="J363" t="s">
        <v>100</v>
      </c>
      <c r="K363" s="5">
        <f>14 / 86400</f>
        <v>1.6203703703703703E-4</v>
      </c>
      <c r="L363" s="5">
        <f>2139 / 86400</f>
        <v>2.4756944444444446E-2</v>
      </c>
    </row>
    <row r="364" spans="1:12" x14ac:dyDescent="0.25">
      <c r="A364" s="3">
        <v>45689.504201388889</v>
      </c>
      <c r="B364" t="s">
        <v>146</v>
      </c>
      <c r="C364" s="3">
        <v>45689.504664351851</v>
      </c>
      <c r="D364" t="s">
        <v>316</v>
      </c>
      <c r="E364" s="4">
        <v>0.10167806333303452</v>
      </c>
      <c r="F364" s="4">
        <v>345893.3001520207</v>
      </c>
      <c r="G364" s="4">
        <v>345893.40183008404</v>
      </c>
      <c r="H364" s="5">
        <f t="shared" si="7"/>
        <v>0</v>
      </c>
      <c r="I364" t="s">
        <v>99</v>
      </c>
      <c r="J364" t="s">
        <v>85</v>
      </c>
      <c r="K364" s="5">
        <f>40 / 86400</f>
        <v>4.6296296296296298E-4</v>
      </c>
      <c r="L364" s="5">
        <f>40 / 86400</f>
        <v>4.6296296296296298E-4</v>
      </c>
    </row>
    <row r="365" spans="1:12" x14ac:dyDescent="0.25">
      <c r="A365" s="3">
        <v>45689.505127314813</v>
      </c>
      <c r="B365" t="s">
        <v>317</v>
      </c>
      <c r="C365" s="3">
        <v>45689.505590277782</v>
      </c>
      <c r="D365" t="s">
        <v>317</v>
      </c>
      <c r="E365" s="4">
        <v>8.1173267960548398E-2</v>
      </c>
      <c r="F365" s="4">
        <v>345893.49990015896</v>
      </c>
      <c r="G365" s="4">
        <v>345893.58107342687</v>
      </c>
      <c r="H365" s="5">
        <f t="shared" si="7"/>
        <v>0</v>
      </c>
      <c r="I365" t="s">
        <v>116</v>
      </c>
      <c r="J365" t="s">
        <v>126</v>
      </c>
      <c r="K365" s="5">
        <f>40 / 86400</f>
        <v>4.6296296296296298E-4</v>
      </c>
      <c r="L365" s="5">
        <f>40 / 86400</f>
        <v>4.6296296296296298E-4</v>
      </c>
    </row>
    <row r="366" spans="1:12" x14ac:dyDescent="0.25">
      <c r="A366" s="3">
        <v>45689.506053240737</v>
      </c>
      <c r="B366" t="s">
        <v>317</v>
      </c>
      <c r="C366" s="3">
        <v>45689.506979166668</v>
      </c>
      <c r="D366" t="s">
        <v>248</v>
      </c>
      <c r="E366" s="4">
        <v>0.51370005661249163</v>
      </c>
      <c r="F366" s="4">
        <v>345893.58473366697</v>
      </c>
      <c r="G366" s="4">
        <v>345894.09843372356</v>
      </c>
      <c r="H366" s="5">
        <f t="shared" si="7"/>
        <v>0</v>
      </c>
      <c r="I366" t="s">
        <v>138</v>
      </c>
      <c r="J366" t="s">
        <v>35</v>
      </c>
      <c r="K366" s="5">
        <f>80 / 86400</f>
        <v>9.2592592592592596E-4</v>
      </c>
      <c r="L366" s="5">
        <f>20 / 86400</f>
        <v>2.3148148148148149E-4</v>
      </c>
    </row>
    <row r="367" spans="1:12" x14ac:dyDescent="0.25">
      <c r="A367" s="3">
        <v>45689.507210648153</v>
      </c>
      <c r="B367" t="s">
        <v>248</v>
      </c>
      <c r="C367" s="3">
        <v>45689.509409722217</v>
      </c>
      <c r="D367" t="s">
        <v>248</v>
      </c>
      <c r="E367" s="4">
        <v>0.89942035448551183</v>
      </c>
      <c r="F367" s="4">
        <v>345894.19756556721</v>
      </c>
      <c r="G367" s="4">
        <v>345895.09698592167</v>
      </c>
      <c r="H367" s="5">
        <f t="shared" si="7"/>
        <v>0</v>
      </c>
      <c r="I367" t="s">
        <v>206</v>
      </c>
      <c r="J367" t="s">
        <v>30</v>
      </c>
      <c r="K367" s="5">
        <f>190 / 86400</f>
        <v>2.1990740740740742E-3</v>
      </c>
      <c r="L367" s="5">
        <f>5 / 86400</f>
        <v>5.7870370370370373E-5</v>
      </c>
    </row>
    <row r="368" spans="1:12" x14ac:dyDescent="0.25">
      <c r="A368" s="3">
        <v>45689.509467592594</v>
      </c>
      <c r="B368" t="s">
        <v>248</v>
      </c>
      <c r="C368" s="3">
        <v>45689.512673611112</v>
      </c>
      <c r="D368" t="s">
        <v>318</v>
      </c>
      <c r="E368" s="4">
        <v>1.6220765715241432</v>
      </c>
      <c r="F368" s="4">
        <v>345895.09886021214</v>
      </c>
      <c r="G368" s="4">
        <v>345896.72093678365</v>
      </c>
      <c r="H368" s="5">
        <f t="shared" si="7"/>
        <v>0</v>
      </c>
      <c r="I368" t="s">
        <v>107</v>
      </c>
      <c r="J368" t="s">
        <v>20</v>
      </c>
      <c r="K368" s="5">
        <f>277 / 86400</f>
        <v>3.2060185185185186E-3</v>
      </c>
      <c r="L368" s="5">
        <f>20 / 86400</f>
        <v>2.3148148148148149E-4</v>
      </c>
    </row>
    <row r="369" spans="1:12" x14ac:dyDescent="0.25">
      <c r="A369" s="3">
        <v>45689.51290509259</v>
      </c>
      <c r="B369" t="s">
        <v>319</v>
      </c>
      <c r="C369" s="3">
        <v>45689.513240740736</v>
      </c>
      <c r="D369" t="s">
        <v>315</v>
      </c>
      <c r="E369" s="4">
        <v>2.5719906270503998E-2</v>
      </c>
      <c r="F369" s="4">
        <v>345896.88570242195</v>
      </c>
      <c r="G369" s="4">
        <v>345896.91142232821</v>
      </c>
      <c r="H369" s="5">
        <f t="shared" si="7"/>
        <v>0</v>
      </c>
      <c r="I369" t="s">
        <v>43</v>
      </c>
      <c r="J369" t="s">
        <v>121</v>
      </c>
      <c r="K369" s="5">
        <f>29 / 86400</f>
        <v>3.3564814814814812E-4</v>
      </c>
      <c r="L369" s="5">
        <f>20 / 86400</f>
        <v>2.3148148148148149E-4</v>
      </c>
    </row>
    <row r="370" spans="1:12" x14ac:dyDescent="0.25">
      <c r="A370" s="3">
        <v>45689.513472222221</v>
      </c>
      <c r="B370" t="s">
        <v>319</v>
      </c>
      <c r="C370" s="3">
        <v>45689.513703703706</v>
      </c>
      <c r="D370" t="s">
        <v>320</v>
      </c>
      <c r="E370" s="4">
        <v>0.11350042521953582</v>
      </c>
      <c r="F370" s="4">
        <v>345896.94380328426</v>
      </c>
      <c r="G370" s="4">
        <v>345897.0573037095</v>
      </c>
      <c r="H370" s="5">
        <f t="shared" si="7"/>
        <v>0</v>
      </c>
      <c r="I370" t="s">
        <v>141</v>
      </c>
      <c r="J370" t="s">
        <v>62</v>
      </c>
      <c r="K370" s="5">
        <f>20 / 86400</f>
        <v>2.3148148148148149E-4</v>
      </c>
      <c r="L370" s="5">
        <f>20 / 86400</f>
        <v>2.3148148148148149E-4</v>
      </c>
    </row>
    <row r="371" spans="1:12" x14ac:dyDescent="0.25">
      <c r="A371" s="3">
        <v>45689.513935185183</v>
      </c>
      <c r="B371" t="s">
        <v>321</v>
      </c>
      <c r="C371" s="3">
        <v>45689.515775462962</v>
      </c>
      <c r="D371" t="s">
        <v>250</v>
      </c>
      <c r="E371" s="4">
        <v>0.5508834770917892</v>
      </c>
      <c r="F371" s="4">
        <v>345897.06625535374</v>
      </c>
      <c r="G371" s="4">
        <v>345897.61713883083</v>
      </c>
      <c r="H371" s="5">
        <f t="shared" si="7"/>
        <v>0</v>
      </c>
      <c r="I371" t="s">
        <v>149</v>
      </c>
      <c r="J371" t="s">
        <v>99</v>
      </c>
      <c r="K371" s="5">
        <f>159 / 86400</f>
        <v>1.8402777777777777E-3</v>
      </c>
      <c r="L371" s="5">
        <f>16 / 86400</f>
        <v>1.8518518518518518E-4</v>
      </c>
    </row>
    <row r="372" spans="1:12" x14ac:dyDescent="0.25">
      <c r="A372" s="3">
        <v>45689.515960648147</v>
      </c>
      <c r="B372" t="s">
        <v>322</v>
      </c>
      <c r="C372" s="3">
        <v>45689.516388888893</v>
      </c>
      <c r="D372" t="s">
        <v>251</v>
      </c>
      <c r="E372" s="4">
        <v>0.13716514831781387</v>
      </c>
      <c r="F372" s="4">
        <v>345897.61895156273</v>
      </c>
      <c r="G372" s="4">
        <v>345897.75611671107</v>
      </c>
      <c r="H372" s="5">
        <f t="shared" si="7"/>
        <v>0</v>
      </c>
      <c r="I372" t="s">
        <v>23</v>
      </c>
      <c r="J372" t="s">
        <v>31</v>
      </c>
      <c r="K372" s="5">
        <f>37 / 86400</f>
        <v>4.2824074074074075E-4</v>
      </c>
      <c r="L372" s="5">
        <f>5 / 86400</f>
        <v>5.7870370370370373E-5</v>
      </c>
    </row>
    <row r="373" spans="1:12" x14ac:dyDescent="0.25">
      <c r="A373" s="3">
        <v>45689.516446759255</v>
      </c>
      <c r="B373" t="s">
        <v>251</v>
      </c>
      <c r="C373" s="3">
        <v>45689.516909722224</v>
      </c>
      <c r="D373" t="s">
        <v>251</v>
      </c>
      <c r="E373" s="4">
        <v>0.13710219651460648</v>
      </c>
      <c r="F373" s="4">
        <v>345897.75923603948</v>
      </c>
      <c r="G373" s="4">
        <v>345897.89633823599</v>
      </c>
      <c r="H373" s="5">
        <f t="shared" si="7"/>
        <v>0</v>
      </c>
      <c r="I373" t="s">
        <v>99</v>
      </c>
      <c r="J373" t="s">
        <v>99</v>
      </c>
      <c r="K373" s="5">
        <f>40 / 86400</f>
        <v>4.6296296296296298E-4</v>
      </c>
      <c r="L373" s="5">
        <f>4 / 86400</f>
        <v>4.6296296296296294E-5</v>
      </c>
    </row>
    <row r="374" spans="1:12" x14ac:dyDescent="0.25">
      <c r="A374" s="3">
        <v>45689.516956018517</v>
      </c>
      <c r="B374" t="s">
        <v>251</v>
      </c>
      <c r="C374" s="3">
        <v>45689.518807870365</v>
      </c>
      <c r="D374" t="s">
        <v>313</v>
      </c>
      <c r="E374" s="4">
        <v>0.98034081751108171</v>
      </c>
      <c r="F374" s="4">
        <v>345897.89904629654</v>
      </c>
      <c r="G374" s="4">
        <v>345898.87938711402</v>
      </c>
      <c r="H374" s="5">
        <f t="shared" si="7"/>
        <v>0</v>
      </c>
      <c r="I374" t="s">
        <v>220</v>
      </c>
      <c r="J374" t="s">
        <v>119</v>
      </c>
      <c r="K374" s="5">
        <f>160 / 86400</f>
        <v>1.8518518518518519E-3</v>
      </c>
      <c r="L374" s="5">
        <f>20 / 86400</f>
        <v>2.3148148148148149E-4</v>
      </c>
    </row>
    <row r="375" spans="1:12" x14ac:dyDescent="0.25">
      <c r="A375" s="3">
        <v>45689.519039351857</v>
      </c>
      <c r="B375" t="s">
        <v>313</v>
      </c>
      <c r="C375" s="3">
        <v>45689.523148148146</v>
      </c>
      <c r="D375" t="s">
        <v>234</v>
      </c>
      <c r="E375" s="4">
        <v>3.324953047633171</v>
      </c>
      <c r="F375" s="4">
        <v>345898.96776578261</v>
      </c>
      <c r="G375" s="4">
        <v>345902.29271883023</v>
      </c>
      <c r="H375" s="5">
        <f t="shared" si="7"/>
        <v>0</v>
      </c>
      <c r="I375" t="s">
        <v>136</v>
      </c>
      <c r="J375" t="s">
        <v>167</v>
      </c>
      <c r="K375" s="5">
        <f>355 / 86400</f>
        <v>4.1087962962962962E-3</v>
      </c>
      <c r="L375" s="5">
        <f>20 / 86400</f>
        <v>2.3148148148148149E-4</v>
      </c>
    </row>
    <row r="376" spans="1:12" x14ac:dyDescent="0.25">
      <c r="A376" s="3">
        <v>45689.523379629631</v>
      </c>
      <c r="B376" t="s">
        <v>323</v>
      </c>
      <c r="C376" s="3">
        <v>45689.524305555555</v>
      </c>
      <c r="D376" t="s">
        <v>115</v>
      </c>
      <c r="E376" s="4">
        <v>1.0754926091432571</v>
      </c>
      <c r="F376" s="4">
        <v>345902.38808421162</v>
      </c>
      <c r="G376" s="4">
        <v>345903.4635768208</v>
      </c>
      <c r="H376" s="5">
        <f t="shared" si="7"/>
        <v>0</v>
      </c>
      <c r="I376" t="s">
        <v>42</v>
      </c>
      <c r="J376" t="s">
        <v>152</v>
      </c>
      <c r="K376" s="5">
        <f>80 / 86400</f>
        <v>9.2592592592592596E-4</v>
      </c>
      <c r="L376" s="5">
        <f>40 / 86400</f>
        <v>4.6296296296296298E-4</v>
      </c>
    </row>
    <row r="377" spans="1:12" x14ac:dyDescent="0.25">
      <c r="A377" s="3">
        <v>45689.524768518517</v>
      </c>
      <c r="B377" t="s">
        <v>115</v>
      </c>
      <c r="C377" s="3">
        <v>45689.529386574075</v>
      </c>
      <c r="D377" t="s">
        <v>256</v>
      </c>
      <c r="E377" s="4">
        <v>3.540026321530342</v>
      </c>
      <c r="F377" s="4">
        <v>345903.70228212478</v>
      </c>
      <c r="G377" s="4">
        <v>345907.24230844626</v>
      </c>
      <c r="H377" s="5">
        <f t="shared" si="7"/>
        <v>0</v>
      </c>
      <c r="I377" t="s">
        <v>224</v>
      </c>
      <c r="J377" t="s">
        <v>147</v>
      </c>
      <c r="K377" s="5">
        <f>399 / 86400</f>
        <v>4.6180555555555558E-3</v>
      </c>
      <c r="L377" s="5">
        <f>3 / 86400</f>
        <v>3.4722222222222222E-5</v>
      </c>
    </row>
    <row r="378" spans="1:12" x14ac:dyDescent="0.25">
      <c r="A378" s="3">
        <v>45689.529421296298</v>
      </c>
      <c r="B378" t="s">
        <v>256</v>
      </c>
      <c r="C378" s="3">
        <v>45689.532199074078</v>
      </c>
      <c r="D378" t="s">
        <v>228</v>
      </c>
      <c r="E378" s="4">
        <v>2.5456048842072487</v>
      </c>
      <c r="F378" s="4">
        <v>345907.24484610633</v>
      </c>
      <c r="G378" s="4">
        <v>345909.79045099055</v>
      </c>
      <c r="H378" s="5">
        <f t="shared" si="7"/>
        <v>0</v>
      </c>
      <c r="I378" t="s">
        <v>129</v>
      </c>
      <c r="J378" t="s">
        <v>245</v>
      </c>
      <c r="K378" s="5">
        <f>240 / 86400</f>
        <v>2.7777777777777779E-3</v>
      </c>
      <c r="L378" s="5">
        <f>20 / 86400</f>
        <v>2.3148148148148149E-4</v>
      </c>
    </row>
    <row r="379" spans="1:12" x14ac:dyDescent="0.25">
      <c r="A379" s="3">
        <v>45689.532430555555</v>
      </c>
      <c r="B379" t="s">
        <v>259</v>
      </c>
      <c r="C379" s="3">
        <v>45689.534537037034</v>
      </c>
      <c r="D379" t="s">
        <v>128</v>
      </c>
      <c r="E379" s="4">
        <v>1.9338742420077324</v>
      </c>
      <c r="F379" s="4">
        <v>345909.93409435806</v>
      </c>
      <c r="G379" s="4">
        <v>345911.86796860007</v>
      </c>
      <c r="H379" s="5">
        <f t="shared" si="7"/>
        <v>0</v>
      </c>
      <c r="I379" t="s">
        <v>140</v>
      </c>
      <c r="J379" t="s">
        <v>245</v>
      </c>
      <c r="K379" s="5">
        <f>182 / 86400</f>
        <v>2.1064814814814813E-3</v>
      </c>
      <c r="L379" s="5">
        <f>20 / 86400</f>
        <v>2.3148148148148149E-4</v>
      </c>
    </row>
    <row r="380" spans="1:12" x14ac:dyDescent="0.25">
      <c r="A380" s="3">
        <v>45689.534768518519</v>
      </c>
      <c r="B380" t="s">
        <v>128</v>
      </c>
      <c r="C380" s="3">
        <v>45689.535231481481</v>
      </c>
      <c r="D380" t="s">
        <v>64</v>
      </c>
      <c r="E380" s="4">
        <v>0.38065593284368515</v>
      </c>
      <c r="F380" s="4">
        <v>345912.00888223038</v>
      </c>
      <c r="G380" s="4">
        <v>345912.38953816326</v>
      </c>
      <c r="H380" s="5">
        <f t="shared" si="7"/>
        <v>0</v>
      </c>
      <c r="I380" t="s">
        <v>181</v>
      </c>
      <c r="J380" t="s">
        <v>167</v>
      </c>
      <c r="K380" s="5">
        <f>40 / 86400</f>
        <v>4.6296296296296298E-4</v>
      </c>
      <c r="L380" s="5">
        <f>22 / 86400</f>
        <v>2.5462962962962961E-4</v>
      </c>
    </row>
    <row r="381" spans="1:12" x14ac:dyDescent="0.25">
      <c r="A381" s="3">
        <v>45689.535486111112</v>
      </c>
      <c r="B381" t="s">
        <v>64</v>
      </c>
      <c r="C381" s="3">
        <v>45689.535949074074</v>
      </c>
      <c r="D381" t="s">
        <v>221</v>
      </c>
      <c r="E381" s="4">
        <v>7.9946422100067138E-2</v>
      </c>
      <c r="F381" s="4">
        <v>345912.39684818941</v>
      </c>
      <c r="G381" s="4">
        <v>345912.47679461149</v>
      </c>
      <c r="H381" s="5">
        <f t="shared" si="7"/>
        <v>0</v>
      </c>
      <c r="I381" t="s">
        <v>120</v>
      </c>
      <c r="J381" t="s">
        <v>126</v>
      </c>
      <c r="K381" s="5">
        <f>40 / 86400</f>
        <v>4.6296296296296298E-4</v>
      </c>
      <c r="L381" s="5">
        <f>35 / 86400</f>
        <v>4.0509259259259258E-4</v>
      </c>
    </row>
    <row r="382" spans="1:12" x14ac:dyDescent="0.25">
      <c r="A382" s="3">
        <v>45689.536354166667</v>
      </c>
      <c r="B382" t="s">
        <v>324</v>
      </c>
      <c r="C382" s="3">
        <v>45689.538449074069</v>
      </c>
      <c r="D382" t="s">
        <v>64</v>
      </c>
      <c r="E382" s="4">
        <v>1.1318003938794137</v>
      </c>
      <c r="F382" s="4">
        <v>345912.49862750544</v>
      </c>
      <c r="G382" s="4">
        <v>345913.6304278993</v>
      </c>
      <c r="H382" s="5">
        <f t="shared" si="7"/>
        <v>0</v>
      </c>
      <c r="I382" t="s">
        <v>161</v>
      </c>
      <c r="J382" t="s">
        <v>35</v>
      </c>
      <c r="K382" s="5">
        <f>181 / 86400</f>
        <v>2.0949074074074073E-3</v>
      </c>
      <c r="L382" s="5">
        <f>20 / 86400</f>
        <v>2.3148148148148149E-4</v>
      </c>
    </row>
    <row r="383" spans="1:12" x14ac:dyDescent="0.25">
      <c r="A383" s="3">
        <v>45689.538680555561</v>
      </c>
      <c r="B383" t="s">
        <v>150</v>
      </c>
      <c r="C383" s="3">
        <v>45689.539837962962</v>
      </c>
      <c r="D383" t="s">
        <v>222</v>
      </c>
      <c r="E383" s="4">
        <v>1.1703645913600922</v>
      </c>
      <c r="F383" s="4">
        <v>345913.7924972871</v>
      </c>
      <c r="G383" s="4">
        <v>345914.96286187845</v>
      </c>
      <c r="H383" s="5">
        <f t="shared" si="7"/>
        <v>0</v>
      </c>
      <c r="I383" t="s">
        <v>325</v>
      </c>
      <c r="J383" t="s">
        <v>178</v>
      </c>
      <c r="K383" s="5">
        <f>100 / 86400</f>
        <v>1.1574074074074073E-3</v>
      </c>
      <c r="L383" s="5">
        <f>20 / 86400</f>
        <v>2.3148148148148149E-4</v>
      </c>
    </row>
    <row r="384" spans="1:12" x14ac:dyDescent="0.25">
      <c r="A384" s="3">
        <v>45689.54006944444</v>
      </c>
      <c r="B384" t="s">
        <v>222</v>
      </c>
      <c r="C384" s="3">
        <v>45689.541226851856</v>
      </c>
      <c r="D384" t="s">
        <v>222</v>
      </c>
      <c r="E384" s="4">
        <v>0.84280013585090641</v>
      </c>
      <c r="F384" s="4">
        <v>345914.97493305622</v>
      </c>
      <c r="G384" s="4">
        <v>345915.81773319206</v>
      </c>
      <c r="H384" s="5">
        <f t="shared" si="7"/>
        <v>0</v>
      </c>
      <c r="I384" t="s">
        <v>140</v>
      </c>
      <c r="J384" t="s">
        <v>206</v>
      </c>
      <c r="K384" s="5">
        <f>100 / 86400</f>
        <v>1.1574074074074073E-3</v>
      </c>
      <c r="L384" s="5">
        <f>20 / 86400</f>
        <v>2.3148148148148149E-4</v>
      </c>
    </row>
    <row r="385" spans="1:12" x14ac:dyDescent="0.25">
      <c r="A385" s="3">
        <v>45689.541458333333</v>
      </c>
      <c r="B385" t="s">
        <v>222</v>
      </c>
      <c r="C385" s="3">
        <v>45689.542615740742</v>
      </c>
      <c r="D385" t="s">
        <v>222</v>
      </c>
      <c r="E385" s="4">
        <v>0.91431134742498399</v>
      </c>
      <c r="F385" s="4">
        <v>345915.82072417537</v>
      </c>
      <c r="G385" s="4">
        <v>345916.73503552284</v>
      </c>
      <c r="H385" s="5">
        <f t="shared" si="7"/>
        <v>0</v>
      </c>
      <c r="I385" t="s">
        <v>233</v>
      </c>
      <c r="J385" t="s">
        <v>164</v>
      </c>
      <c r="K385" s="5">
        <f>100 / 86400</f>
        <v>1.1574074074074073E-3</v>
      </c>
      <c r="L385" s="5">
        <f>20 / 86400</f>
        <v>2.3148148148148149E-4</v>
      </c>
    </row>
    <row r="386" spans="1:12" x14ac:dyDescent="0.25">
      <c r="A386" s="3">
        <v>45689.542847222227</v>
      </c>
      <c r="B386" t="s">
        <v>222</v>
      </c>
      <c r="C386" s="3">
        <v>45689.544236111113</v>
      </c>
      <c r="D386" t="s">
        <v>75</v>
      </c>
      <c r="E386" s="4">
        <v>1.2612117187380791</v>
      </c>
      <c r="F386" s="4">
        <v>345916.78717782086</v>
      </c>
      <c r="G386" s="4">
        <v>345918.04838953959</v>
      </c>
      <c r="H386" s="5">
        <f t="shared" si="7"/>
        <v>0</v>
      </c>
      <c r="I386" t="s">
        <v>118</v>
      </c>
      <c r="J386" t="s">
        <v>245</v>
      </c>
      <c r="K386" s="5">
        <f>120 / 86400</f>
        <v>1.3888888888888889E-3</v>
      </c>
      <c r="L386" s="5">
        <f>23 / 86400</f>
        <v>2.6620370370370372E-4</v>
      </c>
    </row>
    <row r="387" spans="1:12" x14ac:dyDescent="0.25">
      <c r="A387" s="3">
        <v>45689.544502314813</v>
      </c>
      <c r="B387" t="s">
        <v>75</v>
      </c>
      <c r="C387" s="3">
        <v>45689.54519675926</v>
      </c>
      <c r="D387" t="s">
        <v>75</v>
      </c>
      <c r="E387" s="4">
        <v>0.61370797252655029</v>
      </c>
      <c r="F387" s="4">
        <v>345918.05687552347</v>
      </c>
      <c r="G387" s="4">
        <v>345918.67058349599</v>
      </c>
      <c r="H387" s="5">
        <f t="shared" si="7"/>
        <v>0</v>
      </c>
      <c r="I387" t="s">
        <v>145</v>
      </c>
      <c r="J387" t="s">
        <v>214</v>
      </c>
      <c r="K387" s="5">
        <f>60 / 86400</f>
        <v>6.9444444444444447E-4</v>
      </c>
      <c r="L387" s="5">
        <f>20 / 86400</f>
        <v>2.3148148148148149E-4</v>
      </c>
    </row>
    <row r="388" spans="1:12" x14ac:dyDescent="0.25">
      <c r="A388" s="3">
        <v>45689.545428240745</v>
      </c>
      <c r="B388" t="s">
        <v>75</v>
      </c>
      <c r="C388" s="3">
        <v>45689.546122685184</v>
      </c>
      <c r="D388" t="s">
        <v>75</v>
      </c>
      <c r="E388" s="4">
        <v>0.68975074100494382</v>
      </c>
      <c r="F388" s="4">
        <v>345918.78932525689</v>
      </c>
      <c r="G388" s="4">
        <v>345919.47907599789</v>
      </c>
      <c r="H388" s="5">
        <f t="shared" si="7"/>
        <v>0</v>
      </c>
      <c r="I388" t="s">
        <v>118</v>
      </c>
      <c r="J388" t="s">
        <v>254</v>
      </c>
      <c r="K388" s="5">
        <f>60 / 86400</f>
        <v>6.9444444444444447E-4</v>
      </c>
      <c r="L388" s="5">
        <f>60 / 86400</f>
        <v>6.9444444444444447E-4</v>
      </c>
    </row>
    <row r="389" spans="1:12" x14ac:dyDescent="0.25">
      <c r="A389" s="3">
        <v>45689.546817129631</v>
      </c>
      <c r="B389" t="s">
        <v>75</v>
      </c>
      <c r="C389" s="3">
        <v>45689.548900462964</v>
      </c>
      <c r="D389" t="s">
        <v>215</v>
      </c>
      <c r="E389" s="4">
        <v>0.7933367221951485</v>
      </c>
      <c r="F389" s="4">
        <v>345919.59072583559</v>
      </c>
      <c r="G389" s="4">
        <v>345920.38406255777</v>
      </c>
      <c r="H389" s="5">
        <f t="shared" si="7"/>
        <v>0</v>
      </c>
      <c r="I389" t="s">
        <v>220</v>
      </c>
      <c r="J389" t="s">
        <v>26</v>
      </c>
      <c r="K389" s="5">
        <f>180 / 86400</f>
        <v>2.0833333333333333E-3</v>
      </c>
      <c r="L389" s="5">
        <f>80 / 86400</f>
        <v>9.2592592592592596E-4</v>
      </c>
    </row>
    <row r="390" spans="1:12" x14ac:dyDescent="0.25">
      <c r="A390" s="3">
        <v>45689.549826388888</v>
      </c>
      <c r="B390" t="s">
        <v>75</v>
      </c>
      <c r="C390" s="3">
        <v>45689.554791666669</v>
      </c>
      <c r="D390" t="s">
        <v>326</v>
      </c>
      <c r="E390" s="4">
        <v>3.1173360044360159</v>
      </c>
      <c r="F390" s="4">
        <v>345920.55868262734</v>
      </c>
      <c r="G390" s="4">
        <v>345923.67601863178</v>
      </c>
      <c r="H390" s="5">
        <f t="shared" si="7"/>
        <v>0</v>
      </c>
      <c r="I390" t="s">
        <v>257</v>
      </c>
      <c r="J390" t="s">
        <v>184</v>
      </c>
      <c r="K390" s="5">
        <f>429 / 86400</f>
        <v>4.9652777777777777E-3</v>
      </c>
      <c r="L390" s="5">
        <f>20 / 86400</f>
        <v>2.3148148148148149E-4</v>
      </c>
    </row>
    <row r="391" spans="1:12" x14ac:dyDescent="0.25">
      <c r="A391" s="3">
        <v>45689.555023148147</v>
      </c>
      <c r="B391" t="s">
        <v>307</v>
      </c>
      <c r="C391" s="3">
        <v>45689.557002314818</v>
      </c>
      <c r="D391" t="s">
        <v>327</v>
      </c>
      <c r="E391" s="4">
        <v>0.73136878490447998</v>
      </c>
      <c r="F391" s="4">
        <v>345923.70909284061</v>
      </c>
      <c r="G391" s="4">
        <v>345924.44046162552</v>
      </c>
      <c r="H391" s="5">
        <f t="shared" si="7"/>
        <v>0</v>
      </c>
      <c r="I391" t="s">
        <v>214</v>
      </c>
      <c r="J391" t="s">
        <v>43</v>
      </c>
      <c r="K391" s="5">
        <f>171 / 86400</f>
        <v>1.9791666666666668E-3</v>
      </c>
      <c r="L391" s="5">
        <f>14 / 86400</f>
        <v>1.6203703703703703E-4</v>
      </c>
    </row>
    <row r="392" spans="1:12" x14ac:dyDescent="0.25">
      <c r="A392" s="3">
        <v>45689.557164351849</v>
      </c>
      <c r="B392" t="s">
        <v>328</v>
      </c>
      <c r="C392" s="3">
        <v>45689.560462962967</v>
      </c>
      <c r="D392" t="s">
        <v>212</v>
      </c>
      <c r="E392" s="4">
        <v>1.0735964507460594</v>
      </c>
      <c r="F392" s="4">
        <v>345924.60188481153</v>
      </c>
      <c r="G392" s="4">
        <v>345925.67548126227</v>
      </c>
      <c r="H392" s="5">
        <f t="shared" si="7"/>
        <v>0</v>
      </c>
      <c r="I392" t="s">
        <v>62</v>
      </c>
      <c r="J392" t="s">
        <v>51</v>
      </c>
      <c r="K392" s="5">
        <f>285 / 86400</f>
        <v>3.2986111111111111E-3</v>
      </c>
      <c r="L392" s="5">
        <f>20 / 86400</f>
        <v>2.3148148148148149E-4</v>
      </c>
    </row>
    <row r="393" spans="1:12" x14ac:dyDescent="0.25">
      <c r="A393" s="3">
        <v>45689.560694444444</v>
      </c>
      <c r="B393" t="s">
        <v>212</v>
      </c>
      <c r="C393" s="3">
        <v>45689.560925925922</v>
      </c>
      <c r="D393" t="s">
        <v>212</v>
      </c>
      <c r="E393" s="4">
        <v>0.11468336689472199</v>
      </c>
      <c r="F393" s="4">
        <v>345925.7603204734</v>
      </c>
      <c r="G393" s="4">
        <v>345925.87500384031</v>
      </c>
      <c r="H393" s="5">
        <f t="shared" si="7"/>
        <v>0</v>
      </c>
      <c r="I393" t="s">
        <v>178</v>
      </c>
      <c r="J393" t="s">
        <v>20</v>
      </c>
      <c r="K393" s="5">
        <f>20 / 86400</f>
        <v>2.3148148148148149E-4</v>
      </c>
      <c r="L393" s="5">
        <f>20 / 86400</f>
        <v>2.3148148148148149E-4</v>
      </c>
    </row>
    <row r="394" spans="1:12" x14ac:dyDescent="0.25">
      <c r="A394" s="3">
        <v>45689.561157407406</v>
      </c>
      <c r="B394" t="s">
        <v>212</v>
      </c>
      <c r="C394" s="3">
        <v>45689.5627662037</v>
      </c>
      <c r="D394" t="s">
        <v>212</v>
      </c>
      <c r="E394" s="4">
        <v>1.1629193913340568</v>
      </c>
      <c r="F394" s="4">
        <v>345925.87630979758</v>
      </c>
      <c r="G394" s="4">
        <v>345927.03922918893</v>
      </c>
      <c r="H394" s="5">
        <f t="shared" si="7"/>
        <v>0</v>
      </c>
      <c r="I394" t="s">
        <v>188</v>
      </c>
      <c r="J394" t="s">
        <v>206</v>
      </c>
      <c r="K394" s="5">
        <f>139 / 86400</f>
        <v>1.6087962962962963E-3</v>
      </c>
      <c r="L394" s="5">
        <f>20 / 86400</f>
        <v>2.3148148148148149E-4</v>
      </c>
    </row>
    <row r="395" spans="1:12" x14ac:dyDescent="0.25">
      <c r="A395" s="3">
        <v>45689.562997685185</v>
      </c>
      <c r="B395" t="s">
        <v>264</v>
      </c>
      <c r="C395" s="3">
        <v>45689.563692129625</v>
      </c>
      <c r="D395" t="s">
        <v>33</v>
      </c>
      <c r="E395" s="4">
        <v>0.68419956588745112</v>
      </c>
      <c r="F395" s="4">
        <v>345927.14789105352</v>
      </c>
      <c r="G395" s="4">
        <v>345927.83209061937</v>
      </c>
      <c r="H395" s="5">
        <f t="shared" si="7"/>
        <v>0</v>
      </c>
      <c r="I395" t="s">
        <v>224</v>
      </c>
      <c r="J395" t="s">
        <v>254</v>
      </c>
      <c r="K395" s="5">
        <f>60 / 86400</f>
        <v>6.9444444444444447E-4</v>
      </c>
      <c r="L395" s="5">
        <f>20 / 86400</f>
        <v>2.3148148148148149E-4</v>
      </c>
    </row>
    <row r="396" spans="1:12" x14ac:dyDescent="0.25">
      <c r="A396" s="3">
        <v>45689.563923611116</v>
      </c>
      <c r="B396" t="s">
        <v>33</v>
      </c>
      <c r="C396" s="3">
        <v>45689.56486111111</v>
      </c>
      <c r="D396" t="s">
        <v>329</v>
      </c>
      <c r="E396" s="4">
        <v>0.5346710453629494</v>
      </c>
      <c r="F396" s="4">
        <v>345927.87846382771</v>
      </c>
      <c r="G396" s="4">
        <v>345928.41313487309</v>
      </c>
      <c r="H396" s="5">
        <f t="shared" si="7"/>
        <v>0</v>
      </c>
      <c r="I396" t="s">
        <v>230</v>
      </c>
      <c r="J396" t="s">
        <v>125</v>
      </c>
      <c r="K396" s="5">
        <f>81 / 86400</f>
        <v>9.3749999999999997E-4</v>
      </c>
      <c r="L396" s="5">
        <f>9 / 86400</f>
        <v>1.0416666666666667E-4</v>
      </c>
    </row>
    <row r="397" spans="1:12" x14ac:dyDescent="0.25">
      <c r="A397" s="3">
        <v>45689.564965277779</v>
      </c>
      <c r="B397" t="s">
        <v>329</v>
      </c>
      <c r="C397" s="3">
        <v>45689.566527777773</v>
      </c>
      <c r="D397" t="s">
        <v>330</v>
      </c>
      <c r="E397" s="4">
        <v>0.83610922390222553</v>
      </c>
      <c r="F397" s="4">
        <v>345928.4168822699</v>
      </c>
      <c r="G397" s="4">
        <v>345929.25299149385</v>
      </c>
      <c r="H397" s="5">
        <f t="shared" si="7"/>
        <v>0</v>
      </c>
      <c r="I397" t="s">
        <v>107</v>
      </c>
      <c r="J397" t="s">
        <v>119</v>
      </c>
      <c r="K397" s="5">
        <f>135 / 86400</f>
        <v>1.5625000000000001E-3</v>
      </c>
      <c r="L397" s="5">
        <f>49 / 86400</f>
        <v>5.6712962962962967E-4</v>
      </c>
    </row>
    <row r="398" spans="1:12" x14ac:dyDescent="0.25">
      <c r="A398" s="3">
        <v>45689.567094907412</v>
      </c>
      <c r="B398" t="s">
        <v>330</v>
      </c>
      <c r="C398" s="3">
        <v>45689.568020833336</v>
      </c>
      <c r="D398" t="s">
        <v>94</v>
      </c>
      <c r="E398" s="4">
        <v>0.49029935240745542</v>
      </c>
      <c r="F398" s="4">
        <v>345929.25974453968</v>
      </c>
      <c r="G398" s="4">
        <v>345929.75004389207</v>
      </c>
      <c r="H398" s="5">
        <f t="shared" si="7"/>
        <v>0</v>
      </c>
      <c r="I398" t="s">
        <v>214</v>
      </c>
      <c r="J398" t="s">
        <v>119</v>
      </c>
      <c r="K398" s="5">
        <f>80 / 86400</f>
        <v>9.2592592592592596E-4</v>
      </c>
      <c r="L398" s="5">
        <f>20 / 86400</f>
        <v>2.3148148148148149E-4</v>
      </c>
    </row>
    <row r="399" spans="1:12" x14ac:dyDescent="0.25">
      <c r="A399" s="3">
        <v>45689.568252314813</v>
      </c>
      <c r="B399" t="s">
        <v>94</v>
      </c>
      <c r="C399" s="3">
        <v>45689.569178240738</v>
      </c>
      <c r="D399" t="s">
        <v>94</v>
      </c>
      <c r="E399" s="4">
        <v>0.52466464769840238</v>
      </c>
      <c r="F399" s="4">
        <v>345929.77683012019</v>
      </c>
      <c r="G399" s="4">
        <v>345930.30149476789</v>
      </c>
      <c r="H399" s="5">
        <f t="shared" si="7"/>
        <v>0</v>
      </c>
      <c r="I399" t="s">
        <v>165</v>
      </c>
      <c r="J399" t="s">
        <v>125</v>
      </c>
      <c r="K399" s="5">
        <f>80 / 86400</f>
        <v>9.2592592592592596E-4</v>
      </c>
      <c r="L399" s="5">
        <f>20 / 86400</f>
        <v>2.3148148148148149E-4</v>
      </c>
    </row>
    <row r="400" spans="1:12" x14ac:dyDescent="0.25">
      <c r="A400" s="3">
        <v>45689.569409722222</v>
      </c>
      <c r="B400" t="s">
        <v>171</v>
      </c>
      <c r="C400" s="3">
        <v>45689.570902777778</v>
      </c>
      <c r="D400" t="s">
        <v>331</v>
      </c>
      <c r="E400" s="4">
        <v>0.62208673065900799</v>
      </c>
      <c r="F400" s="4">
        <v>345930.31601969519</v>
      </c>
      <c r="G400" s="4">
        <v>345930.93810642586</v>
      </c>
      <c r="H400" s="5">
        <f t="shared" si="7"/>
        <v>0</v>
      </c>
      <c r="I400" t="s">
        <v>170</v>
      </c>
      <c r="J400" t="s">
        <v>30</v>
      </c>
      <c r="K400" s="5">
        <f>129 / 86400</f>
        <v>1.4930555555555556E-3</v>
      </c>
      <c r="L400" s="5">
        <f>4 / 86400</f>
        <v>4.6296296296296294E-5</v>
      </c>
    </row>
    <row r="401" spans="1:12" x14ac:dyDescent="0.25">
      <c r="A401" s="3">
        <v>45689.57094907407</v>
      </c>
      <c r="B401" t="s">
        <v>331</v>
      </c>
      <c r="C401" s="3">
        <v>45689.572106481486</v>
      </c>
      <c r="D401" t="s">
        <v>332</v>
      </c>
      <c r="E401" s="4">
        <v>0.69141110557317731</v>
      </c>
      <c r="F401" s="4">
        <v>345930.94239522872</v>
      </c>
      <c r="G401" s="4">
        <v>345931.63380633434</v>
      </c>
      <c r="H401" s="5">
        <f t="shared" si="7"/>
        <v>0</v>
      </c>
      <c r="I401" t="s">
        <v>189</v>
      </c>
      <c r="J401" t="s">
        <v>123</v>
      </c>
      <c r="K401" s="5">
        <f>100 / 86400</f>
        <v>1.1574074074074073E-3</v>
      </c>
      <c r="L401" s="5">
        <f>38 / 86400</f>
        <v>4.3981481481481481E-4</v>
      </c>
    </row>
    <row r="402" spans="1:12" x14ac:dyDescent="0.25">
      <c r="A402" s="3">
        <v>45689.572546296295</v>
      </c>
      <c r="B402" t="s">
        <v>333</v>
      </c>
      <c r="C402" s="3">
        <v>45689.57408564815</v>
      </c>
      <c r="D402" t="s">
        <v>334</v>
      </c>
      <c r="E402" s="4">
        <v>0.75515620553493501</v>
      </c>
      <c r="F402" s="4">
        <v>345931.65710705408</v>
      </c>
      <c r="G402" s="4">
        <v>345932.41226325958</v>
      </c>
      <c r="H402" s="5">
        <f t="shared" si="7"/>
        <v>0</v>
      </c>
      <c r="I402" t="s">
        <v>178</v>
      </c>
      <c r="J402" t="s">
        <v>62</v>
      </c>
      <c r="K402" s="5">
        <f>133 / 86400</f>
        <v>1.5393518518518519E-3</v>
      </c>
      <c r="L402" s="5">
        <f>10 / 86400</f>
        <v>1.1574074074074075E-4</v>
      </c>
    </row>
    <row r="403" spans="1:12" x14ac:dyDescent="0.25">
      <c r="A403" s="3">
        <v>45689.574201388888</v>
      </c>
      <c r="B403" t="s">
        <v>334</v>
      </c>
      <c r="C403" s="3">
        <v>45689.574432870373</v>
      </c>
      <c r="D403" t="s">
        <v>334</v>
      </c>
      <c r="E403" s="4">
        <v>1.6328517436981202E-2</v>
      </c>
      <c r="F403" s="4">
        <v>345932.42145489471</v>
      </c>
      <c r="G403" s="4">
        <v>345932.43778341217</v>
      </c>
      <c r="H403" s="5">
        <f t="shared" si="7"/>
        <v>0</v>
      </c>
      <c r="I403" t="s">
        <v>56</v>
      </c>
      <c r="J403" t="s">
        <v>121</v>
      </c>
      <c r="K403" s="5">
        <f>20 / 86400</f>
        <v>2.3148148148148149E-4</v>
      </c>
      <c r="L403" s="5">
        <f>92 / 86400</f>
        <v>1.0648148148148149E-3</v>
      </c>
    </row>
    <row r="404" spans="1:12" x14ac:dyDescent="0.25">
      <c r="A404" s="3">
        <v>45689.575497685189</v>
      </c>
      <c r="B404" t="s">
        <v>334</v>
      </c>
      <c r="C404" s="3">
        <v>45689.575960648144</v>
      </c>
      <c r="D404" t="s">
        <v>177</v>
      </c>
      <c r="E404" s="4">
        <v>7.8807824134826662E-2</v>
      </c>
      <c r="F404" s="4">
        <v>345932.4520372001</v>
      </c>
      <c r="G404" s="4">
        <v>345932.53084502422</v>
      </c>
      <c r="H404" s="5">
        <f t="shared" si="7"/>
        <v>0</v>
      </c>
      <c r="I404" t="s">
        <v>56</v>
      </c>
      <c r="J404" t="s">
        <v>126</v>
      </c>
      <c r="K404" s="5">
        <f>40 / 86400</f>
        <v>4.6296296296296298E-4</v>
      </c>
      <c r="L404" s="5">
        <f>54 / 86400</f>
        <v>6.2500000000000001E-4</v>
      </c>
    </row>
    <row r="405" spans="1:12" x14ac:dyDescent="0.25">
      <c r="A405" s="3">
        <v>45689.576585648145</v>
      </c>
      <c r="B405" t="s">
        <v>335</v>
      </c>
      <c r="C405" s="3">
        <v>45689.577592592592</v>
      </c>
      <c r="D405" t="s">
        <v>269</v>
      </c>
      <c r="E405" s="4">
        <v>0.2772726023197174</v>
      </c>
      <c r="F405" s="4">
        <v>345932.54897295119</v>
      </c>
      <c r="G405" s="4">
        <v>345932.8262455535</v>
      </c>
      <c r="H405" s="5">
        <f t="shared" si="7"/>
        <v>0</v>
      </c>
      <c r="I405" t="s">
        <v>123</v>
      </c>
      <c r="J405" t="s">
        <v>71</v>
      </c>
      <c r="K405" s="5">
        <f>87 / 86400</f>
        <v>1.0069444444444444E-3</v>
      </c>
      <c r="L405" s="5">
        <f>19 / 86400</f>
        <v>2.199074074074074E-4</v>
      </c>
    </row>
    <row r="406" spans="1:12" x14ac:dyDescent="0.25">
      <c r="A406" s="3">
        <v>45689.5778125</v>
      </c>
      <c r="B406" t="s">
        <v>269</v>
      </c>
      <c r="C406" s="3">
        <v>45689.578043981484</v>
      </c>
      <c r="D406" t="s">
        <v>269</v>
      </c>
      <c r="E406" s="4">
        <v>5.2021067738533024E-3</v>
      </c>
      <c r="F406" s="4">
        <v>345932.82881053566</v>
      </c>
      <c r="G406" s="4">
        <v>345932.83401264244</v>
      </c>
      <c r="H406" s="5">
        <f t="shared" si="7"/>
        <v>0</v>
      </c>
      <c r="I406" t="s">
        <v>100</v>
      </c>
      <c r="J406" t="s">
        <v>100</v>
      </c>
      <c r="K406" s="5">
        <f>20 / 86400</f>
        <v>2.3148148148148149E-4</v>
      </c>
      <c r="L406" s="5">
        <f>40 / 86400</f>
        <v>4.6296296296296298E-4</v>
      </c>
    </row>
    <row r="407" spans="1:12" x14ac:dyDescent="0.25">
      <c r="A407" s="3">
        <v>45689.578506944439</v>
      </c>
      <c r="B407" t="s">
        <v>269</v>
      </c>
      <c r="C407" s="3">
        <v>45689.585138888884</v>
      </c>
      <c r="D407" t="s">
        <v>273</v>
      </c>
      <c r="E407" s="4">
        <v>3.2218788214325906</v>
      </c>
      <c r="F407" s="4">
        <v>345932.94891443639</v>
      </c>
      <c r="G407" s="4">
        <v>345936.17079325783</v>
      </c>
      <c r="H407" s="5">
        <f t="shared" si="7"/>
        <v>0</v>
      </c>
      <c r="I407" t="s">
        <v>257</v>
      </c>
      <c r="J407" t="s">
        <v>62</v>
      </c>
      <c r="K407" s="5">
        <f>573 / 86400</f>
        <v>6.6319444444444446E-3</v>
      </c>
      <c r="L407" s="5">
        <f>20 / 86400</f>
        <v>2.3148148148148149E-4</v>
      </c>
    </row>
    <row r="408" spans="1:12" x14ac:dyDescent="0.25">
      <c r="A408" s="3">
        <v>45689.585370370369</v>
      </c>
      <c r="B408" t="s">
        <v>273</v>
      </c>
      <c r="C408" s="3">
        <v>45689.585601851853</v>
      </c>
      <c r="D408" t="s">
        <v>294</v>
      </c>
      <c r="E408" s="4">
        <v>3.6579874873161319E-2</v>
      </c>
      <c r="F408" s="4">
        <v>345936.19177328382</v>
      </c>
      <c r="G408" s="4">
        <v>345936.22835315869</v>
      </c>
      <c r="H408" s="5">
        <f t="shared" si="7"/>
        <v>0</v>
      </c>
      <c r="I408" t="s">
        <v>85</v>
      </c>
      <c r="J408" t="s">
        <v>126</v>
      </c>
      <c r="K408" s="5">
        <f>20 / 86400</f>
        <v>2.3148148148148149E-4</v>
      </c>
      <c r="L408" s="5">
        <f>20 / 86400</f>
        <v>2.3148148148148149E-4</v>
      </c>
    </row>
    <row r="409" spans="1:12" x14ac:dyDescent="0.25">
      <c r="A409" s="3">
        <v>45689.585833333331</v>
      </c>
      <c r="B409" t="s">
        <v>294</v>
      </c>
      <c r="C409" s="3">
        <v>45689.589016203703</v>
      </c>
      <c r="D409" t="s">
        <v>274</v>
      </c>
      <c r="E409" s="4">
        <v>0.746752047598362</v>
      </c>
      <c r="F409" s="4">
        <v>345936.24614787061</v>
      </c>
      <c r="G409" s="4">
        <v>345936.99289991817</v>
      </c>
      <c r="H409" s="5">
        <f t="shared" si="7"/>
        <v>0</v>
      </c>
      <c r="I409" t="s">
        <v>35</v>
      </c>
      <c r="J409" t="s">
        <v>116</v>
      </c>
      <c r="K409" s="5">
        <f>275 / 86400</f>
        <v>3.1828703703703702E-3</v>
      </c>
      <c r="L409" s="5">
        <f>20 / 86400</f>
        <v>2.3148148148148149E-4</v>
      </c>
    </row>
    <row r="410" spans="1:12" x14ac:dyDescent="0.25">
      <c r="A410" s="3">
        <v>45689.589247685188</v>
      </c>
      <c r="B410" t="s">
        <v>274</v>
      </c>
      <c r="C410" s="3">
        <v>45689.591562500005</v>
      </c>
      <c r="D410" t="s">
        <v>336</v>
      </c>
      <c r="E410" s="4">
        <v>0.95708410167694091</v>
      </c>
      <c r="F410" s="4">
        <v>345937.00623311946</v>
      </c>
      <c r="G410" s="4">
        <v>345937.96331722115</v>
      </c>
      <c r="H410" s="5">
        <f t="shared" si="7"/>
        <v>0</v>
      </c>
      <c r="I410" t="s">
        <v>138</v>
      </c>
      <c r="J410" t="s">
        <v>30</v>
      </c>
      <c r="K410" s="5">
        <f>200 / 86400</f>
        <v>2.3148148148148147E-3</v>
      </c>
      <c r="L410" s="5">
        <f>60 / 86400</f>
        <v>6.9444444444444447E-4</v>
      </c>
    </row>
    <row r="411" spans="1:12" x14ac:dyDescent="0.25">
      <c r="A411" s="3">
        <v>45689.592256944445</v>
      </c>
      <c r="B411" t="s">
        <v>336</v>
      </c>
      <c r="C411" s="3">
        <v>45689.592488425929</v>
      </c>
      <c r="D411" t="s">
        <v>336</v>
      </c>
      <c r="E411" s="4">
        <v>1.5067030787467956E-3</v>
      </c>
      <c r="F411" s="4">
        <v>345937.9712373435</v>
      </c>
      <c r="G411" s="4">
        <v>345937.97274404659</v>
      </c>
      <c r="H411" s="5">
        <f t="shared" si="7"/>
        <v>0</v>
      </c>
      <c r="I411" t="s">
        <v>133</v>
      </c>
      <c r="J411" t="s">
        <v>37</v>
      </c>
      <c r="K411" s="5">
        <f>20 / 86400</f>
        <v>2.3148148148148149E-4</v>
      </c>
      <c r="L411" s="5">
        <f>120 / 86400</f>
        <v>1.3888888888888889E-3</v>
      </c>
    </row>
    <row r="412" spans="1:12" x14ac:dyDescent="0.25">
      <c r="A412" s="3">
        <v>45689.593877314815</v>
      </c>
      <c r="B412" t="s">
        <v>336</v>
      </c>
      <c r="C412" s="3">
        <v>45689.594340277778</v>
      </c>
      <c r="D412" t="s">
        <v>336</v>
      </c>
      <c r="E412" s="4">
        <v>3.5823462605476379E-3</v>
      </c>
      <c r="F412" s="4">
        <v>345937.99528329412</v>
      </c>
      <c r="G412" s="4">
        <v>345937.99886564037</v>
      </c>
      <c r="H412" s="5">
        <f t="shared" si="7"/>
        <v>0</v>
      </c>
      <c r="I412" t="s">
        <v>80</v>
      </c>
      <c r="J412" t="s">
        <v>37</v>
      </c>
      <c r="K412" s="5">
        <f>40 / 86400</f>
        <v>4.6296296296296298E-4</v>
      </c>
      <c r="L412" s="5">
        <f>120 / 86400</f>
        <v>1.3888888888888889E-3</v>
      </c>
    </row>
    <row r="413" spans="1:12" x14ac:dyDescent="0.25">
      <c r="A413" s="3">
        <v>45689.595729166671</v>
      </c>
      <c r="B413" t="s">
        <v>336</v>
      </c>
      <c r="C413" s="3">
        <v>45689.595960648148</v>
      </c>
      <c r="D413" t="s">
        <v>337</v>
      </c>
      <c r="E413" s="4">
        <v>1.1867752492427826E-2</v>
      </c>
      <c r="F413" s="4">
        <v>345938.00750287616</v>
      </c>
      <c r="G413" s="4">
        <v>345938.01937062864</v>
      </c>
      <c r="H413" s="5">
        <f t="shared" si="7"/>
        <v>0</v>
      </c>
      <c r="I413" t="s">
        <v>92</v>
      </c>
      <c r="J413" t="s">
        <v>133</v>
      </c>
      <c r="K413" s="5">
        <f>20 / 86400</f>
        <v>2.3148148148148149E-4</v>
      </c>
      <c r="L413" s="5">
        <f>60 / 86400</f>
        <v>6.9444444444444447E-4</v>
      </c>
    </row>
    <row r="414" spans="1:12" x14ac:dyDescent="0.25">
      <c r="A414" s="3">
        <v>45689.596655092595</v>
      </c>
      <c r="B414" t="s">
        <v>337</v>
      </c>
      <c r="C414" s="3">
        <v>45689.596886574072</v>
      </c>
      <c r="D414" t="s">
        <v>337</v>
      </c>
      <c r="E414" s="4">
        <v>3.6257278919219972E-3</v>
      </c>
      <c r="F414" s="4">
        <v>345938.02656743262</v>
      </c>
      <c r="G414" s="4">
        <v>345938.03019316052</v>
      </c>
      <c r="H414" s="5">
        <f t="shared" si="7"/>
        <v>0</v>
      </c>
      <c r="I414" t="s">
        <v>100</v>
      </c>
      <c r="J414" t="s">
        <v>100</v>
      </c>
      <c r="K414" s="5">
        <f>20 / 86400</f>
        <v>2.3148148148148149E-4</v>
      </c>
      <c r="L414" s="5">
        <f>254 / 86400</f>
        <v>2.9398148148148148E-3</v>
      </c>
    </row>
    <row r="415" spans="1:12" x14ac:dyDescent="0.25">
      <c r="A415" s="3">
        <v>45689.599826388891</v>
      </c>
      <c r="B415" t="s">
        <v>337</v>
      </c>
      <c r="C415" s="3">
        <v>45689.600057870368</v>
      </c>
      <c r="D415" t="s">
        <v>337</v>
      </c>
      <c r="E415" s="4">
        <v>2.6386928558349611E-4</v>
      </c>
      <c r="F415" s="4">
        <v>345938.06915180595</v>
      </c>
      <c r="G415" s="4">
        <v>345938.06941567524</v>
      </c>
      <c r="H415" s="5">
        <f t="shared" si="7"/>
        <v>0</v>
      </c>
      <c r="I415" t="s">
        <v>56</v>
      </c>
      <c r="J415" t="s">
        <v>37</v>
      </c>
      <c r="K415" s="5">
        <f>20 / 86400</f>
        <v>2.3148148148148149E-4</v>
      </c>
      <c r="L415" s="5">
        <f>20 / 86400</f>
        <v>2.3148148148148149E-4</v>
      </c>
    </row>
    <row r="416" spans="1:12" x14ac:dyDescent="0.25">
      <c r="A416" s="3">
        <v>45689.600289351853</v>
      </c>
      <c r="B416" t="s">
        <v>337</v>
      </c>
      <c r="C416" s="3">
        <v>45689.600520833337</v>
      </c>
      <c r="D416" t="s">
        <v>278</v>
      </c>
      <c r="E416" s="4">
        <v>2.2330465853214264E-2</v>
      </c>
      <c r="F416" s="4">
        <v>345938.07212387765</v>
      </c>
      <c r="G416" s="4">
        <v>345938.09445434349</v>
      </c>
      <c r="H416" s="5">
        <f t="shared" si="7"/>
        <v>0</v>
      </c>
      <c r="I416" t="s">
        <v>80</v>
      </c>
      <c r="J416" t="s">
        <v>80</v>
      </c>
      <c r="K416" s="5">
        <f>20 / 86400</f>
        <v>2.3148148148148149E-4</v>
      </c>
      <c r="L416" s="5">
        <f>70 / 86400</f>
        <v>8.1018518518518516E-4</v>
      </c>
    </row>
    <row r="417" spans="1:12" x14ac:dyDescent="0.25">
      <c r="A417" s="3">
        <v>45689.601331018523</v>
      </c>
      <c r="B417" t="s">
        <v>278</v>
      </c>
      <c r="C417" s="3">
        <v>45689.603009259255</v>
      </c>
      <c r="D417" t="s">
        <v>283</v>
      </c>
      <c r="E417" s="4">
        <v>0.82962464648485179</v>
      </c>
      <c r="F417" s="4">
        <v>345938.1056297578</v>
      </c>
      <c r="G417" s="4">
        <v>345938.93525440432</v>
      </c>
      <c r="H417" s="5">
        <f t="shared" si="7"/>
        <v>0</v>
      </c>
      <c r="I417" t="s">
        <v>179</v>
      </c>
      <c r="J417" t="s">
        <v>20</v>
      </c>
      <c r="K417" s="5">
        <f>145 / 86400</f>
        <v>1.6782407407407408E-3</v>
      </c>
      <c r="L417" s="5">
        <f>20 / 86400</f>
        <v>2.3148148148148149E-4</v>
      </c>
    </row>
    <row r="418" spans="1:12" x14ac:dyDescent="0.25">
      <c r="A418" s="3">
        <v>45689.60324074074</v>
      </c>
      <c r="B418" t="s">
        <v>283</v>
      </c>
      <c r="C418" s="3">
        <v>45689.604166666672</v>
      </c>
      <c r="D418" t="s">
        <v>338</v>
      </c>
      <c r="E418" s="4">
        <v>0.75846756780147551</v>
      </c>
      <c r="F418" s="4">
        <v>345938.94417976378</v>
      </c>
      <c r="G418" s="4">
        <v>345939.70264733158</v>
      </c>
      <c r="H418" s="5">
        <f t="shared" si="7"/>
        <v>0</v>
      </c>
      <c r="I418" t="s">
        <v>261</v>
      </c>
      <c r="J418" t="s">
        <v>167</v>
      </c>
      <c r="K418" s="5">
        <f>80 / 86400</f>
        <v>9.2592592592592596E-4</v>
      </c>
      <c r="L418" s="5">
        <f>26 / 86400</f>
        <v>3.0092592592592595E-4</v>
      </c>
    </row>
    <row r="419" spans="1:12" x14ac:dyDescent="0.25">
      <c r="A419" s="3">
        <v>45689.604467592595</v>
      </c>
      <c r="B419" t="s">
        <v>339</v>
      </c>
      <c r="C419" s="3">
        <v>45689.605706018519</v>
      </c>
      <c r="D419" t="s">
        <v>285</v>
      </c>
      <c r="E419" s="4">
        <v>0.94278881776332857</v>
      </c>
      <c r="F419" s="4">
        <v>345939.71224927547</v>
      </c>
      <c r="G419" s="4">
        <v>345940.65503809322</v>
      </c>
      <c r="H419" s="5">
        <f t="shared" si="7"/>
        <v>0</v>
      </c>
      <c r="I419" t="s">
        <v>118</v>
      </c>
      <c r="J419" t="s">
        <v>147</v>
      </c>
      <c r="K419" s="5">
        <f>107 / 86400</f>
        <v>1.238425925925926E-3</v>
      </c>
      <c r="L419" s="5">
        <f>20 / 86400</f>
        <v>2.3148148148148149E-4</v>
      </c>
    </row>
    <row r="420" spans="1:12" x14ac:dyDescent="0.25">
      <c r="A420" s="3">
        <v>45689.605937500004</v>
      </c>
      <c r="B420" t="s">
        <v>285</v>
      </c>
      <c r="C420" s="3">
        <v>45689.606990740736</v>
      </c>
      <c r="D420" t="s">
        <v>340</v>
      </c>
      <c r="E420" s="4">
        <v>0.15367320817708968</v>
      </c>
      <c r="F420" s="4">
        <v>345940.66365959338</v>
      </c>
      <c r="G420" s="4">
        <v>345940.81733280158</v>
      </c>
      <c r="H420" s="5">
        <f t="shared" si="7"/>
        <v>0</v>
      </c>
      <c r="I420" t="s">
        <v>20</v>
      </c>
      <c r="J420" t="s">
        <v>92</v>
      </c>
      <c r="K420" s="5">
        <f>91 / 86400</f>
        <v>1.0532407407407407E-3</v>
      </c>
      <c r="L420" s="5">
        <f>18 / 86400</f>
        <v>2.0833333333333335E-4</v>
      </c>
    </row>
    <row r="421" spans="1:12" x14ac:dyDescent="0.25">
      <c r="A421" s="3">
        <v>45689.607199074075</v>
      </c>
      <c r="B421" t="s">
        <v>340</v>
      </c>
      <c r="C421" s="3">
        <v>45689.607488425929</v>
      </c>
      <c r="D421" t="s">
        <v>341</v>
      </c>
      <c r="E421" s="4">
        <v>3.8376072764396668E-2</v>
      </c>
      <c r="F421" s="4">
        <v>345940.81986760697</v>
      </c>
      <c r="G421" s="4">
        <v>345940.85824367974</v>
      </c>
      <c r="H421" s="5">
        <f t="shared" si="7"/>
        <v>0</v>
      </c>
      <c r="I421" t="s">
        <v>30</v>
      </c>
      <c r="J421" t="s">
        <v>92</v>
      </c>
      <c r="K421" s="5">
        <f>25 / 86400</f>
        <v>2.8935185185185184E-4</v>
      </c>
      <c r="L421" s="5">
        <f>20 / 86400</f>
        <v>2.3148148148148149E-4</v>
      </c>
    </row>
    <row r="422" spans="1:12" x14ac:dyDescent="0.25">
      <c r="A422" s="3">
        <v>45689.607719907406</v>
      </c>
      <c r="B422" t="s">
        <v>135</v>
      </c>
      <c r="C422" s="3">
        <v>45689.608437499999</v>
      </c>
      <c r="D422" t="s">
        <v>342</v>
      </c>
      <c r="E422" s="4">
        <v>0.16305104809999466</v>
      </c>
      <c r="F422" s="4">
        <v>345940.87118462706</v>
      </c>
      <c r="G422" s="4">
        <v>345941.03423567518</v>
      </c>
      <c r="H422" s="5">
        <f t="shared" ref="H422:H489" si="8">0 / 86400</f>
        <v>0</v>
      </c>
      <c r="I422" t="s">
        <v>151</v>
      </c>
      <c r="J422" t="s">
        <v>85</v>
      </c>
      <c r="K422" s="5">
        <f>62 / 86400</f>
        <v>7.1759259259259259E-4</v>
      </c>
      <c r="L422" s="5">
        <f>100 / 86400</f>
        <v>1.1574074074074073E-3</v>
      </c>
    </row>
    <row r="423" spans="1:12" x14ac:dyDescent="0.25">
      <c r="A423" s="3">
        <v>45689.609594907408</v>
      </c>
      <c r="B423" t="s">
        <v>284</v>
      </c>
      <c r="C423" s="3">
        <v>45689.609826388885</v>
      </c>
      <c r="D423" t="s">
        <v>284</v>
      </c>
      <c r="E423" s="4">
        <v>0</v>
      </c>
      <c r="F423" s="4">
        <v>345941.09161838877</v>
      </c>
      <c r="G423" s="4">
        <v>345941.09161838877</v>
      </c>
      <c r="H423" s="5">
        <f t="shared" si="8"/>
        <v>0</v>
      </c>
      <c r="I423" t="s">
        <v>100</v>
      </c>
      <c r="J423" t="s">
        <v>37</v>
      </c>
      <c r="K423" s="5">
        <f>20 / 86400</f>
        <v>2.3148148148148149E-4</v>
      </c>
      <c r="L423" s="5">
        <f>61 / 86400</f>
        <v>7.0601851851851847E-4</v>
      </c>
    </row>
    <row r="424" spans="1:12" x14ac:dyDescent="0.25">
      <c r="A424" s="3">
        <v>45689.610532407409</v>
      </c>
      <c r="B424" t="s">
        <v>284</v>
      </c>
      <c r="C424" s="3">
        <v>45689.610763888893</v>
      </c>
      <c r="D424" t="s">
        <v>284</v>
      </c>
      <c r="E424" s="4">
        <v>0</v>
      </c>
      <c r="F424" s="4">
        <v>345941.09161838877</v>
      </c>
      <c r="G424" s="4">
        <v>345941.09161838877</v>
      </c>
      <c r="H424" s="5">
        <f t="shared" si="8"/>
        <v>0</v>
      </c>
      <c r="I424" t="s">
        <v>179</v>
      </c>
      <c r="J424" t="s">
        <v>37</v>
      </c>
      <c r="K424" s="5">
        <f>20 / 86400</f>
        <v>2.3148148148148149E-4</v>
      </c>
      <c r="L424" s="5">
        <f>40 / 86400</f>
        <v>4.6296296296296298E-4</v>
      </c>
    </row>
    <row r="425" spans="1:12" x14ac:dyDescent="0.25">
      <c r="A425" s="3">
        <v>45689.611226851848</v>
      </c>
      <c r="B425" t="s">
        <v>343</v>
      </c>
      <c r="C425" s="3">
        <v>45689.611689814818</v>
      </c>
      <c r="D425" t="s">
        <v>344</v>
      </c>
      <c r="E425" s="4">
        <v>0.21541144388914107</v>
      </c>
      <c r="F425" s="4">
        <v>345941.65477221983</v>
      </c>
      <c r="G425" s="4">
        <v>345941.87018366373</v>
      </c>
      <c r="H425" s="5">
        <f t="shared" si="8"/>
        <v>0</v>
      </c>
      <c r="I425" t="s">
        <v>149</v>
      </c>
      <c r="J425" t="s">
        <v>49</v>
      </c>
      <c r="K425" s="5">
        <f>40 / 86400</f>
        <v>4.6296296296296298E-4</v>
      </c>
      <c r="L425" s="5">
        <f>40 / 86400</f>
        <v>4.6296296296296298E-4</v>
      </c>
    </row>
    <row r="426" spans="1:12" x14ac:dyDescent="0.25">
      <c r="A426" s="3">
        <v>45689.61215277778</v>
      </c>
      <c r="B426" t="s">
        <v>345</v>
      </c>
      <c r="C426" s="3">
        <v>45689.612384259264</v>
      </c>
      <c r="D426" t="s">
        <v>345</v>
      </c>
      <c r="E426" s="4">
        <v>1.637941986322403E-2</v>
      </c>
      <c r="F426" s="4">
        <v>345941.90425430465</v>
      </c>
      <c r="G426" s="4">
        <v>345941.92063372448</v>
      </c>
      <c r="H426" s="5">
        <f t="shared" si="8"/>
        <v>0</v>
      </c>
      <c r="I426" t="s">
        <v>133</v>
      </c>
      <c r="J426" t="s">
        <v>121</v>
      </c>
      <c r="K426" s="5">
        <f>20 / 86400</f>
        <v>2.3148148148148149E-4</v>
      </c>
      <c r="L426" s="5">
        <f>60 / 86400</f>
        <v>6.9444444444444447E-4</v>
      </c>
    </row>
    <row r="427" spans="1:12" x14ac:dyDescent="0.25">
      <c r="A427" s="3">
        <v>45689.613078703704</v>
      </c>
      <c r="B427" t="s">
        <v>345</v>
      </c>
      <c r="C427" s="3">
        <v>45689.613310185188</v>
      </c>
      <c r="D427" t="s">
        <v>346</v>
      </c>
      <c r="E427" s="4">
        <v>1.2446121394634246E-2</v>
      </c>
      <c r="F427" s="4">
        <v>345941.94293743459</v>
      </c>
      <c r="G427" s="4">
        <v>345941.95538355602</v>
      </c>
      <c r="H427" s="5">
        <f t="shared" si="8"/>
        <v>0</v>
      </c>
      <c r="I427" t="s">
        <v>56</v>
      </c>
      <c r="J427" t="s">
        <v>133</v>
      </c>
      <c r="K427" s="5">
        <f>20 / 86400</f>
        <v>2.3148148148148149E-4</v>
      </c>
      <c r="L427" s="5">
        <f>40 / 86400</f>
        <v>4.6296296296296298E-4</v>
      </c>
    </row>
    <row r="428" spans="1:12" x14ac:dyDescent="0.25">
      <c r="A428" s="3">
        <v>45689.613773148143</v>
      </c>
      <c r="B428" t="s">
        <v>346</v>
      </c>
      <c r="C428" s="3">
        <v>45689.614004629635</v>
      </c>
      <c r="D428" t="s">
        <v>346</v>
      </c>
      <c r="E428" s="4">
        <v>7.659810662269592E-3</v>
      </c>
      <c r="F428" s="4">
        <v>345941.96149138664</v>
      </c>
      <c r="G428" s="4">
        <v>345941.96915119729</v>
      </c>
      <c r="H428" s="5">
        <f t="shared" si="8"/>
        <v>0</v>
      </c>
      <c r="I428" t="s">
        <v>133</v>
      </c>
      <c r="J428" t="s">
        <v>100</v>
      </c>
      <c r="K428" s="5">
        <f>20 / 86400</f>
        <v>2.3148148148148149E-4</v>
      </c>
      <c r="L428" s="5">
        <f>40 / 86400</f>
        <v>4.6296296296296298E-4</v>
      </c>
    </row>
    <row r="429" spans="1:12" x14ac:dyDescent="0.25">
      <c r="A429" s="3">
        <v>45689.61446759259</v>
      </c>
      <c r="B429" t="s">
        <v>347</v>
      </c>
      <c r="C429" s="3">
        <v>45689.617534722223</v>
      </c>
      <c r="D429" t="s">
        <v>348</v>
      </c>
      <c r="E429" s="4">
        <v>0.82362088954448698</v>
      </c>
      <c r="F429" s="4">
        <v>345942.00983186217</v>
      </c>
      <c r="G429" s="4">
        <v>345942.83345275169</v>
      </c>
      <c r="H429" s="5">
        <f t="shared" si="8"/>
        <v>0</v>
      </c>
      <c r="I429" t="s">
        <v>138</v>
      </c>
      <c r="J429" t="s">
        <v>71</v>
      </c>
      <c r="K429" s="5">
        <f>265 / 86400</f>
        <v>3.0671296296296297E-3</v>
      </c>
      <c r="L429" s="5">
        <f>7 / 86400</f>
        <v>8.1018518518518516E-5</v>
      </c>
    </row>
    <row r="430" spans="1:12" x14ac:dyDescent="0.25">
      <c r="A430" s="3">
        <v>45689.617615740739</v>
      </c>
      <c r="B430" t="s">
        <v>348</v>
      </c>
      <c r="C430" s="3">
        <v>45689.618807870371</v>
      </c>
      <c r="D430" t="s">
        <v>289</v>
      </c>
      <c r="E430" s="4">
        <v>0.45562462598085401</v>
      </c>
      <c r="F430" s="4">
        <v>345942.83721887751</v>
      </c>
      <c r="G430" s="4">
        <v>345943.29284350347</v>
      </c>
      <c r="H430" s="5">
        <f t="shared" si="8"/>
        <v>0</v>
      </c>
      <c r="I430" t="s">
        <v>184</v>
      </c>
      <c r="J430" t="s">
        <v>26</v>
      </c>
      <c r="K430" s="5">
        <f>103 / 86400</f>
        <v>1.1921296296296296E-3</v>
      </c>
      <c r="L430" s="5">
        <f>74 / 86400</f>
        <v>8.564814814814815E-4</v>
      </c>
    </row>
    <row r="431" spans="1:12" x14ac:dyDescent="0.25">
      <c r="A431" s="3">
        <v>45689.619664351849</v>
      </c>
      <c r="B431" t="s">
        <v>289</v>
      </c>
      <c r="C431" s="3">
        <v>45689.620127314818</v>
      </c>
      <c r="D431" t="s">
        <v>290</v>
      </c>
      <c r="E431" s="4">
        <v>0.15645113104581834</v>
      </c>
      <c r="F431" s="4">
        <v>345943.29823173734</v>
      </c>
      <c r="G431" s="4">
        <v>345943.45468286838</v>
      </c>
      <c r="H431" s="5">
        <f t="shared" si="8"/>
        <v>0</v>
      </c>
      <c r="I431" t="s">
        <v>116</v>
      </c>
      <c r="J431" t="s">
        <v>51</v>
      </c>
      <c r="K431" s="5">
        <f>40 / 86400</f>
        <v>4.6296296296296298E-4</v>
      </c>
      <c r="L431" s="5">
        <f>20 / 86400</f>
        <v>2.3148148148148149E-4</v>
      </c>
    </row>
    <row r="432" spans="1:12" x14ac:dyDescent="0.25">
      <c r="A432" s="3">
        <v>45689.620358796295</v>
      </c>
      <c r="B432" t="s">
        <v>290</v>
      </c>
      <c r="C432" s="3">
        <v>45689.621053240742</v>
      </c>
      <c r="D432" t="s">
        <v>290</v>
      </c>
      <c r="E432" s="4">
        <v>4.5193905115127567E-2</v>
      </c>
      <c r="F432" s="4">
        <v>345943.45753973402</v>
      </c>
      <c r="G432" s="4">
        <v>345943.50273363909</v>
      </c>
      <c r="H432" s="5">
        <f t="shared" si="8"/>
        <v>0</v>
      </c>
      <c r="I432" t="s">
        <v>126</v>
      </c>
      <c r="J432" t="s">
        <v>121</v>
      </c>
      <c r="K432" s="5">
        <f>60 / 86400</f>
        <v>6.9444444444444447E-4</v>
      </c>
      <c r="L432" s="5">
        <f>60 / 86400</f>
        <v>6.9444444444444447E-4</v>
      </c>
    </row>
    <row r="433" spans="1:12" x14ac:dyDescent="0.25">
      <c r="A433" s="3">
        <v>45689.621747685189</v>
      </c>
      <c r="B433" t="s">
        <v>349</v>
      </c>
      <c r="C433" s="3">
        <v>45689.622615740736</v>
      </c>
      <c r="D433" t="s">
        <v>200</v>
      </c>
      <c r="E433" s="4">
        <v>0.1406321526169777</v>
      </c>
      <c r="F433" s="4">
        <v>345943.5367597458</v>
      </c>
      <c r="G433" s="4">
        <v>345943.67739189841</v>
      </c>
      <c r="H433" s="5">
        <f t="shared" si="8"/>
        <v>0</v>
      </c>
      <c r="I433" t="s">
        <v>30</v>
      </c>
      <c r="J433" t="s">
        <v>126</v>
      </c>
      <c r="K433" s="5">
        <f>75 / 86400</f>
        <v>8.6805555555555551E-4</v>
      </c>
      <c r="L433" s="5">
        <f>20 / 86400</f>
        <v>2.3148148148148149E-4</v>
      </c>
    </row>
    <row r="434" spans="1:12" x14ac:dyDescent="0.25">
      <c r="A434" s="3">
        <v>45689.622847222221</v>
      </c>
      <c r="B434" t="s">
        <v>200</v>
      </c>
      <c r="C434" s="3">
        <v>45689.623310185183</v>
      </c>
      <c r="D434" t="s">
        <v>200</v>
      </c>
      <c r="E434" s="4">
        <v>1.5200925827026366E-2</v>
      </c>
      <c r="F434" s="4">
        <v>345943.69919631083</v>
      </c>
      <c r="G434" s="4">
        <v>345943.71439723665</v>
      </c>
      <c r="H434" s="5">
        <f t="shared" si="8"/>
        <v>0</v>
      </c>
      <c r="I434" t="s">
        <v>56</v>
      </c>
      <c r="J434" t="s">
        <v>100</v>
      </c>
      <c r="K434" s="5">
        <f>40 / 86400</f>
        <v>4.6296296296296298E-4</v>
      </c>
      <c r="L434" s="5">
        <f>40 / 86400</f>
        <v>4.6296296296296298E-4</v>
      </c>
    </row>
    <row r="435" spans="1:12" x14ac:dyDescent="0.25">
      <c r="A435" s="3">
        <v>45689.623773148152</v>
      </c>
      <c r="B435" t="s">
        <v>200</v>
      </c>
      <c r="C435" s="3">
        <v>45689.62400462963</v>
      </c>
      <c r="D435" t="s">
        <v>200</v>
      </c>
      <c r="E435" s="4">
        <v>1.2489626169204711E-2</v>
      </c>
      <c r="F435" s="4">
        <v>345943.72632781061</v>
      </c>
      <c r="G435" s="4">
        <v>345943.73881743674</v>
      </c>
      <c r="H435" s="5">
        <f t="shared" si="8"/>
        <v>0</v>
      </c>
      <c r="I435" t="s">
        <v>100</v>
      </c>
      <c r="J435" t="s">
        <v>133</v>
      </c>
      <c r="K435" s="5">
        <f>20 / 86400</f>
        <v>2.3148148148148149E-4</v>
      </c>
      <c r="L435" s="5">
        <f>159 / 86400</f>
        <v>1.8402777777777777E-3</v>
      </c>
    </row>
    <row r="436" spans="1:12" x14ac:dyDescent="0.25">
      <c r="A436" s="3">
        <v>45689.625844907408</v>
      </c>
      <c r="B436" t="s">
        <v>200</v>
      </c>
      <c r="C436" s="3">
        <v>45689.628379629634</v>
      </c>
      <c r="D436" t="s">
        <v>350</v>
      </c>
      <c r="E436" s="4">
        <v>0.58447259414196018</v>
      </c>
      <c r="F436" s="4">
        <v>345943.7737070999</v>
      </c>
      <c r="G436" s="4">
        <v>345944.35817969404</v>
      </c>
      <c r="H436" s="5">
        <f t="shared" si="8"/>
        <v>0</v>
      </c>
      <c r="I436" t="s">
        <v>149</v>
      </c>
      <c r="J436" t="s">
        <v>116</v>
      </c>
      <c r="K436" s="5">
        <f>219 / 86400</f>
        <v>2.5347222222222221E-3</v>
      </c>
      <c r="L436" s="5">
        <f>60 / 86400</f>
        <v>6.9444444444444447E-4</v>
      </c>
    </row>
    <row r="437" spans="1:12" x14ac:dyDescent="0.25">
      <c r="A437" s="3">
        <v>45689.629074074073</v>
      </c>
      <c r="B437" t="s">
        <v>350</v>
      </c>
      <c r="C437" s="3">
        <v>45689.629305555558</v>
      </c>
      <c r="D437" t="s">
        <v>350</v>
      </c>
      <c r="E437" s="4">
        <v>4.6597391366958616E-3</v>
      </c>
      <c r="F437" s="4">
        <v>345944.39595788496</v>
      </c>
      <c r="G437" s="4">
        <v>345944.40061762411</v>
      </c>
      <c r="H437" s="5">
        <f t="shared" si="8"/>
        <v>0</v>
      </c>
      <c r="I437" t="s">
        <v>133</v>
      </c>
      <c r="J437" t="s">
        <v>100</v>
      </c>
      <c r="K437" s="5">
        <f>20 / 86400</f>
        <v>2.3148148148148149E-4</v>
      </c>
      <c r="L437" s="5">
        <f>140 / 86400</f>
        <v>1.6203703703703703E-3</v>
      </c>
    </row>
    <row r="438" spans="1:12" x14ac:dyDescent="0.25">
      <c r="A438" s="3">
        <v>45689.630925925929</v>
      </c>
      <c r="B438" t="s">
        <v>350</v>
      </c>
      <c r="C438" s="3">
        <v>45689.631157407406</v>
      </c>
      <c r="D438" t="s">
        <v>350</v>
      </c>
      <c r="E438" s="4">
        <v>6.108558893203735E-3</v>
      </c>
      <c r="F438" s="4">
        <v>345944.45469705854</v>
      </c>
      <c r="G438" s="4">
        <v>345944.46080561745</v>
      </c>
      <c r="H438" s="5">
        <f t="shared" si="8"/>
        <v>0</v>
      </c>
      <c r="I438" t="s">
        <v>133</v>
      </c>
      <c r="J438" t="s">
        <v>100</v>
      </c>
      <c r="K438" s="5">
        <f>20 / 86400</f>
        <v>2.3148148148148149E-4</v>
      </c>
      <c r="L438" s="5">
        <f>500 / 86400</f>
        <v>5.7870370370370367E-3</v>
      </c>
    </row>
    <row r="439" spans="1:12" x14ac:dyDescent="0.25">
      <c r="A439" s="3">
        <v>45689.636944444443</v>
      </c>
      <c r="B439" t="s">
        <v>350</v>
      </c>
      <c r="C439" s="3">
        <v>45689.637175925927</v>
      </c>
      <c r="D439" t="s">
        <v>351</v>
      </c>
      <c r="E439" s="4">
        <v>5.4438847303390505E-4</v>
      </c>
      <c r="F439" s="4">
        <v>345944.57556632056</v>
      </c>
      <c r="G439" s="4">
        <v>345944.57611070899</v>
      </c>
      <c r="H439" s="5">
        <f t="shared" si="8"/>
        <v>0</v>
      </c>
      <c r="I439" t="s">
        <v>100</v>
      </c>
      <c r="J439" t="s">
        <v>37</v>
      </c>
      <c r="K439" s="5">
        <f>20 / 86400</f>
        <v>2.3148148148148149E-4</v>
      </c>
      <c r="L439" s="5">
        <f>440 / 86400</f>
        <v>5.092592592592593E-3</v>
      </c>
    </row>
    <row r="440" spans="1:12" x14ac:dyDescent="0.25">
      <c r="A440" s="3">
        <v>45689.642268518517</v>
      </c>
      <c r="B440" t="s">
        <v>351</v>
      </c>
      <c r="C440" s="3">
        <v>45689.64607638889</v>
      </c>
      <c r="D440" t="s">
        <v>352</v>
      </c>
      <c r="E440" s="4">
        <v>0.86422456127405167</v>
      </c>
      <c r="F440" s="4">
        <v>345944.74032138957</v>
      </c>
      <c r="G440" s="4">
        <v>345945.60454595083</v>
      </c>
      <c r="H440" s="5">
        <f t="shared" si="8"/>
        <v>0</v>
      </c>
      <c r="I440" t="s">
        <v>49</v>
      </c>
      <c r="J440" t="s">
        <v>85</v>
      </c>
      <c r="K440" s="5">
        <f>329 / 86400</f>
        <v>3.8078703703703703E-3</v>
      </c>
      <c r="L440" s="5">
        <f>29 / 86400</f>
        <v>3.3564814814814812E-4</v>
      </c>
    </row>
    <row r="441" spans="1:12" x14ac:dyDescent="0.25">
      <c r="A441" s="3">
        <v>45689.646412037036</v>
      </c>
      <c r="B441" t="s">
        <v>352</v>
      </c>
      <c r="C441" s="3">
        <v>45689.648194444446</v>
      </c>
      <c r="D441" t="s">
        <v>203</v>
      </c>
      <c r="E441" s="4">
        <v>0.72985979592800143</v>
      </c>
      <c r="F441" s="4">
        <v>345945.61208607996</v>
      </c>
      <c r="G441" s="4">
        <v>345946.3419458759</v>
      </c>
      <c r="H441" s="5">
        <f t="shared" si="8"/>
        <v>0</v>
      </c>
      <c r="I441" t="s">
        <v>164</v>
      </c>
      <c r="J441" t="s">
        <v>30</v>
      </c>
      <c r="K441" s="5">
        <f>154 / 86400</f>
        <v>1.7824074074074075E-3</v>
      </c>
      <c r="L441" s="5">
        <f>60 / 86400</f>
        <v>6.9444444444444447E-4</v>
      </c>
    </row>
    <row r="442" spans="1:12" x14ac:dyDescent="0.25">
      <c r="A442" s="3">
        <v>45689.648888888885</v>
      </c>
      <c r="B442" t="s">
        <v>295</v>
      </c>
      <c r="C442" s="3">
        <v>45689.651990740742</v>
      </c>
      <c r="D442" t="s">
        <v>204</v>
      </c>
      <c r="E442" s="4">
        <v>2.4452759878635408</v>
      </c>
      <c r="F442" s="4">
        <v>345946.37056957174</v>
      </c>
      <c r="G442" s="4">
        <v>345948.81584555958</v>
      </c>
      <c r="H442" s="5">
        <f t="shared" si="8"/>
        <v>0</v>
      </c>
      <c r="I442" t="s">
        <v>224</v>
      </c>
      <c r="J442" t="s">
        <v>164</v>
      </c>
      <c r="K442" s="5">
        <f>268 / 86400</f>
        <v>3.1018518518518517E-3</v>
      </c>
      <c r="L442" s="5">
        <f>20 / 86400</f>
        <v>2.3148148148148149E-4</v>
      </c>
    </row>
    <row r="443" spans="1:12" x14ac:dyDescent="0.25">
      <c r="A443" s="3">
        <v>45689.652222222227</v>
      </c>
      <c r="B443" t="s">
        <v>204</v>
      </c>
      <c r="C443" s="3">
        <v>45689.652916666666</v>
      </c>
      <c r="D443" t="s">
        <v>353</v>
      </c>
      <c r="E443" s="4">
        <v>0.36054090803861616</v>
      </c>
      <c r="F443" s="4">
        <v>345948.85195112257</v>
      </c>
      <c r="G443" s="4">
        <v>345949.21249203064</v>
      </c>
      <c r="H443" s="5">
        <f t="shared" si="8"/>
        <v>0</v>
      </c>
      <c r="I443" t="s">
        <v>173</v>
      </c>
      <c r="J443" t="s">
        <v>119</v>
      </c>
      <c r="K443" s="5">
        <f>60 / 86400</f>
        <v>6.9444444444444447E-4</v>
      </c>
      <c r="L443" s="5">
        <f>20 / 86400</f>
        <v>2.3148148148148149E-4</v>
      </c>
    </row>
    <row r="444" spans="1:12" x14ac:dyDescent="0.25">
      <c r="A444" s="3">
        <v>45689.653148148151</v>
      </c>
      <c r="B444" t="s">
        <v>354</v>
      </c>
      <c r="C444" s="3">
        <v>45689.653611111113</v>
      </c>
      <c r="D444" t="s">
        <v>355</v>
      </c>
      <c r="E444" s="4">
        <v>9.3328105390071872E-2</v>
      </c>
      <c r="F444" s="4">
        <v>345949.47819625831</v>
      </c>
      <c r="G444" s="4">
        <v>345949.57152436371</v>
      </c>
      <c r="H444" s="5">
        <f t="shared" si="8"/>
        <v>0</v>
      </c>
      <c r="I444" t="s">
        <v>147</v>
      </c>
      <c r="J444" t="s">
        <v>120</v>
      </c>
      <c r="K444" s="5">
        <f>40 / 86400</f>
        <v>4.6296296296296298E-4</v>
      </c>
      <c r="L444" s="5">
        <f>20 / 86400</f>
        <v>2.3148148148148149E-4</v>
      </c>
    </row>
    <row r="445" spans="1:12" x14ac:dyDescent="0.25">
      <c r="A445" s="3">
        <v>45689.653842592597</v>
      </c>
      <c r="B445" t="s">
        <v>356</v>
      </c>
      <c r="C445" s="3">
        <v>45689.654074074075</v>
      </c>
      <c r="D445" t="s">
        <v>205</v>
      </c>
      <c r="E445" s="4">
        <v>8.4677993655204765E-3</v>
      </c>
      <c r="F445" s="4">
        <v>345949.59580002318</v>
      </c>
      <c r="G445" s="4">
        <v>345949.60426782258</v>
      </c>
      <c r="H445" s="5">
        <f t="shared" si="8"/>
        <v>0</v>
      </c>
      <c r="I445" t="s">
        <v>133</v>
      </c>
      <c r="J445" t="s">
        <v>133</v>
      </c>
      <c r="K445" s="5">
        <f>20 / 86400</f>
        <v>2.3148148148148149E-4</v>
      </c>
      <c r="L445" s="5">
        <f>100 / 86400</f>
        <v>1.1574074074074073E-3</v>
      </c>
    </row>
    <row r="446" spans="1:12" x14ac:dyDescent="0.25">
      <c r="A446" s="3">
        <v>45689.655231481476</v>
      </c>
      <c r="B446" t="s">
        <v>208</v>
      </c>
      <c r="C446" s="3">
        <v>45689.656481481477</v>
      </c>
      <c r="D446" t="s">
        <v>297</v>
      </c>
      <c r="E446" s="4">
        <v>0.23766398125886917</v>
      </c>
      <c r="F446" s="4">
        <v>345949.62230051507</v>
      </c>
      <c r="G446" s="4">
        <v>345949.85996449634</v>
      </c>
      <c r="H446" s="5">
        <f t="shared" si="8"/>
        <v>0</v>
      </c>
      <c r="I446" t="s">
        <v>23</v>
      </c>
      <c r="J446" t="s">
        <v>120</v>
      </c>
      <c r="K446" s="5">
        <f>108 / 86400</f>
        <v>1.25E-3</v>
      </c>
      <c r="L446" s="5">
        <f>16 / 86400</f>
        <v>1.8518518518518518E-4</v>
      </c>
    </row>
    <row r="447" spans="1:12" x14ac:dyDescent="0.25">
      <c r="A447" s="3">
        <v>45689.656666666662</v>
      </c>
      <c r="B447" t="s">
        <v>357</v>
      </c>
      <c r="C447" s="3">
        <v>45689.657222222224</v>
      </c>
      <c r="D447" t="s">
        <v>297</v>
      </c>
      <c r="E447" s="4">
        <v>0.33343725979328154</v>
      </c>
      <c r="F447" s="4">
        <v>345949.9664134378</v>
      </c>
      <c r="G447" s="4">
        <v>345950.29985069757</v>
      </c>
      <c r="H447" s="5">
        <f t="shared" si="8"/>
        <v>0</v>
      </c>
      <c r="I447" t="s">
        <v>152</v>
      </c>
      <c r="J447" t="s">
        <v>123</v>
      </c>
      <c r="K447" s="5">
        <f>48 / 86400</f>
        <v>5.5555555555555556E-4</v>
      </c>
      <c r="L447" s="5">
        <f>22 / 86400</f>
        <v>2.5462962962962961E-4</v>
      </c>
    </row>
    <row r="448" spans="1:12" x14ac:dyDescent="0.25">
      <c r="A448" s="3">
        <v>45689.657476851848</v>
      </c>
      <c r="B448" t="s">
        <v>297</v>
      </c>
      <c r="C448" s="3">
        <v>45689.658402777779</v>
      </c>
      <c r="D448" t="s">
        <v>358</v>
      </c>
      <c r="E448" s="4">
        <v>0.37945795941352845</v>
      </c>
      <c r="F448" s="4">
        <v>345950.30290434608</v>
      </c>
      <c r="G448" s="4">
        <v>345950.68236230552</v>
      </c>
      <c r="H448" s="5">
        <f t="shared" si="8"/>
        <v>0</v>
      </c>
      <c r="I448" t="s">
        <v>165</v>
      </c>
      <c r="J448" t="s">
        <v>30</v>
      </c>
      <c r="K448" s="5">
        <f>80 / 86400</f>
        <v>9.2592592592592596E-4</v>
      </c>
      <c r="L448" s="5">
        <f>20 / 86400</f>
        <v>2.3148148148148149E-4</v>
      </c>
    </row>
    <row r="449" spans="1:12" x14ac:dyDescent="0.25">
      <c r="A449" s="3">
        <v>45689.658634259264</v>
      </c>
      <c r="B449" t="s">
        <v>358</v>
      </c>
      <c r="C449" s="3">
        <v>45689.660763888889</v>
      </c>
      <c r="D449" t="s">
        <v>172</v>
      </c>
      <c r="E449" s="4">
        <v>1.0950333275794983</v>
      </c>
      <c r="F449" s="4">
        <v>345950.68458160758</v>
      </c>
      <c r="G449" s="4">
        <v>345951.77961493516</v>
      </c>
      <c r="H449" s="5">
        <f t="shared" si="8"/>
        <v>0</v>
      </c>
      <c r="I449" t="s">
        <v>254</v>
      </c>
      <c r="J449" t="s">
        <v>20</v>
      </c>
      <c r="K449" s="5">
        <f>184 / 86400</f>
        <v>2.1296296296296298E-3</v>
      </c>
      <c r="L449" s="5">
        <f>53 / 86400</f>
        <v>6.134259259259259E-4</v>
      </c>
    </row>
    <row r="450" spans="1:12" x14ac:dyDescent="0.25">
      <c r="A450" s="3">
        <v>45689.661377314813</v>
      </c>
      <c r="B450" t="s">
        <v>172</v>
      </c>
      <c r="C450" s="3">
        <v>45689.662534722222</v>
      </c>
      <c r="D450" t="s">
        <v>172</v>
      </c>
      <c r="E450" s="4">
        <v>0.44828277397155764</v>
      </c>
      <c r="F450" s="4">
        <v>345951.79397473537</v>
      </c>
      <c r="G450" s="4">
        <v>345952.24225750932</v>
      </c>
      <c r="H450" s="5">
        <f t="shared" si="8"/>
        <v>0</v>
      </c>
      <c r="I450" t="s">
        <v>206</v>
      </c>
      <c r="J450" t="s">
        <v>26</v>
      </c>
      <c r="K450" s="5">
        <f>100 / 86400</f>
        <v>1.1574074074074073E-3</v>
      </c>
      <c r="L450" s="5">
        <f>37 / 86400</f>
        <v>4.2824074074074075E-4</v>
      </c>
    </row>
    <row r="451" spans="1:12" x14ac:dyDescent="0.25">
      <c r="A451" s="3">
        <v>45689.662962962961</v>
      </c>
      <c r="B451" t="s">
        <v>359</v>
      </c>
      <c r="C451" s="3">
        <v>45689.663877314815</v>
      </c>
      <c r="D451" t="s">
        <v>360</v>
      </c>
      <c r="E451" s="4">
        <v>0.56151979696750642</v>
      </c>
      <c r="F451" s="4">
        <v>345952.28305954719</v>
      </c>
      <c r="G451" s="4">
        <v>345952.84457934415</v>
      </c>
      <c r="H451" s="5">
        <f t="shared" si="8"/>
        <v>0</v>
      </c>
      <c r="I451" t="s">
        <v>230</v>
      </c>
      <c r="J451" t="s">
        <v>184</v>
      </c>
      <c r="K451" s="5">
        <f>79 / 86400</f>
        <v>9.1435185185185185E-4</v>
      </c>
      <c r="L451" s="5">
        <f>18 / 86400</f>
        <v>2.0833333333333335E-4</v>
      </c>
    </row>
    <row r="452" spans="1:12" x14ac:dyDescent="0.25">
      <c r="A452" s="3">
        <v>45689.664085648154</v>
      </c>
      <c r="B452" t="s">
        <v>360</v>
      </c>
      <c r="C452" s="3">
        <v>45689.665266203709</v>
      </c>
      <c r="D452" t="s">
        <v>166</v>
      </c>
      <c r="E452" s="4">
        <v>0.75670578753948214</v>
      </c>
      <c r="F452" s="4">
        <v>345952.85195918096</v>
      </c>
      <c r="G452" s="4">
        <v>345953.60866496852</v>
      </c>
      <c r="H452" s="5">
        <f t="shared" si="8"/>
        <v>0</v>
      </c>
      <c r="I452" t="s">
        <v>152</v>
      </c>
      <c r="J452" t="s">
        <v>141</v>
      </c>
      <c r="K452" s="5">
        <f>102 / 86400</f>
        <v>1.1805555555555556E-3</v>
      </c>
      <c r="L452" s="5">
        <f>20 / 86400</f>
        <v>2.3148148148148149E-4</v>
      </c>
    </row>
    <row r="453" spans="1:12" x14ac:dyDescent="0.25">
      <c r="A453" s="3">
        <v>45689.665497685186</v>
      </c>
      <c r="B453" t="s">
        <v>166</v>
      </c>
      <c r="C453" s="3">
        <v>45689.667638888888</v>
      </c>
      <c r="D453" t="s">
        <v>361</v>
      </c>
      <c r="E453" s="4">
        <v>0.99132612925767893</v>
      </c>
      <c r="F453" s="4">
        <v>345953.74503871932</v>
      </c>
      <c r="G453" s="4">
        <v>345954.73636484856</v>
      </c>
      <c r="H453" s="5">
        <f t="shared" si="8"/>
        <v>0</v>
      </c>
      <c r="I453" t="s">
        <v>206</v>
      </c>
      <c r="J453" t="s">
        <v>49</v>
      </c>
      <c r="K453" s="5">
        <f>185 / 86400</f>
        <v>2.1412037037037038E-3</v>
      </c>
      <c r="L453" s="5">
        <f>80 / 86400</f>
        <v>9.2592592592592596E-4</v>
      </c>
    </row>
    <row r="454" spans="1:12" x14ac:dyDescent="0.25">
      <c r="A454" s="3">
        <v>45689.668564814812</v>
      </c>
      <c r="B454" t="s">
        <v>299</v>
      </c>
      <c r="C454" s="3">
        <v>45689.671122685184</v>
      </c>
      <c r="D454" t="s">
        <v>212</v>
      </c>
      <c r="E454" s="4">
        <v>1.4131236330866814</v>
      </c>
      <c r="F454" s="4">
        <v>345954.7738721795</v>
      </c>
      <c r="G454" s="4">
        <v>345956.18699581258</v>
      </c>
      <c r="H454" s="5">
        <f t="shared" si="8"/>
        <v>0</v>
      </c>
      <c r="I454" t="s">
        <v>154</v>
      </c>
      <c r="J454" t="s">
        <v>35</v>
      </c>
      <c r="K454" s="5">
        <f>221 / 86400</f>
        <v>2.5578703703703705E-3</v>
      </c>
      <c r="L454" s="5">
        <f>19 / 86400</f>
        <v>2.199074074074074E-4</v>
      </c>
    </row>
    <row r="455" spans="1:12" x14ac:dyDescent="0.25">
      <c r="A455" s="3">
        <v>45689.671342592592</v>
      </c>
      <c r="B455" t="s">
        <v>212</v>
      </c>
      <c r="C455" s="3">
        <v>45689.672037037039</v>
      </c>
      <c r="D455" t="s">
        <v>212</v>
      </c>
      <c r="E455" s="4">
        <v>0.50824198430776601</v>
      </c>
      <c r="F455" s="4">
        <v>345956.23472993443</v>
      </c>
      <c r="G455" s="4">
        <v>345956.74297191878</v>
      </c>
      <c r="H455" s="5">
        <f t="shared" si="8"/>
        <v>0</v>
      </c>
      <c r="I455" t="s">
        <v>255</v>
      </c>
      <c r="J455" t="s">
        <v>206</v>
      </c>
      <c r="K455" s="5">
        <f>60 / 86400</f>
        <v>6.9444444444444447E-4</v>
      </c>
      <c r="L455" s="5">
        <f>20 / 86400</f>
        <v>2.3148148148148149E-4</v>
      </c>
    </row>
    <row r="456" spans="1:12" x14ac:dyDescent="0.25">
      <c r="A456" s="3">
        <v>45689.672268518523</v>
      </c>
      <c r="B456" t="s">
        <v>212</v>
      </c>
      <c r="C456" s="3">
        <v>45689.672777777778</v>
      </c>
      <c r="D456" t="s">
        <v>212</v>
      </c>
      <c r="E456" s="4">
        <v>0.20994490528106691</v>
      </c>
      <c r="F456" s="4">
        <v>345956.76987538894</v>
      </c>
      <c r="G456" s="4">
        <v>345956.97982029419</v>
      </c>
      <c r="H456" s="5">
        <f t="shared" si="8"/>
        <v>0</v>
      </c>
      <c r="I456" t="s">
        <v>123</v>
      </c>
      <c r="J456" t="s">
        <v>30</v>
      </c>
      <c r="K456" s="5">
        <f>44 / 86400</f>
        <v>5.0925925925925921E-4</v>
      </c>
      <c r="L456" s="5">
        <f>20 / 86400</f>
        <v>2.3148148148148149E-4</v>
      </c>
    </row>
    <row r="457" spans="1:12" x14ac:dyDescent="0.25">
      <c r="A457" s="3">
        <v>45689.673009259262</v>
      </c>
      <c r="B457" t="s">
        <v>212</v>
      </c>
      <c r="C457" s="3">
        <v>45689.67324074074</v>
      </c>
      <c r="D457" t="s">
        <v>212</v>
      </c>
      <c r="E457" s="4">
        <v>1.404135823249817E-3</v>
      </c>
      <c r="F457" s="4">
        <v>345957.01805201219</v>
      </c>
      <c r="G457" s="4">
        <v>345957.01945614803</v>
      </c>
      <c r="H457" s="5">
        <f t="shared" si="8"/>
        <v>0</v>
      </c>
      <c r="I457" t="s">
        <v>80</v>
      </c>
      <c r="J457" t="s">
        <v>37</v>
      </c>
      <c r="K457" s="5">
        <f>20 / 86400</f>
        <v>2.3148148148148149E-4</v>
      </c>
      <c r="L457" s="5">
        <f>180 / 86400</f>
        <v>2.0833333333333333E-3</v>
      </c>
    </row>
    <row r="458" spans="1:12" x14ac:dyDescent="0.25">
      <c r="A458" s="3">
        <v>45689.675324074073</v>
      </c>
      <c r="B458" t="s">
        <v>212</v>
      </c>
      <c r="C458" s="3">
        <v>45689.675555555557</v>
      </c>
      <c r="D458" t="s">
        <v>212</v>
      </c>
      <c r="E458" s="4">
        <v>8.3410015702247622E-3</v>
      </c>
      <c r="F458" s="4">
        <v>345957.0781760891</v>
      </c>
      <c r="G458" s="4">
        <v>345957.08651709068</v>
      </c>
      <c r="H458" s="5">
        <f t="shared" si="8"/>
        <v>0</v>
      </c>
      <c r="I458" t="s">
        <v>116</v>
      </c>
      <c r="J458" t="s">
        <v>133</v>
      </c>
      <c r="K458" s="5">
        <f>20 / 86400</f>
        <v>2.3148148148148149E-4</v>
      </c>
      <c r="L458" s="5">
        <f>80 / 86400</f>
        <v>9.2592592592592596E-4</v>
      </c>
    </row>
    <row r="459" spans="1:12" x14ac:dyDescent="0.25">
      <c r="A459" s="3">
        <v>45689.676481481481</v>
      </c>
      <c r="B459" t="s">
        <v>212</v>
      </c>
      <c r="C459" s="3">
        <v>45689.67696759259</v>
      </c>
      <c r="D459" t="s">
        <v>300</v>
      </c>
      <c r="E459" s="4">
        <v>6.3602060258388521E-2</v>
      </c>
      <c r="F459" s="4">
        <v>345957.10312159429</v>
      </c>
      <c r="G459" s="4">
        <v>345957.16672365455</v>
      </c>
      <c r="H459" s="5">
        <f t="shared" si="8"/>
        <v>0</v>
      </c>
      <c r="I459" t="s">
        <v>71</v>
      </c>
      <c r="J459" t="s">
        <v>56</v>
      </c>
      <c r="K459" s="5">
        <f>42 / 86400</f>
        <v>4.861111111111111E-4</v>
      </c>
      <c r="L459" s="5">
        <f>60 / 86400</f>
        <v>6.9444444444444447E-4</v>
      </c>
    </row>
    <row r="460" spans="1:12" x14ac:dyDescent="0.25">
      <c r="A460" s="3">
        <v>45689.677662037036</v>
      </c>
      <c r="B460" t="s">
        <v>300</v>
      </c>
      <c r="C460" s="3">
        <v>45689.679490740746</v>
      </c>
      <c r="D460" t="s">
        <v>307</v>
      </c>
      <c r="E460" s="4">
        <v>0.52058695483207706</v>
      </c>
      <c r="F460" s="4">
        <v>345957.18510866875</v>
      </c>
      <c r="G460" s="4">
        <v>345957.70569562359</v>
      </c>
      <c r="H460" s="5">
        <f t="shared" si="8"/>
        <v>0</v>
      </c>
      <c r="I460" t="s">
        <v>149</v>
      </c>
      <c r="J460" t="s">
        <v>99</v>
      </c>
      <c r="K460" s="5">
        <f>158 / 86400</f>
        <v>1.8287037037037037E-3</v>
      </c>
      <c r="L460" s="5">
        <f>8 / 86400</f>
        <v>9.2592592592592588E-5</v>
      </c>
    </row>
    <row r="461" spans="1:12" x14ac:dyDescent="0.25">
      <c r="A461" s="3">
        <v>45689.679583333331</v>
      </c>
      <c r="B461" t="s">
        <v>307</v>
      </c>
      <c r="C461" s="3">
        <v>45689.680972222224</v>
      </c>
      <c r="D461" t="s">
        <v>262</v>
      </c>
      <c r="E461" s="4">
        <v>0.42679536807537077</v>
      </c>
      <c r="F461" s="4">
        <v>345957.71431024378</v>
      </c>
      <c r="G461" s="4">
        <v>345958.14110561187</v>
      </c>
      <c r="H461" s="5">
        <f t="shared" si="8"/>
        <v>0</v>
      </c>
      <c r="I461" t="s">
        <v>151</v>
      </c>
      <c r="J461" t="s">
        <v>31</v>
      </c>
      <c r="K461" s="5">
        <f>120 / 86400</f>
        <v>1.3888888888888889E-3</v>
      </c>
      <c r="L461" s="5">
        <f>4 / 86400</f>
        <v>4.6296296296296294E-5</v>
      </c>
    </row>
    <row r="462" spans="1:12" x14ac:dyDescent="0.25">
      <c r="A462" s="3">
        <v>45689.681018518517</v>
      </c>
      <c r="B462" t="s">
        <v>362</v>
      </c>
      <c r="C462" s="3">
        <v>45689.681712962964</v>
      </c>
      <c r="D462" t="s">
        <v>307</v>
      </c>
      <c r="E462" s="4">
        <v>0.31629213786125182</v>
      </c>
      <c r="F462" s="4">
        <v>345958.1492022957</v>
      </c>
      <c r="G462" s="4">
        <v>345958.46549443359</v>
      </c>
      <c r="H462" s="5">
        <f t="shared" si="8"/>
        <v>0</v>
      </c>
      <c r="I462" t="s">
        <v>62</v>
      </c>
      <c r="J462" t="s">
        <v>49</v>
      </c>
      <c r="K462" s="5">
        <f>60 / 86400</f>
        <v>6.9444444444444447E-4</v>
      </c>
      <c r="L462" s="5">
        <f>20 / 86400</f>
        <v>2.3148148148148149E-4</v>
      </c>
    </row>
    <row r="463" spans="1:12" x14ac:dyDescent="0.25">
      <c r="A463" s="3">
        <v>45689.681944444441</v>
      </c>
      <c r="B463" t="s">
        <v>363</v>
      </c>
      <c r="C463" s="3">
        <v>45689.683831018519</v>
      </c>
      <c r="D463" t="s">
        <v>213</v>
      </c>
      <c r="E463" s="4">
        <v>0.85348390090465542</v>
      </c>
      <c r="F463" s="4">
        <v>345958.52718964819</v>
      </c>
      <c r="G463" s="4">
        <v>345959.38067354914</v>
      </c>
      <c r="H463" s="5">
        <f t="shared" si="8"/>
        <v>0</v>
      </c>
      <c r="I463" t="s">
        <v>170</v>
      </c>
      <c r="J463" t="s">
        <v>49</v>
      </c>
      <c r="K463" s="5">
        <f>163 / 86400</f>
        <v>1.8865740740740742E-3</v>
      </c>
      <c r="L463" s="5">
        <f>20 / 86400</f>
        <v>2.3148148148148149E-4</v>
      </c>
    </row>
    <row r="464" spans="1:12" x14ac:dyDescent="0.25">
      <c r="A464" s="3">
        <v>45689.684062500004</v>
      </c>
      <c r="B464" t="s">
        <v>213</v>
      </c>
      <c r="C464" s="3">
        <v>45689.685914351852</v>
      </c>
      <c r="D464" t="s">
        <v>213</v>
      </c>
      <c r="E464" s="4">
        <v>1.0198860177397728</v>
      </c>
      <c r="F464" s="4">
        <v>345959.41637300717</v>
      </c>
      <c r="G464" s="4">
        <v>345960.43625902489</v>
      </c>
      <c r="H464" s="5">
        <f t="shared" si="8"/>
        <v>0</v>
      </c>
      <c r="I464" t="s">
        <v>255</v>
      </c>
      <c r="J464" t="s">
        <v>35</v>
      </c>
      <c r="K464" s="5">
        <f>160 / 86400</f>
        <v>1.8518518518518519E-3</v>
      </c>
      <c r="L464" s="5">
        <f>20 / 86400</f>
        <v>2.3148148148148149E-4</v>
      </c>
    </row>
    <row r="465" spans="1:12" x14ac:dyDescent="0.25">
      <c r="A465" s="3">
        <v>45689.68614583333</v>
      </c>
      <c r="B465" t="s">
        <v>213</v>
      </c>
      <c r="C465" s="3">
        <v>45689.687997685185</v>
      </c>
      <c r="D465" t="s">
        <v>75</v>
      </c>
      <c r="E465" s="4">
        <v>1.1498912954330445</v>
      </c>
      <c r="F465" s="4">
        <v>345960.53043821757</v>
      </c>
      <c r="G465" s="4">
        <v>345961.68032951304</v>
      </c>
      <c r="H465" s="5">
        <f t="shared" si="8"/>
        <v>0</v>
      </c>
      <c r="I465" t="s">
        <v>118</v>
      </c>
      <c r="J465" t="s">
        <v>184</v>
      </c>
      <c r="K465" s="5">
        <f>160 / 86400</f>
        <v>1.8518518518518519E-3</v>
      </c>
      <c r="L465" s="5">
        <f>18 / 86400</f>
        <v>2.0833333333333335E-4</v>
      </c>
    </row>
    <row r="466" spans="1:12" x14ac:dyDescent="0.25">
      <c r="A466" s="3">
        <v>45689.688206018516</v>
      </c>
      <c r="B466" t="s">
        <v>75</v>
      </c>
      <c r="C466" s="3">
        <v>45689.688668981486</v>
      </c>
      <c r="D466" t="s">
        <v>75</v>
      </c>
      <c r="E466" s="4">
        <v>0.14630196636915208</v>
      </c>
      <c r="F466" s="4">
        <v>345961.68214807811</v>
      </c>
      <c r="G466" s="4">
        <v>345961.82845004444</v>
      </c>
      <c r="H466" s="5">
        <f t="shared" si="8"/>
        <v>0</v>
      </c>
      <c r="I466" t="s">
        <v>26</v>
      </c>
      <c r="J466" t="s">
        <v>31</v>
      </c>
      <c r="K466" s="5">
        <f>40 / 86400</f>
        <v>4.6296296296296298E-4</v>
      </c>
      <c r="L466" s="5">
        <f>40 / 86400</f>
        <v>4.6296296296296298E-4</v>
      </c>
    </row>
    <row r="467" spans="1:12" x14ac:dyDescent="0.25">
      <c r="A467" s="3">
        <v>45689.68913194444</v>
      </c>
      <c r="B467" t="s">
        <v>75</v>
      </c>
      <c r="C467" s="3">
        <v>45689.68959490741</v>
      </c>
      <c r="D467" t="s">
        <v>364</v>
      </c>
      <c r="E467" s="4">
        <v>0.14316457003355026</v>
      </c>
      <c r="F467" s="4">
        <v>345961.8654556917</v>
      </c>
      <c r="G467" s="4">
        <v>345962.00862026174</v>
      </c>
      <c r="H467" s="5">
        <f t="shared" si="8"/>
        <v>0</v>
      </c>
      <c r="I467" t="s">
        <v>23</v>
      </c>
      <c r="J467" t="s">
        <v>31</v>
      </c>
      <c r="K467" s="5">
        <f>40 / 86400</f>
        <v>4.6296296296296298E-4</v>
      </c>
      <c r="L467" s="5">
        <f>60 / 86400</f>
        <v>6.9444444444444447E-4</v>
      </c>
    </row>
    <row r="468" spans="1:12" x14ac:dyDescent="0.25">
      <c r="A468" s="3">
        <v>45689.690289351856</v>
      </c>
      <c r="B468" t="s">
        <v>75</v>
      </c>
      <c r="C468" s="3">
        <v>45689.690520833334</v>
      </c>
      <c r="D468" t="s">
        <v>75</v>
      </c>
      <c r="E468" s="4">
        <v>1.7471315085887909E-2</v>
      </c>
      <c r="F468" s="4">
        <v>345962.05807764246</v>
      </c>
      <c r="G468" s="4">
        <v>345962.07554895751</v>
      </c>
      <c r="H468" s="5">
        <f t="shared" si="8"/>
        <v>0</v>
      </c>
      <c r="I468" t="s">
        <v>126</v>
      </c>
      <c r="J468" t="s">
        <v>121</v>
      </c>
      <c r="K468" s="5">
        <f>20 / 86400</f>
        <v>2.3148148148148149E-4</v>
      </c>
      <c r="L468" s="5">
        <f>20 / 86400</f>
        <v>2.3148148148148149E-4</v>
      </c>
    </row>
    <row r="469" spans="1:12" x14ac:dyDescent="0.25">
      <c r="A469" s="3">
        <v>45689.690752314811</v>
      </c>
      <c r="B469" t="s">
        <v>75</v>
      </c>
      <c r="C469" s="3">
        <v>45689.69121527778</v>
      </c>
      <c r="D469" t="s">
        <v>75</v>
      </c>
      <c r="E469" s="4">
        <v>4.0728108882904054E-2</v>
      </c>
      <c r="F469" s="4">
        <v>345962.12891375448</v>
      </c>
      <c r="G469" s="4">
        <v>345962.16964186332</v>
      </c>
      <c r="H469" s="5">
        <f t="shared" si="8"/>
        <v>0</v>
      </c>
      <c r="I469" t="s">
        <v>71</v>
      </c>
      <c r="J469" t="s">
        <v>80</v>
      </c>
      <c r="K469" s="5">
        <f>40 / 86400</f>
        <v>4.6296296296296298E-4</v>
      </c>
      <c r="L469" s="5">
        <f>60 / 86400</f>
        <v>6.9444444444444447E-4</v>
      </c>
    </row>
    <row r="470" spans="1:12" x14ac:dyDescent="0.25">
      <c r="A470" s="3">
        <v>45689.691909722227</v>
      </c>
      <c r="B470" t="s">
        <v>75</v>
      </c>
      <c r="C470" s="3">
        <v>45689.693067129629</v>
      </c>
      <c r="D470" t="s">
        <v>75</v>
      </c>
      <c r="E470" s="4">
        <v>0.65417531859874722</v>
      </c>
      <c r="F470" s="4">
        <v>345962.18971503671</v>
      </c>
      <c r="G470" s="4">
        <v>345962.84389035532</v>
      </c>
      <c r="H470" s="5">
        <f t="shared" si="8"/>
        <v>0</v>
      </c>
      <c r="I470" t="s">
        <v>178</v>
      </c>
      <c r="J470" t="s">
        <v>125</v>
      </c>
      <c r="K470" s="5">
        <f>100 / 86400</f>
        <v>1.1574074074074073E-3</v>
      </c>
      <c r="L470" s="5">
        <f>20 / 86400</f>
        <v>2.3148148148148149E-4</v>
      </c>
    </row>
    <row r="471" spans="1:12" x14ac:dyDescent="0.25">
      <c r="A471" s="3">
        <v>45689.693298611106</v>
      </c>
      <c r="B471" t="s">
        <v>75</v>
      </c>
      <c r="C471" s="3">
        <v>45689.694456018522</v>
      </c>
      <c r="D471" t="s">
        <v>75</v>
      </c>
      <c r="E471" s="4">
        <v>0.8905166847705841</v>
      </c>
      <c r="F471" s="4">
        <v>345963.01008183346</v>
      </c>
      <c r="G471" s="4">
        <v>345963.90059851826</v>
      </c>
      <c r="H471" s="5">
        <f t="shared" si="8"/>
        <v>0</v>
      </c>
      <c r="I471" t="s">
        <v>220</v>
      </c>
      <c r="J471" t="s">
        <v>147</v>
      </c>
      <c r="K471" s="5">
        <f>100 / 86400</f>
        <v>1.1574074074074073E-3</v>
      </c>
      <c r="L471" s="5">
        <f>20 / 86400</f>
        <v>2.3148148148148149E-4</v>
      </c>
    </row>
    <row r="472" spans="1:12" x14ac:dyDescent="0.25">
      <c r="A472" s="3">
        <v>45689.694687499999</v>
      </c>
      <c r="B472" t="s">
        <v>365</v>
      </c>
      <c r="C472" s="3">
        <v>45689.695381944446</v>
      </c>
      <c r="D472" t="s">
        <v>75</v>
      </c>
      <c r="E472" s="4">
        <v>0.58720420986413957</v>
      </c>
      <c r="F472" s="4">
        <v>345963.96858321334</v>
      </c>
      <c r="G472" s="4">
        <v>345964.55578742322</v>
      </c>
      <c r="H472" s="5">
        <f t="shared" si="8"/>
        <v>0</v>
      </c>
      <c r="I472" t="s">
        <v>152</v>
      </c>
      <c r="J472" t="s">
        <v>138</v>
      </c>
      <c r="K472" s="5">
        <f>60 / 86400</f>
        <v>6.9444444444444447E-4</v>
      </c>
      <c r="L472" s="5">
        <f>40 / 86400</f>
        <v>4.6296296296296298E-4</v>
      </c>
    </row>
    <row r="473" spans="1:12" x14ac:dyDescent="0.25">
      <c r="A473" s="3">
        <v>45689.695844907408</v>
      </c>
      <c r="B473" t="s">
        <v>75</v>
      </c>
      <c r="C473" s="3">
        <v>45689.697002314817</v>
      </c>
      <c r="D473" t="s">
        <v>75</v>
      </c>
      <c r="E473" s="4">
        <v>1.2091515883207322</v>
      </c>
      <c r="F473" s="4">
        <v>345964.62004214653</v>
      </c>
      <c r="G473" s="4">
        <v>345965.8291937348</v>
      </c>
      <c r="H473" s="5">
        <f t="shared" si="8"/>
        <v>0</v>
      </c>
      <c r="I473" t="s">
        <v>145</v>
      </c>
      <c r="J473" t="s">
        <v>154</v>
      </c>
      <c r="K473" s="5">
        <f>100 / 86400</f>
        <v>1.1574074074074073E-3</v>
      </c>
      <c r="L473" s="5">
        <f>20 / 86400</f>
        <v>2.3148148148148149E-4</v>
      </c>
    </row>
    <row r="474" spans="1:12" x14ac:dyDescent="0.25">
      <c r="A474" s="3">
        <v>45689.697233796294</v>
      </c>
      <c r="B474" t="s">
        <v>75</v>
      </c>
      <c r="C474" s="3">
        <v>45689.698159722218</v>
      </c>
      <c r="D474" t="s">
        <v>222</v>
      </c>
      <c r="E474" s="4">
        <v>0.88102216511964793</v>
      </c>
      <c r="F474" s="4">
        <v>345965.83569174196</v>
      </c>
      <c r="G474" s="4">
        <v>345966.71671390708</v>
      </c>
      <c r="H474" s="5">
        <f t="shared" si="8"/>
        <v>0</v>
      </c>
      <c r="I474" t="s">
        <v>118</v>
      </c>
      <c r="J474" t="s">
        <v>107</v>
      </c>
      <c r="K474" s="5">
        <f>80 / 86400</f>
        <v>9.2592592592592596E-4</v>
      </c>
      <c r="L474" s="5">
        <f>20 / 86400</f>
        <v>2.3148148148148149E-4</v>
      </c>
    </row>
    <row r="475" spans="1:12" x14ac:dyDescent="0.25">
      <c r="A475" s="3">
        <v>45689.698391203703</v>
      </c>
      <c r="B475" t="s">
        <v>216</v>
      </c>
      <c r="C475" s="3">
        <v>45689.703194444446</v>
      </c>
      <c r="D475" t="s">
        <v>64</v>
      </c>
      <c r="E475" s="4">
        <v>3.1796296707391738</v>
      </c>
      <c r="F475" s="4">
        <v>345966.76147397142</v>
      </c>
      <c r="G475" s="4">
        <v>345969.94110364217</v>
      </c>
      <c r="H475" s="5">
        <f t="shared" si="8"/>
        <v>0</v>
      </c>
      <c r="I475" t="s">
        <v>129</v>
      </c>
      <c r="J475" t="s">
        <v>149</v>
      </c>
      <c r="K475" s="5">
        <f>415 / 86400</f>
        <v>4.8032407407407407E-3</v>
      </c>
      <c r="L475" s="5">
        <f>40 / 86400</f>
        <v>4.6296296296296298E-4</v>
      </c>
    </row>
    <row r="476" spans="1:12" x14ac:dyDescent="0.25">
      <c r="A476" s="3">
        <v>45689.703657407408</v>
      </c>
      <c r="B476" t="s">
        <v>64</v>
      </c>
      <c r="C476" s="3">
        <v>45689.704351851848</v>
      </c>
      <c r="D476" t="s">
        <v>64</v>
      </c>
      <c r="E476" s="4">
        <v>9.0987680256366735E-2</v>
      </c>
      <c r="F476" s="4">
        <v>345969.97372204374</v>
      </c>
      <c r="G476" s="4">
        <v>345970.06470972399</v>
      </c>
      <c r="H476" s="5">
        <f t="shared" si="8"/>
        <v>0</v>
      </c>
      <c r="I476" t="s">
        <v>116</v>
      </c>
      <c r="J476" t="s">
        <v>56</v>
      </c>
      <c r="K476" s="5">
        <f>60 / 86400</f>
        <v>6.9444444444444447E-4</v>
      </c>
      <c r="L476" s="5">
        <f>38 / 86400</f>
        <v>4.3981481481481481E-4</v>
      </c>
    </row>
    <row r="477" spans="1:12" x14ac:dyDescent="0.25">
      <c r="A477" s="3">
        <v>45689.704791666663</v>
      </c>
      <c r="B477" t="s">
        <v>64</v>
      </c>
      <c r="C477" s="3">
        <v>45689.708495370374</v>
      </c>
      <c r="D477" t="s">
        <v>128</v>
      </c>
      <c r="E477" s="4">
        <v>3.9076364079713821</v>
      </c>
      <c r="F477" s="4">
        <v>345970.07822466956</v>
      </c>
      <c r="G477" s="4">
        <v>345973.98586107756</v>
      </c>
      <c r="H477" s="5">
        <f t="shared" si="8"/>
        <v>0</v>
      </c>
      <c r="I477" t="s">
        <v>25</v>
      </c>
      <c r="J477" t="s">
        <v>154</v>
      </c>
      <c r="K477" s="5">
        <f>320 / 86400</f>
        <v>3.7037037037037038E-3</v>
      </c>
      <c r="L477" s="5">
        <f>20 / 86400</f>
        <v>2.3148148148148149E-4</v>
      </c>
    </row>
    <row r="478" spans="1:12" x14ac:dyDescent="0.25">
      <c r="A478" s="3">
        <v>45689.708726851852</v>
      </c>
      <c r="B478" t="s">
        <v>128</v>
      </c>
      <c r="C478" s="3">
        <v>45689.71266203704</v>
      </c>
      <c r="D478" t="s">
        <v>229</v>
      </c>
      <c r="E478" s="4">
        <v>2.6738940003514289</v>
      </c>
      <c r="F478" s="4">
        <v>345973.99877385591</v>
      </c>
      <c r="G478" s="4">
        <v>345976.67266785627</v>
      </c>
      <c r="H478" s="5">
        <f t="shared" si="8"/>
        <v>0</v>
      </c>
      <c r="I478" t="s">
        <v>118</v>
      </c>
      <c r="J478" t="s">
        <v>149</v>
      </c>
      <c r="K478" s="5">
        <f>340 / 86400</f>
        <v>3.9351851851851848E-3</v>
      </c>
      <c r="L478" s="5">
        <f>40 / 86400</f>
        <v>4.6296296296296298E-4</v>
      </c>
    </row>
    <row r="479" spans="1:12" x14ac:dyDescent="0.25">
      <c r="A479" s="3">
        <v>45689.713124999995</v>
      </c>
      <c r="B479" t="s">
        <v>229</v>
      </c>
      <c r="C479" s="3">
        <v>45689.713356481487</v>
      </c>
      <c r="D479" t="s">
        <v>229</v>
      </c>
      <c r="E479" s="4">
        <v>1.1807677924633025E-2</v>
      </c>
      <c r="F479" s="4">
        <v>345976.68022326886</v>
      </c>
      <c r="G479" s="4">
        <v>345976.69203094678</v>
      </c>
      <c r="H479" s="5">
        <f t="shared" si="8"/>
        <v>0</v>
      </c>
      <c r="I479" t="s">
        <v>100</v>
      </c>
      <c r="J479" t="s">
        <v>133</v>
      </c>
      <c r="K479" s="5">
        <f>20 / 86400</f>
        <v>2.3148148148148149E-4</v>
      </c>
      <c r="L479" s="5">
        <f>28 / 86400</f>
        <v>3.2407407407407406E-4</v>
      </c>
    </row>
    <row r="480" spans="1:12" x14ac:dyDescent="0.25">
      <c r="A480" s="3">
        <v>45689.713680555556</v>
      </c>
      <c r="B480" t="s">
        <v>229</v>
      </c>
      <c r="C480" s="3">
        <v>45689.718530092592</v>
      </c>
      <c r="D480" t="s">
        <v>128</v>
      </c>
      <c r="E480" s="4">
        <v>5.2210282199382778</v>
      </c>
      <c r="F480" s="4">
        <v>345976.696235209</v>
      </c>
      <c r="G480" s="4">
        <v>345981.91726342891</v>
      </c>
      <c r="H480" s="5">
        <f t="shared" si="8"/>
        <v>0</v>
      </c>
      <c r="I480" t="s">
        <v>65</v>
      </c>
      <c r="J480" t="s">
        <v>239</v>
      </c>
      <c r="K480" s="5">
        <f>419 / 86400</f>
        <v>4.8495370370370368E-3</v>
      </c>
      <c r="L480" s="5">
        <f>20 / 86400</f>
        <v>2.3148148148148149E-4</v>
      </c>
    </row>
    <row r="481" spans="1:12" x14ac:dyDescent="0.25">
      <c r="A481" s="3">
        <v>45689.71876157407</v>
      </c>
      <c r="B481" t="s">
        <v>128</v>
      </c>
      <c r="C481" s="3">
        <v>45689.723437499997</v>
      </c>
      <c r="D481" t="s">
        <v>366</v>
      </c>
      <c r="E481" s="4">
        <v>3.326384809613228</v>
      </c>
      <c r="F481" s="4">
        <v>345982.00258747488</v>
      </c>
      <c r="G481" s="4">
        <v>345985.32897228451</v>
      </c>
      <c r="H481" s="5">
        <f t="shared" si="8"/>
        <v>0</v>
      </c>
      <c r="I481" t="s">
        <v>257</v>
      </c>
      <c r="J481" t="s">
        <v>206</v>
      </c>
      <c r="K481" s="5">
        <f>404 / 86400</f>
        <v>4.6759259259259263E-3</v>
      </c>
      <c r="L481" s="5">
        <f>676 / 86400</f>
        <v>7.8240740740740736E-3</v>
      </c>
    </row>
    <row r="482" spans="1:12" x14ac:dyDescent="0.25">
      <c r="A482" s="3">
        <v>45689.731261574074</v>
      </c>
      <c r="B482" t="s">
        <v>366</v>
      </c>
      <c r="C482" s="3">
        <v>45689.731493055559</v>
      </c>
      <c r="D482" t="s">
        <v>366</v>
      </c>
      <c r="E482" s="4">
        <v>1.6670524418354035E-2</v>
      </c>
      <c r="F482" s="4">
        <v>345985.33586607879</v>
      </c>
      <c r="G482" s="4">
        <v>345985.35253660323</v>
      </c>
      <c r="H482" s="5">
        <f t="shared" si="8"/>
        <v>0</v>
      </c>
      <c r="I482" t="s">
        <v>56</v>
      </c>
      <c r="J482" t="s">
        <v>121</v>
      </c>
      <c r="K482" s="5">
        <f>20 / 86400</f>
        <v>2.3148148148148149E-4</v>
      </c>
      <c r="L482" s="5">
        <f>39 / 86400</f>
        <v>4.5138888888888887E-4</v>
      </c>
    </row>
    <row r="483" spans="1:12" x14ac:dyDescent="0.25">
      <c r="A483" s="3">
        <v>45689.731944444444</v>
      </c>
      <c r="B483" t="s">
        <v>222</v>
      </c>
      <c r="C483" s="3">
        <v>45689.732222222221</v>
      </c>
      <c r="D483" t="s">
        <v>222</v>
      </c>
      <c r="E483" s="4">
        <v>3.5800997376441955E-2</v>
      </c>
      <c r="F483" s="4">
        <v>345985.37934722524</v>
      </c>
      <c r="G483" s="4">
        <v>345985.41514822264</v>
      </c>
      <c r="H483" s="5">
        <f t="shared" si="8"/>
        <v>0</v>
      </c>
      <c r="I483" t="s">
        <v>99</v>
      </c>
      <c r="J483" t="s">
        <v>56</v>
      </c>
      <c r="K483" s="5">
        <f>24 / 86400</f>
        <v>2.7777777777777778E-4</v>
      </c>
      <c r="L483" s="5">
        <f>20 / 86400</f>
        <v>2.3148148148148149E-4</v>
      </c>
    </row>
    <row r="484" spans="1:12" x14ac:dyDescent="0.25">
      <c r="A484" s="3">
        <v>45689.732453703706</v>
      </c>
      <c r="B484" t="s">
        <v>222</v>
      </c>
      <c r="C484" s="3">
        <v>45689.733148148152</v>
      </c>
      <c r="D484" t="s">
        <v>310</v>
      </c>
      <c r="E484" s="4">
        <v>0.45328176796436309</v>
      </c>
      <c r="F484" s="4">
        <v>345985.48093162559</v>
      </c>
      <c r="G484" s="4">
        <v>345985.93421339354</v>
      </c>
      <c r="H484" s="5">
        <f t="shared" si="8"/>
        <v>0</v>
      </c>
      <c r="I484" t="s">
        <v>220</v>
      </c>
      <c r="J484" t="s">
        <v>141</v>
      </c>
      <c r="K484" s="5">
        <f>60 / 86400</f>
        <v>6.9444444444444447E-4</v>
      </c>
      <c r="L484" s="5">
        <f>20 / 86400</f>
        <v>2.3148148148148149E-4</v>
      </c>
    </row>
    <row r="485" spans="1:12" x14ac:dyDescent="0.25">
      <c r="A485" s="3">
        <v>45689.73337962963</v>
      </c>
      <c r="B485" t="s">
        <v>310</v>
      </c>
      <c r="C485" s="3">
        <v>45689.734305555554</v>
      </c>
      <c r="D485" t="s">
        <v>222</v>
      </c>
      <c r="E485" s="4">
        <v>0.71507266151905058</v>
      </c>
      <c r="F485" s="4">
        <v>345985.9412079649</v>
      </c>
      <c r="G485" s="4">
        <v>345986.65628062643</v>
      </c>
      <c r="H485" s="5">
        <f t="shared" si="8"/>
        <v>0</v>
      </c>
      <c r="I485" t="s">
        <v>70</v>
      </c>
      <c r="J485" t="s">
        <v>147</v>
      </c>
      <c r="K485" s="5">
        <f>80 / 86400</f>
        <v>9.2592592592592596E-4</v>
      </c>
      <c r="L485" s="5">
        <f>20 / 86400</f>
        <v>2.3148148148148149E-4</v>
      </c>
    </row>
    <row r="486" spans="1:12" x14ac:dyDescent="0.25">
      <c r="A486" s="3">
        <v>45689.734537037039</v>
      </c>
      <c r="B486" t="s">
        <v>222</v>
      </c>
      <c r="C486" s="3">
        <v>45689.735000000001</v>
      </c>
      <c r="D486" t="s">
        <v>222</v>
      </c>
      <c r="E486" s="4">
        <v>4.8802485227584839E-2</v>
      </c>
      <c r="F486" s="4">
        <v>345986.68990842835</v>
      </c>
      <c r="G486" s="4">
        <v>345986.73871091357</v>
      </c>
      <c r="H486" s="5">
        <f t="shared" si="8"/>
        <v>0</v>
      </c>
      <c r="I486" t="s">
        <v>126</v>
      </c>
      <c r="J486" t="s">
        <v>80</v>
      </c>
      <c r="K486" s="5">
        <f>40 / 86400</f>
        <v>4.6296296296296298E-4</v>
      </c>
      <c r="L486" s="5">
        <f>40 / 86400</f>
        <v>4.6296296296296298E-4</v>
      </c>
    </row>
    <row r="487" spans="1:12" x14ac:dyDescent="0.25">
      <c r="A487" s="3">
        <v>45689.735462962963</v>
      </c>
      <c r="B487" t="s">
        <v>222</v>
      </c>
      <c r="C487" s="3">
        <v>45689.736388888894</v>
      </c>
      <c r="D487" t="s">
        <v>222</v>
      </c>
      <c r="E487" s="4">
        <v>0.88276453554630274</v>
      </c>
      <c r="F487" s="4">
        <v>345986.84126936668</v>
      </c>
      <c r="G487" s="4">
        <v>345987.72403390222</v>
      </c>
      <c r="H487" s="5">
        <f t="shared" si="8"/>
        <v>0</v>
      </c>
      <c r="I487" t="s">
        <v>233</v>
      </c>
      <c r="J487" t="s">
        <v>107</v>
      </c>
      <c r="K487" s="5">
        <f>80 / 86400</f>
        <v>9.2592592592592596E-4</v>
      </c>
      <c r="L487" s="5">
        <f>25 / 86400</f>
        <v>2.8935185185185184E-4</v>
      </c>
    </row>
    <row r="488" spans="1:12" x14ac:dyDescent="0.25">
      <c r="A488" s="3">
        <v>45689.736678240741</v>
      </c>
      <c r="B488" t="s">
        <v>222</v>
      </c>
      <c r="C488" s="3">
        <v>45689.73704861111</v>
      </c>
      <c r="D488" t="s">
        <v>367</v>
      </c>
      <c r="E488" s="4">
        <v>4.7956527233123776E-2</v>
      </c>
      <c r="F488" s="4">
        <v>345987.73580176919</v>
      </c>
      <c r="G488" s="4">
        <v>345987.78375829646</v>
      </c>
      <c r="H488" s="5">
        <f t="shared" si="8"/>
        <v>0</v>
      </c>
      <c r="I488" t="s">
        <v>85</v>
      </c>
      <c r="J488" t="s">
        <v>56</v>
      </c>
      <c r="K488" s="5">
        <f>32 / 86400</f>
        <v>3.7037037037037035E-4</v>
      </c>
      <c r="L488" s="5">
        <f>80 / 86400</f>
        <v>9.2592592592592596E-4</v>
      </c>
    </row>
    <row r="489" spans="1:12" x14ac:dyDescent="0.25">
      <c r="A489" s="3">
        <v>45689.737974537042</v>
      </c>
      <c r="B489" t="s">
        <v>368</v>
      </c>
      <c r="C489" s="3">
        <v>45689.740254629629</v>
      </c>
      <c r="D489" t="s">
        <v>24</v>
      </c>
      <c r="E489" s="4">
        <v>0.79888577830791474</v>
      </c>
      <c r="F489" s="4">
        <v>345987.81232072809</v>
      </c>
      <c r="G489" s="4">
        <v>345988.61120650638</v>
      </c>
      <c r="H489" s="5">
        <f t="shared" si="8"/>
        <v>0</v>
      </c>
      <c r="I489" t="s">
        <v>123</v>
      </c>
      <c r="J489" t="s">
        <v>43</v>
      </c>
      <c r="K489" s="5">
        <f>197 / 86400</f>
        <v>2.2800925925925927E-3</v>
      </c>
      <c r="L489" s="5">
        <f>22441 / 86400</f>
        <v>0.25973379629629628</v>
      </c>
    </row>
    <row r="490" spans="1:12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</row>
    <row r="491" spans="1:12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</row>
    <row r="492" spans="1:12" s="10" customFormat="1" ht="20.100000000000001" customHeight="1" x14ac:dyDescent="0.35">
      <c r="A492" s="15" t="s">
        <v>430</v>
      </c>
      <c r="B492" s="15"/>
      <c r="C492" s="15"/>
      <c r="D492" s="15"/>
      <c r="E492" s="15"/>
      <c r="F492" s="15"/>
      <c r="G492" s="15"/>
      <c r="H492" s="15"/>
      <c r="I492" s="15"/>
      <c r="J492" s="15"/>
    </row>
    <row r="493" spans="1:12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</row>
    <row r="494" spans="1:12" ht="30" x14ac:dyDescent="0.25">
      <c r="A494" s="2" t="s">
        <v>6</v>
      </c>
      <c r="B494" s="2" t="s">
        <v>7</v>
      </c>
      <c r="C494" s="2" t="s">
        <v>8</v>
      </c>
      <c r="D494" s="2" t="s">
        <v>9</v>
      </c>
      <c r="E494" s="2" t="s">
        <v>10</v>
      </c>
      <c r="F494" s="2" t="s">
        <v>11</v>
      </c>
      <c r="G494" s="2" t="s">
        <v>12</v>
      </c>
      <c r="H494" s="2" t="s">
        <v>13</v>
      </c>
      <c r="I494" s="2" t="s">
        <v>14</v>
      </c>
      <c r="J494" s="2" t="s">
        <v>15</v>
      </c>
      <c r="K494" s="2" t="s">
        <v>16</v>
      </c>
      <c r="L494" s="2" t="s">
        <v>17</v>
      </c>
    </row>
    <row r="495" spans="1:12" x14ac:dyDescent="0.25">
      <c r="A495" s="3">
        <v>45689.31831018519</v>
      </c>
      <c r="B495" t="s">
        <v>36</v>
      </c>
      <c r="C495" s="3">
        <v>45689.318460648152</v>
      </c>
      <c r="D495" t="s">
        <v>36</v>
      </c>
      <c r="E495" s="4">
        <v>2E-3</v>
      </c>
      <c r="F495" s="4">
        <v>482796.36</v>
      </c>
      <c r="G495" s="4">
        <v>482796.36200000002</v>
      </c>
      <c r="H495" s="5">
        <f>0 / 86400</f>
        <v>0</v>
      </c>
      <c r="I495" t="s">
        <v>37</v>
      </c>
      <c r="J495" t="s">
        <v>100</v>
      </c>
      <c r="K495" s="5">
        <f>12 / 86400</f>
        <v>1.3888888888888889E-4</v>
      </c>
      <c r="L495" s="5">
        <f>27505 / 86400</f>
        <v>0.3183449074074074</v>
      </c>
    </row>
    <row r="496" spans="1:12" x14ac:dyDescent="0.25">
      <c r="A496" s="3">
        <v>45689.318495370375</v>
      </c>
      <c r="B496" t="s">
        <v>36</v>
      </c>
      <c r="C496" s="3">
        <v>45689.31868055556</v>
      </c>
      <c r="D496" t="s">
        <v>36</v>
      </c>
      <c r="E496" s="4">
        <v>0</v>
      </c>
      <c r="F496" s="4">
        <v>482796.36200000002</v>
      </c>
      <c r="G496" s="4">
        <v>482796.36200000002</v>
      </c>
      <c r="H496" s="5">
        <f>4 / 86400</f>
        <v>4.6296296296296294E-5</v>
      </c>
      <c r="I496" t="s">
        <v>37</v>
      </c>
      <c r="J496" t="s">
        <v>37</v>
      </c>
      <c r="K496" s="5">
        <f>16 / 86400</f>
        <v>1.8518518518518518E-4</v>
      </c>
      <c r="L496" s="5">
        <f>11 / 86400</f>
        <v>1.273148148148148E-4</v>
      </c>
    </row>
    <row r="497" spans="1:12" x14ac:dyDescent="0.25">
      <c r="A497" s="3">
        <v>45689.318807870368</v>
      </c>
      <c r="B497" t="s">
        <v>36</v>
      </c>
      <c r="C497" s="3">
        <v>45689.318900462968</v>
      </c>
      <c r="D497" t="s">
        <v>36</v>
      </c>
      <c r="E497" s="4">
        <v>0</v>
      </c>
      <c r="F497" s="4">
        <v>482796.36200000002</v>
      </c>
      <c r="G497" s="4">
        <v>482796.36200000002</v>
      </c>
      <c r="H497" s="5">
        <f>0 / 86400</f>
        <v>0</v>
      </c>
      <c r="I497" t="s">
        <v>37</v>
      </c>
      <c r="J497" t="s">
        <v>37</v>
      </c>
      <c r="K497" s="5">
        <f>8 / 86400</f>
        <v>9.2592592592592588E-5</v>
      </c>
      <c r="L497" s="5">
        <f>8 / 86400</f>
        <v>9.2592592592592588E-5</v>
      </c>
    </row>
    <row r="498" spans="1:12" x14ac:dyDescent="0.25">
      <c r="A498" s="3">
        <v>45689.318993055553</v>
      </c>
      <c r="B498" t="s">
        <v>36</v>
      </c>
      <c r="C498" s="3">
        <v>45689.319212962961</v>
      </c>
      <c r="D498" t="s">
        <v>36</v>
      </c>
      <c r="E498" s="4">
        <v>0</v>
      </c>
      <c r="F498" s="4">
        <v>482796.36200000002</v>
      </c>
      <c r="G498" s="4">
        <v>482796.36200000002</v>
      </c>
      <c r="H498" s="5">
        <f>3 / 86400</f>
        <v>3.4722222222222222E-5</v>
      </c>
      <c r="I498" t="s">
        <v>37</v>
      </c>
      <c r="J498" t="s">
        <v>37</v>
      </c>
      <c r="K498" s="5">
        <f>19 / 86400</f>
        <v>2.199074074074074E-4</v>
      </c>
      <c r="L498" s="5">
        <f>5 / 86400</f>
        <v>5.7870370370370373E-5</v>
      </c>
    </row>
    <row r="499" spans="1:12" x14ac:dyDescent="0.25">
      <c r="A499" s="3">
        <v>45689.319270833337</v>
      </c>
      <c r="B499" t="s">
        <v>36</v>
      </c>
      <c r="C499" s="3">
        <v>45689.319374999999</v>
      </c>
      <c r="D499" t="s">
        <v>36</v>
      </c>
      <c r="E499" s="4">
        <v>0</v>
      </c>
      <c r="F499" s="4">
        <v>482796.36200000002</v>
      </c>
      <c r="G499" s="4">
        <v>482796.36200000002</v>
      </c>
      <c r="H499" s="5">
        <f>0 / 86400</f>
        <v>0</v>
      </c>
      <c r="I499" t="s">
        <v>37</v>
      </c>
      <c r="J499" t="s">
        <v>37</v>
      </c>
      <c r="K499" s="5">
        <f>8 / 86400</f>
        <v>9.2592592592592588E-5</v>
      </c>
      <c r="L499" s="5">
        <f>2327 / 86400</f>
        <v>2.6932870370370371E-2</v>
      </c>
    </row>
    <row r="500" spans="1:12" x14ac:dyDescent="0.25">
      <c r="A500" s="3">
        <v>45689.346307870372</v>
      </c>
      <c r="B500" t="s">
        <v>36</v>
      </c>
      <c r="C500" s="3">
        <v>45689.34674768518</v>
      </c>
      <c r="D500" t="s">
        <v>36</v>
      </c>
      <c r="E500" s="4">
        <v>0</v>
      </c>
      <c r="F500" s="4">
        <v>482796.36200000002</v>
      </c>
      <c r="G500" s="4">
        <v>482796.36200000002</v>
      </c>
      <c r="H500" s="5">
        <f>32 / 86400</f>
        <v>3.7037037037037035E-4</v>
      </c>
      <c r="I500" t="s">
        <v>37</v>
      </c>
      <c r="J500" t="s">
        <v>37</v>
      </c>
      <c r="K500" s="5">
        <f>38 / 86400</f>
        <v>4.3981481481481481E-4</v>
      </c>
      <c r="L500" s="5">
        <f>56440 / 86400</f>
        <v>0.65324074074074079</v>
      </c>
    </row>
    <row r="501" spans="1:12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</row>
    <row r="502" spans="1:12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</row>
    <row r="503" spans="1:12" s="10" customFormat="1" ht="20.100000000000001" customHeight="1" x14ac:dyDescent="0.35">
      <c r="A503" s="15" t="s">
        <v>427</v>
      </c>
      <c r="B503" s="15"/>
      <c r="C503" s="15"/>
      <c r="D503" s="15"/>
      <c r="E503" s="15"/>
      <c r="F503" s="15"/>
      <c r="G503" s="15"/>
      <c r="H503" s="15"/>
      <c r="I503" s="15"/>
      <c r="J503" s="15"/>
    </row>
    <row r="504" spans="1:12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</row>
    <row r="505" spans="1:12" ht="30" x14ac:dyDescent="0.25">
      <c r="A505" s="2" t="s">
        <v>6</v>
      </c>
      <c r="B505" s="2" t="s">
        <v>7</v>
      </c>
      <c r="C505" s="2" t="s">
        <v>8</v>
      </c>
      <c r="D505" s="2" t="s">
        <v>9</v>
      </c>
      <c r="E505" s="2" t="s">
        <v>10</v>
      </c>
      <c r="F505" s="2" t="s">
        <v>11</v>
      </c>
      <c r="G505" s="2" t="s">
        <v>12</v>
      </c>
      <c r="H505" s="2" t="s">
        <v>13</v>
      </c>
      <c r="I505" s="2" t="s">
        <v>14</v>
      </c>
      <c r="J505" s="2" t="s">
        <v>15</v>
      </c>
      <c r="K505" s="2" t="s">
        <v>16</v>
      </c>
      <c r="L505" s="2" t="s">
        <v>17</v>
      </c>
    </row>
    <row r="506" spans="1:12" x14ac:dyDescent="0.25">
      <c r="A506" s="3">
        <v>45689.281840277778</v>
      </c>
      <c r="B506" t="s">
        <v>38</v>
      </c>
      <c r="C506" s="3">
        <v>45689.287569444445</v>
      </c>
      <c r="D506" t="s">
        <v>139</v>
      </c>
      <c r="E506" s="4">
        <v>1.421</v>
      </c>
      <c r="F506" s="4">
        <v>505806.33600000001</v>
      </c>
      <c r="G506" s="4">
        <v>505807.75699999998</v>
      </c>
      <c r="H506" s="5">
        <f>99 / 86400</f>
        <v>1.1458333333333333E-3</v>
      </c>
      <c r="I506" t="s">
        <v>20</v>
      </c>
      <c r="J506" t="s">
        <v>116</v>
      </c>
      <c r="K506" s="5">
        <f>495 / 86400</f>
        <v>5.7291666666666663E-3</v>
      </c>
      <c r="L506" s="5">
        <f>24501 / 86400</f>
        <v>0.28357638888888886</v>
      </c>
    </row>
    <row r="507" spans="1:12" x14ac:dyDescent="0.25">
      <c r="A507" s="3">
        <v>45689.289305555554</v>
      </c>
      <c r="B507" t="s">
        <v>139</v>
      </c>
      <c r="C507" s="3">
        <v>45689.42392361111</v>
      </c>
      <c r="D507" t="s">
        <v>369</v>
      </c>
      <c r="E507" s="4">
        <v>51.058999999999997</v>
      </c>
      <c r="F507" s="4">
        <v>505807.75699999998</v>
      </c>
      <c r="G507" s="4">
        <v>505858.81599999999</v>
      </c>
      <c r="H507" s="5">
        <f>4480 / 86400</f>
        <v>5.185185185185185E-2</v>
      </c>
      <c r="I507" t="s">
        <v>42</v>
      </c>
      <c r="J507" t="s">
        <v>26</v>
      </c>
      <c r="K507" s="5">
        <f>11631 / 86400</f>
        <v>0.13461805555555556</v>
      </c>
      <c r="L507" s="5">
        <f>761 / 86400</f>
        <v>8.8078703703703704E-3</v>
      </c>
    </row>
    <row r="508" spans="1:12" x14ac:dyDescent="0.25">
      <c r="A508" s="3">
        <v>45689.43273148148</v>
      </c>
      <c r="B508" t="s">
        <v>369</v>
      </c>
      <c r="C508" s="3">
        <v>45689.577534722222</v>
      </c>
      <c r="D508" t="s">
        <v>370</v>
      </c>
      <c r="E508" s="4">
        <v>50.741999999999997</v>
      </c>
      <c r="F508" s="4">
        <v>505858.81599999999</v>
      </c>
      <c r="G508" s="4">
        <v>505909.55800000002</v>
      </c>
      <c r="H508" s="5">
        <f>4359 / 86400</f>
        <v>5.0451388888888886E-2</v>
      </c>
      <c r="I508" t="s">
        <v>65</v>
      </c>
      <c r="J508" t="s">
        <v>43</v>
      </c>
      <c r="K508" s="5">
        <f>12511 / 86400</f>
        <v>0.14480324074074075</v>
      </c>
      <c r="L508" s="5">
        <f>1754 / 86400</f>
        <v>2.0300925925925927E-2</v>
      </c>
    </row>
    <row r="509" spans="1:12" x14ac:dyDescent="0.25">
      <c r="A509" s="3">
        <v>45689.59783564815</v>
      </c>
      <c r="B509" t="s">
        <v>370</v>
      </c>
      <c r="C509" s="3">
        <v>45689.82912037037</v>
      </c>
      <c r="D509" t="s">
        <v>69</v>
      </c>
      <c r="E509" s="4">
        <v>95.5</v>
      </c>
      <c r="F509" s="4">
        <v>505909.55800000002</v>
      </c>
      <c r="G509" s="4">
        <v>506005.05800000002</v>
      </c>
      <c r="H509" s="5">
        <f>6040 / 86400</f>
        <v>6.9907407407407404E-2</v>
      </c>
      <c r="I509" t="s">
        <v>40</v>
      </c>
      <c r="J509" t="s">
        <v>30</v>
      </c>
      <c r="K509" s="5">
        <f>19982 / 86400</f>
        <v>0.23127314814814814</v>
      </c>
      <c r="L509" s="5">
        <f>527 / 86400</f>
        <v>6.099537037037037E-3</v>
      </c>
    </row>
    <row r="510" spans="1:12" x14ac:dyDescent="0.25">
      <c r="A510" s="3">
        <v>45689.835219907407</v>
      </c>
      <c r="B510" t="s">
        <v>69</v>
      </c>
      <c r="C510" s="3">
        <v>45689.851273148146</v>
      </c>
      <c r="D510" t="s">
        <v>39</v>
      </c>
      <c r="E510" s="4">
        <v>3.47</v>
      </c>
      <c r="F510" s="4">
        <v>506005.05800000002</v>
      </c>
      <c r="G510" s="4">
        <v>506008.52799999999</v>
      </c>
      <c r="H510" s="5">
        <f>559 / 86400</f>
        <v>6.4699074074074077E-3</v>
      </c>
      <c r="I510" t="s">
        <v>206</v>
      </c>
      <c r="J510" t="s">
        <v>85</v>
      </c>
      <c r="K510" s="5">
        <f>1386 / 86400</f>
        <v>1.6041666666666666E-2</v>
      </c>
      <c r="L510" s="5">
        <f>1008 / 86400</f>
        <v>1.1666666666666667E-2</v>
      </c>
    </row>
    <row r="511" spans="1:12" x14ac:dyDescent="0.25">
      <c r="A511" s="3">
        <v>45689.862939814819</v>
      </c>
      <c r="B511" t="s">
        <v>39</v>
      </c>
      <c r="C511" s="3">
        <v>45689.863981481481</v>
      </c>
      <c r="D511" t="s">
        <v>39</v>
      </c>
      <c r="E511" s="4">
        <v>0</v>
      </c>
      <c r="F511" s="4">
        <v>506008.52799999999</v>
      </c>
      <c r="G511" s="4">
        <v>506008.52799999999</v>
      </c>
      <c r="H511" s="5">
        <f>79 / 86400</f>
        <v>9.1435185185185185E-4</v>
      </c>
      <c r="I511" t="s">
        <v>37</v>
      </c>
      <c r="J511" t="s">
        <v>37</v>
      </c>
      <c r="K511" s="5">
        <f>89 / 86400</f>
        <v>1.0300925925925926E-3</v>
      </c>
      <c r="L511" s="5">
        <f>124 / 86400</f>
        <v>1.4351851851851852E-3</v>
      </c>
    </row>
    <row r="512" spans="1:12" x14ac:dyDescent="0.25">
      <c r="A512" s="3">
        <v>45689.865416666667</v>
      </c>
      <c r="B512" t="s">
        <v>39</v>
      </c>
      <c r="C512" s="3">
        <v>45689.865787037037</v>
      </c>
      <c r="D512" t="s">
        <v>39</v>
      </c>
      <c r="E512" s="4">
        <v>1.7000000000000001E-2</v>
      </c>
      <c r="F512" s="4">
        <v>506008.52799999999</v>
      </c>
      <c r="G512" s="4">
        <v>506008.54499999998</v>
      </c>
      <c r="H512" s="5">
        <f>0 / 86400</f>
        <v>0</v>
      </c>
      <c r="I512" t="s">
        <v>92</v>
      </c>
      <c r="J512" t="s">
        <v>133</v>
      </c>
      <c r="K512" s="5">
        <f>31 / 86400</f>
        <v>3.5879629629629629E-4</v>
      </c>
      <c r="L512" s="5">
        <f>11595 / 86400</f>
        <v>0.13420138888888888</v>
      </c>
    </row>
    <row r="513" spans="1:12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</row>
    <row r="514" spans="1:12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</row>
    <row r="515" spans="1:12" s="10" customFormat="1" ht="20.100000000000001" customHeight="1" x14ac:dyDescent="0.35">
      <c r="A515" s="15" t="s">
        <v>432</v>
      </c>
      <c r="B515" s="15"/>
      <c r="C515" s="15"/>
      <c r="D515" s="15"/>
      <c r="E515" s="15"/>
      <c r="F515" s="15"/>
      <c r="G515" s="15"/>
      <c r="H515" s="15"/>
      <c r="I515" s="15"/>
      <c r="J515" s="15"/>
    </row>
    <row r="516" spans="1:12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</row>
    <row r="517" spans="1:12" ht="30" x14ac:dyDescent="0.25">
      <c r="A517" s="2" t="s">
        <v>6</v>
      </c>
      <c r="B517" s="2" t="s">
        <v>7</v>
      </c>
      <c r="C517" s="2" t="s">
        <v>8</v>
      </c>
      <c r="D517" s="2" t="s">
        <v>9</v>
      </c>
      <c r="E517" s="2" t="s">
        <v>10</v>
      </c>
      <c r="F517" s="2" t="s">
        <v>11</v>
      </c>
      <c r="G517" s="2" t="s">
        <v>12</v>
      </c>
      <c r="H517" s="2" t="s">
        <v>13</v>
      </c>
      <c r="I517" s="2" t="s">
        <v>14</v>
      </c>
      <c r="J517" s="2" t="s">
        <v>15</v>
      </c>
      <c r="K517" s="2" t="s">
        <v>16</v>
      </c>
      <c r="L517" s="2" t="s">
        <v>17</v>
      </c>
    </row>
    <row r="518" spans="1:12" x14ac:dyDescent="0.25">
      <c r="A518" s="3">
        <v>45689.28297453704</v>
      </c>
      <c r="B518" t="s">
        <v>38</v>
      </c>
      <c r="C518" s="3">
        <v>45689.287881944445</v>
      </c>
      <c r="D518" t="s">
        <v>139</v>
      </c>
      <c r="E518" s="4">
        <v>1.3540000000000001</v>
      </c>
      <c r="F518" s="4">
        <v>406055.92</v>
      </c>
      <c r="G518" s="4">
        <v>406057.27399999998</v>
      </c>
      <c r="H518" s="5">
        <f>59 / 86400</f>
        <v>6.8287037037037036E-4</v>
      </c>
      <c r="I518" t="s">
        <v>206</v>
      </c>
      <c r="J518" t="s">
        <v>71</v>
      </c>
      <c r="K518" s="5">
        <f>424 / 86400</f>
        <v>4.9074074074074072E-3</v>
      </c>
      <c r="L518" s="5">
        <f>24583 / 86400</f>
        <v>0.28452546296296294</v>
      </c>
    </row>
    <row r="519" spans="1:12" x14ac:dyDescent="0.25">
      <c r="A519" s="3">
        <v>45689.28943287037</v>
      </c>
      <c r="B519" t="s">
        <v>139</v>
      </c>
      <c r="C519" s="3">
        <v>45689.294629629629</v>
      </c>
      <c r="D519" t="s">
        <v>146</v>
      </c>
      <c r="E519" s="4">
        <v>1.0960000000000001</v>
      </c>
      <c r="F519" s="4">
        <v>406057.27399999998</v>
      </c>
      <c r="G519" s="4">
        <v>406058.37</v>
      </c>
      <c r="H519" s="5">
        <f>220 / 86400</f>
        <v>2.5462962962962965E-3</v>
      </c>
      <c r="I519" t="s">
        <v>123</v>
      </c>
      <c r="J519" t="s">
        <v>85</v>
      </c>
      <c r="K519" s="5">
        <f>449 / 86400</f>
        <v>5.1967592592592595E-3</v>
      </c>
      <c r="L519" s="5">
        <f>120 / 86400</f>
        <v>1.3888888888888889E-3</v>
      </c>
    </row>
    <row r="520" spans="1:12" x14ac:dyDescent="0.25">
      <c r="A520" s="3">
        <v>45689.296018518522</v>
      </c>
      <c r="B520" t="s">
        <v>146</v>
      </c>
      <c r="C520" s="3">
        <v>45689.296944444446</v>
      </c>
      <c r="D520" t="s">
        <v>146</v>
      </c>
      <c r="E520" s="4">
        <v>8.9999999999999993E-3</v>
      </c>
      <c r="F520" s="4">
        <v>406058.37</v>
      </c>
      <c r="G520" s="4">
        <v>406058.37900000002</v>
      </c>
      <c r="H520" s="5">
        <f>59 / 86400</f>
        <v>6.8287037037037036E-4</v>
      </c>
      <c r="I520" t="s">
        <v>37</v>
      </c>
      <c r="J520" t="s">
        <v>37</v>
      </c>
      <c r="K520" s="5">
        <f>80 / 86400</f>
        <v>9.2592592592592596E-4</v>
      </c>
      <c r="L520" s="5">
        <f>1664 / 86400</f>
        <v>1.9259259259259261E-2</v>
      </c>
    </row>
    <row r="521" spans="1:12" x14ac:dyDescent="0.25">
      <c r="A521" s="3">
        <v>45689.316203703704</v>
      </c>
      <c r="B521" t="s">
        <v>146</v>
      </c>
      <c r="C521" s="3">
        <v>45689.318877314814</v>
      </c>
      <c r="D521" t="s">
        <v>146</v>
      </c>
      <c r="E521" s="4">
        <v>0.51600000000000001</v>
      </c>
      <c r="F521" s="4">
        <v>406058.37900000002</v>
      </c>
      <c r="G521" s="4">
        <v>406058.89500000002</v>
      </c>
      <c r="H521" s="5">
        <f>60 / 86400</f>
        <v>6.9444444444444447E-4</v>
      </c>
      <c r="I521" t="s">
        <v>35</v>
      </c>
      <c r="J521" t="s">
        <v>120</v>
      </c>
      <c r="K521" s="5">
        <f>230 / 86400</f>
        <v>2.662037037037037E-3</v>
      </c>
      <c r="L521" s="5">
        <f>69 / 86400</f>
        <v>7.9861111111111116E-4</v>
      </c>
    </row>
    <row r="522" spans="1:12" x14ac:dyDescent="0.25">
      <c r="A522" s="3">
        <v>45689.31967592593</v>
      </c>
      <c r="B522" t="s">
        <v>146</v>
      </c>
      <c r="C522" s="3">
        <v>45689.319826388892</v>
      </c>
      <c r="D522" t="s">
        <v>146</v>
      </c>
      <c r="E522" s="4">
        <v>0</v>
      </c>
      <c r="F522" s="4">
        <v>406058.89500000002</v>
      </c>
      <c r="G522" s="4">
        <v>406058.89500000002</v>
      </c>
      <c r="H522" s="5">
        <f>0 / 86400</f>
        <v>0</v>
      </c>
      <c r="I522" t="s">
        <v>37</v>
      </c>
      <c r="J522" t="s">
        <v>37</v>
      </c>
      <c r="K522" s="5">
        <f>12 / 86400</f>
        <v>1.3888888888888889E-4</v>
      </c>
      <c r="L522" s="5">
        <f>4903 / 86400</f>
        <v>5.6747685185185186E-2</v>
      </c>
    </row>
    <row r="523" spans="1:12" x14ac:dyDescent="0.25">
      <c r="A523" s="3">
        <v>45689.376574074078</v>
      </c>
      <c r="B523" t="s">
        <v>247</v>
      </c>
      <c r="C523" s="3">
        <v>45689.435891203699</v>
      </c>
      <c r="D523" t="s">
        <v>213</v>
      </c>
      <c r="E523" s="4">
        <v>29.701000000000001</v>
      </c>
      <c r="F523" s="4">
        <v>406058.89500000002</v>
      </c>
      <c r="G523" s="4">
        <v>406088.59600000002</v>
      </c>
      <c r="H523" s="5">
        <f>1299 / 86400</f>
        <v>1.5034722222222222E-2</v>
      </c>
      <c r="I523" t="s">
        <v>42</v>
      </c>
      <c r="J523" t="s">
        <v>20</v>
      </c>
      <c r="K523" s="5">
        <f>5125 / 86400</f>
        <v>5.9317129629629629E-2</v>
      </c>
      <c r="L523" s="5">
        <f>58 / 86400</f>
        <v>6.7129629629629625E-4</v>
      </c>
    </row>
    <row r="524" spans="1:12" x14ac:dyDescent="0.25">
      <c r="A524" s="3">
        <v>45689.436562499999</v>
      </c>
      <c r="B524" t="s">
        <v>213</v>
      </c>
      <c r="C524" s="3">
        <v>45689.507106481484</v>
      </c>
      <c r="D524" t="s">
        <v>155</v>
      </c>
      <c r="E524" s="4">
        <v>20.181999999999999</v>
      </c>
      <c r="F524" s="4">
        <v>406088.59600000002</v>
      </c>
      <c r="G524" s="4">
        <v>406108.77799999999</v>
      </c>
      <c r="H524" s="5">
        <f>2335 / 86400</f>
        <v>2.7025462962962963E-2</v>
      </c>
      <c r="I524" t="s">
        <v>260</v>
      </c>
      <c r="J524" t="s">
        <v>99</v>
      </c>
      <c r="K524" s="5">
        <f>6094 / 86400</f>
        <v>7.0532407407407405E-2</v>
      </c>
      <c r="L524" s="5">
        <f>606 / 86400</f>
        <v>7.013888888888889E-3</v>
      </c>
    </row>
    <row r="525" spans="1:12" x14ac:dyDescent="0.25">
      <c r="A525" s="3">
        <v>45689.514120370368</v>
      </c>
      <c r="B525" t="s">
        <v>155</v>
      </c>
      <c r="C525" s="3">
        <v>45689.517743055556</v>
      </c>
      <c r="D525" t="s">
        <v>371</v>
      </c>
      <c r="E525" s="4">
        <v>0.26300000000000001</v>
      </c>
      <c r="F525" s="4">
        <v>406108.77799999999</v>
      </c>
      <c r="G525" s="4">
        <v>406109.04100000003</v>
      </c>
      <c r="H525" s="5">
        <f>139 / 86400</f>
        <v>1.6087962962962963E-3</v>
      </c>
      <c r="I525" t="s">
        <v>99</v>
      </c>
      <c r="J525" t="s">
        <v>121</v>
      </c>
      <c r="K525" s="5">
        <f>312 / 86400</f>
        <v>3.6111111111111109E-3</v>
      </c>
      <c r="L525" s="5">
        <f>2762 / 86400</f>
        <v>3.1967592592592596E-2</v>
      </c>
    </row>
    <row r="526" spans="1:12" x14ac:dyDescent="0.25">
      <c r="A526" s="3">
        <v>45689.549710648149</v>
      </c>
      <c r="B526" t="s">
        <v>371</v>
      </c>
      <c r="C526" s="3">
        <v>45689.686215277776</v>
      </c>
      <c r="D526" t="s">
        <v>69</v>
      </c>
      <c r="E526" s="4">
        <v>50.844000000000001</v>
      </c>
      <c r="F526" s="4">
        <v>406109.04100000003</v>
      </c>
      <c r="G526" s="4">
        <v>406159.88500000001</v>
      </c>
      <c r="H526" s="5">
        <f>3419 / 86400</f>
        <v>3.9571759259259258E-2</v>
      </c>
      <c r="I526" t="s">
        <v>260</v>
      </c>
      <c r="J526" t="s">
        <v>26</v>
      </c>
      <c r="K526" s="5">
        <f>11793 / 86400</f>
        <v>0.13649305555555555</v>
      </c>
      <c r="L526" s="5">
        <f>103 / 86400</f>
        <v>1.1921296296296296E-3</v>
      </c>
    </row>
    <row r="527" spans="1:12" x14ac:dyDescent="0.25">
      <c r="A527" s="3">
        <v>45689.687407407408</v>
      </c>
      <c r="B527" t="s">
        <v>69</v>
      </c>
      <c r="C527" s="3">
        <v>45689.68818287037</v>
      </c>
      <c r="D527" t="s">
        <v>69</v>
      </c>
      <c r="E527" s="4">
        <v>1.2999999999999999E-2</v>
      </c>
      <c r="F527" s="4">
        <v>406159.88500000001</v>
      </c>
      <c r="G527" s="4">
        <v>406159.89799999999</v>
      </c>
      <c r="H527" s="5">
        <f>39 / 86400</f>
        <v>4.5138888888888887E-4</v>
      </c>
      <c r="I527" t="s">
        <v>121</v>
      </c>
      <c r="J527" t="s">
        <v>100</v>
      </c>
      <c r="K527" s="5">
        <f>66 / 86400</f>
        <v>7.6388888888888893E-4</v>
      </c>
      <c r="L527" s="5">
        <f>639 / 86400</f>
        <v>7.3958333333333333E-3</v>
      </c>
    </row>
    <row r="528" spans="1:12" x14ac:dyDescent="0.25">
      <c r="A528" s="3">
        <v>45689.6955787037</v>
      </c>
      <c r="B528" t="s">
        <v>69</v>
      </c>
      <c r="C528" s="3">
        <v>45689.696250000001</v>
      </c>
      <c r="D528" t="s">
        <v>69</v>
      </c>
      <c r="E528" s="4">
        <v>2.9000000000000001E-2</v>
      </c>
      <c r="F528" s="4">
        <v>406159.89799999999</v>
      </c>
      <c r="G528" s="4">
        <v>406159.92700000003</v>
      </c>
      <c r="H528" s="5">
        <f>20 / 86400</f>
        <v>2.3148148148148149E-4</v>
      </c>
      <c r="I528" t="s">
        <v>92</v>
      </c>
      <c r="J528" t="s">
        <v>133</v>
      </c>
      <c r="K528" s="5">
        <f>58 / 86400</f>
        <v>6.7129629629629625E-4</v>
      </c>
      <c r="L528" s="5">
        <f>980 / 86400</f>
        <v>1.1342592592592593E-2</v>
      </c>
    </row>
    <row r="529" spans="1:12" x14ac:dyDescent="0.25">
      <c r="A529" s="3">
        <v>45689.707592592589</v>
      </c>
      <c r="B529" t="s">
        <v>69</v>
      </c>
      <c r="C529" s="3">
        <v>45689.709826388891</v>
      </c>
      <c r="D529" t="s">
        <v>69</v>
      </c>
      <c r="E529" s="4">
        <v>0.20599999999999999</v>
      </c>
      <c r="F529" s="4">
        <v>406159.92700000003</v>
      </c>
      <c r="G529" s="4">
        <v>406160.13299999997</v>
      </c>
      <c r="H529" s="5">
        <f>79 / 86400</f>
        <v>9.1435185185185185E-4</v>
      </c>
      <c r="I529" t="s">
        <v>71</v>
      </c>
      <c r="J529" t="s">
        <v>80</v>
      </c>
      <c r="K529" s="5">
        <f>192 / 86400</f>
        <v>2.2222222222222222E-3</v>
      </c>
      <c r="L529" s="5">
        <f>238 / 86400</f>
        <v>2.7546296296296294E-3</v>
      </c>
    </row>
    <row r="530" spans="1:12" x14ac:dyDescent="0.25">
      <c r="A530" s="3">
        <v>45689.712581018517</v>
      </c>
      <c r="B530" t="s">
        <v>69</v>
      </c>
      <c r="C530" s="3">
        <v>45689.713888888888</v>
      </c>
      <c r="D530" t="s">
        <v>117</v>
      </c>
      <c r="E530" s="4">
        <v>0.26400000000000001</v>
      </c>
      <c r="F530" s="4">
        <v>406160.13299999997</v>
      </c>
      <c r="G530" s="4">
        <v>406160.397</v>
      </c>
      <c r="H530" s="5">
        <f>0 / 86400</f>
        <v>0</v>
      </c>
      <c r="I530" t="s">
        <v>23</v>
      </c>
      <c r="J530" t="s">
        <v>120</v>
      </c>
      <c r="K530" s="5">
        <f>112 / 86400</f>
        <v>1.2962962962962963E-3</v>
      </c>
      <c r="L530" s="5">
        <f>707 / 86400</f>
        <v>8.1828703703703699E-3</v>
      </c>
    </row>
    <row r="531" spans="1:12" x14ac:dyDescent="0.25">
      <c r="A531" s="3">
        <v>45689.722071759257</v>
      </c>
      <c r="B531" t="s">
        <v>117</v>
      </c>
      <c r="C531" s="3">
        <v>45689.801770833335</v>
      </c>
      <c r="D531" t="s">
        <v>307</v>
      </c>
      <c r="E531" s="4">
        <v>32.915999999999997</v>
      </c>
      <c r="F531" s="4">
        <v>406160.397</v>
      </c>
      <c r="G531" s="4">
        <v>406193.31300000002</v>
      </c>
      <c r="H531" s="5">
        <f>2279 / 86400</f>
        <v>2.6377314814814815E-2</v>
      </c>
      <c r="I531" t="s">
        <v>145</v>
      </c>
      <c r="J531" t="s">
        <v>30</v>
      </c>
      <c r="K531" s="5">
        <f>6885 / 86400</f>
        <v>7.9687499999999994E-2</v>
      </c>
      <c r="L531" s="5">
        <f>3 / 86400</f>
        <v>3.4722222222222222E-5</v>
      </c>
    </row>
    <row r="532" spans="1:12" x14ac:dyDescent="0.25">
      <c r="A532" s="3">
        <v>45689.801805555559</v>
      </c>
      <c r="B532" t="s">
        <v>307</v>
      </c>
      <c r="C532" s="3">
        <v>45689.847280092596</v>
      </c>
      <c r="D532" t="s">
        <v>372</v>
      </c>
      <c r="E532" s="4">
        <v>13.913</v>
      </c>
      <c r="F532" s="4">
        <v>406193.31300000002</v>
      </c>
      <c r="G532" s="4">
        <v>406207.22600000002</v>
      </c>
      <c r="H532" s="5">
        <f>1481 / 86400</f>
        <v>1.7141203703703704E-2</v>
      </c>
      <c r="I532" t="s">
        <v>260</v>
      </c>
      <c r="J532" t="s">
        <v>31</v>
      </c>
      <c r="K532" s="5">
        <f>3929 / 86400</f>
        <v>4.5474537037037036E-2</v>
      </c>
      <c r="L532" s="5">
        <f>338 / 86400</f>
        <v>3.9120370370370368E-3</v>
      </c>
    </row>
    <row r="533" spans="1:12" x14ac:dyDescent="0.25">
      <c r="A533" s="3">
        <v>45689.85119212963</v>
      </c>
      <c r="B533" t="s">
        <v>372</v>
      </c>
      <c r="C533" s="3">
        <v>45689.973321759258</v>
      </c>
      <c r="D533" t="s">
        <v>117</v>
      </c>
      <c r="E533" s="4">
        <v>46.537999999999997</v>
      </c>
      <c r="F533" s="4">
        <v>406207.22600000002</v>
      </c>
      <c r="G533" s="4">
        <v>406253.76400000002</v>
      </c>
      <c r="H533" s="5">
        <f>3359 / 86400</f>
        <v>3.8877314814814816E-2</v>
      </c>
      <c r="I533" t="s">
        <v>255</v>
      </c>
      <c r="J533" t="s">
        <v>26</v>
      </c>
      <c r="K533" s="5">
        <f>10551 / 86400</f>
        <v>0.12211805555555555</v>
      </c>
      <c r="L533" s="5">
        <f>320 / 86400</f>
        <v>3.7037037037037038E-3</v>
      </c>
    </row>
    <row r="534" spans="1:12" x14ac:dyDescent="0.25">
      <c r="A534" s="3">
        <v>45689.977025462962</v>
      </c>
      <c r="B534" t="s">
        <v>117</v>
      </c>
      <c r="C534" s="3">
        <v>45689.977523148147</v>
      </c>
      <c r="D534" t="s">
        <v>117</v>
      </c>
      <c r="E534" s="4">
        <v>3.9E-2</v>
      </c>
      <c r="F534" s="4">
        <v>406253.76400000002</v>
      </c>
      <c r="G534" s="4">
        <v>406253.80300000001</v>
      </c>
      <c r="H534" s="5">
        <f>19 / 86400</f>
        <v>2.199074074074074E-4</v>
      </c>
      <c r="I534" t="s">
        <v>31</v>
      </c>
      <c r="J534" t="s">
        <v>121</v>
      </c>
      <c r="K534" s="5">
        <f>43 / 86400</f>
        <v>4.9768518518518521E-4</v>
      </c>
      <c r="L534" s="5">
        <f>425 / 86400</f>
        <v>4.9189814814814816E-3</v>
      </c>
    </row>
    <row r="535" spans="1:12" x14ac:dyDescent="0.25">
      <c r="A535" s="3">
        <v>45689.982442129629</v>
      </c>
      <c r="B535" t="s">
        <v>117</v>
      </c>
      <c r="C535" s="3">
        <v>45689.983877314815</v>
      </c>
      <c r="D535" t="s">
        <v>373</v>
      </c>
      <c r="E535" s="4">
        <v>0.5</v>
      </c>
      <c r="F535" s="4">
        <v>406253.80300000001</v>
      </c>
      <c r="G535" s="4">
        <v>406254.30300000001</v>
      </c>
      <c r="H535" s="5">
        <f>20 / 86400</f>
        <v>2.3148148148148149E-4</v>
      </c>
      <c r="I535" t="s">
        <v>189</v>
      </c>
      <c r="J535" t="s">
        <v>43</v>
      </c>
      <c r="K535" s="5">
        <f>124 / 86400</f>
        <v>1.4351851851851852E-3</v>
      </c>
      <c r="L535" s="5">
        <f>2 / 86400</f>
        <v>2.3148148148148147E-5</v>
      </c>
    </row>
    <row r="536" spans="1:12" x14ac:dyDescent="0.25">
      <c r="A536" s="3">
        <v>45689.983900462961</v>
      </c>
      <c r="B536" t="s">
        <v>373</v>
      </c>
      <c r="C536" s="3">
        <v>45689.984074074076</v>
      </c>
      <c r="D536" t="s">
        <v>50</v>
      </c>
      <c r="E536" s="4">
        <v>5.0000000000000001E-3</v>
      </c>
      <c r="F536" s="4">
        <v>406254.30300000001</v>
      </c>
      <c r="G536" s="4">
        <v>406254.30800000002</v>
      </c>
      <c r="H536" s="5">
        <f>0 / 86400</f>
        <v>0</v>
      </c>
      <c r="I536" t="s">
        <v>133</v>
      </c>
      <c r="J536" t="s">
        <v>100</v>
      </c>
      <c r="K536" s="5">
        <f>15 / 86400</f>
        <v>1.7361111111111112E-4</v>
      </c>
      <c r="L536" s="5">
        <f>317 / 86400</f>
        <v>3.6689814814814814E-3</v>
      </c>
    </row>
    <row r="537" spans="1:12" x14ac:dyDescent="0.25">
      <c r="A537" s="3">
        <v>45689.987743055557</v>
      </c>
      <c r="B537" t="s">
        <v>50</v>
      </c>
      <c r="C537" s="3">
        <v>45689.992314814815</v>
      </c>
      <c r="D537" t="s">
        <v>41</v>
      </c>
      <c r="E537" s="4">
        <v>0.76500000000000001</v>
      </c>
      <c r="F537" s="4">
        <v>406254.30800000002</v>
      </c>
      <c r="G537" s="4">
        <v>406255.07299999997</v>
      </c>
      <c r="H537" s="5">
        <f>120 / 86400</f>
        <v>1.3888888888888889E-3</v>
      </c>
      <c r="I537" t="s">
        <v>49</v>
      </c>
      <c r="J537" t="s">
        <v>126</v>
      </c>
      <c r="K537" s="5">
        <f>395 / 86400</f>
        <v>4.5717592592592589E-3</v>
      </c>
      <c r="L537" s="5">
        <f>663 / 86400</f>
        <v>7.6736111111111111E-3</v>
      </c>
    </row>
    <row r="538" spans="1:12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</row>
    <row r="539" spans="1:12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</row>
    <row r="540" spans="1:12" s="10" customFormat="1" ht="20.100000000000001" customHeight="1" x14ac:dyDescent="0.35">
      <c r="A540" s="15" t="s">
        <v>435</v>
      </c>
      <c r="B540" s="15"/>
      <c r="C540" s="15"/>
      <c r="D540" s="15"/>
      <c r="E540" s="15"/>
      <c r="F540" s="15"/>
      <c r="G540" s="15"/>
      <c r="H540" s="15"/>
      <c r="I540" s="15"/>
      <c r="J540" s="15"/>
    </row>
    <row r="541" spans="1:12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</row>
    <row r="542" spans="1:12" ht="30" x14ac:dyDescent="0.25">
      <c r="A542" s="2" t="s">
        <v>6</v>
      </c>
      <c r="B542" s="2" t="s">
        <v>7</v>
      </c>
      <c r="C542" s="2" t="s">
        <v>8</v>
      </c>
      <c r="D542" s="2" t="s">
        <v>9</v>
      </c>
      <c r="E542" s="2" t="s">
        <v>10</v>
      </c>
      <c r="F542" s="2" t="s">
        <v>11</v>
      </c>
      <c r="G542" s="2" t="s">
        <v>12</v>
      </c>
      <c r="H542" s="2" t="s">
        <v>13</v>
      </c>
      <c r="I542" s="2" t="s">
        <v>14</v>
      </c>
      <c r="J542" s="2" t="s">
        <v>15</v>
      </c>
      <c r="K542" s="2" t="s">
        <v>16</v>
      </c>
      <c r="L542" s="2" t="s">
        <v>17</v>
      </c>
    </row>
    <row r="543" spans="1:12" x14ac:dyDescent="0.25">
      <c r="A543" s="3">
        <v>45689.28570601852</v>
      </c>
      <c r="B543" t="s">
        <v>44</v>
      </c>
      <c r="C543" s="3">
        <v>45689.294675925921</v>
      </c>
      <c r="D543" t="s">
        <v>114</v>
      </c>
      <c r="E543" s="4">
        <v>0.77700000000000002</v>
      </c>
      <c r="F543" s="4">
        <v>435799.81699999998</v>
      </c>
      <c r="G543" s="4">
        <v>435800.59399999998</v>
      </c>
      <c r="H543" s="5">
        <f>579 / 86400</f>
        <v>6.7013888888888887E-3</v>
      </c>
      <c r="I543" t="s">
        <v>206</v>
      </c>
      <c r="J543" t="s">
        <v>80</v>
      </c>
      <c r="K543" s="5">
        <f>775 / 86400</f>
        <v>8.9699074074074073E-3</v>
      </c>
      <c r="L543" s="5">
        <f>29372 / 86400</f>
        <v>0.3399537037037037</v>
      </c>
    </row>
    <row r="544" spans="1:12" x14ac:dyDescent="0.25">
      <c r="A544" s="3">
        <v>45689.348923611113</v>
      </c>
      <c r="B544" t="s">
        <v>114</v>
      </c>
      <c r="C544" s="3">
        <v>45689.627164351856</v>
      </c>
      <c r="D544" t="s">
        <v>146</v>
      </c>
      <c r="E544" s="4">
        <v>101.965</v>
      </c>
      <c r="F544" s="4">
        <v>435800.59399999998</v>
      </c>
      <c r="G544" s="4">
        <v>435902.55900000001</v>
      </c>
      <c r="H544" s="5">
        <f>8636 / 86400</f>
        <v>9.9953703703703697E-2</v>
      </c>
      <c r="I544" t="s">
        <v>40</v>
      </c>
      <c r="J544" t="s">
        <v>43</v>
      </c>
      <c r="K544" s="5">
        <f>24039 / 86400</f>
        <v>0.27822916666666669</v>
      </c>
      <c r="L544" s="5">
        <f>3018 / 86400</f>
        <v>3.4930555555555555E-2</v>
      </c>
    </row>
    <row r="545" spans="1:12" x14ac:dyDescent="0.25">
      <c r="A545" s="3">
        <v>45689.662094907406</v>
      </c>
      <c r="B545" t="s">
        <v>146</v>
      </c>
      <c r="C545" s="3">
        <v>45689.664548611108</v>
      </c>
      <c r="D545" t="s">
        <v>44</v>
      </c>
      <c r="E545" s="4">
        <v>0.9</v>
      </c>
      <c r="F545" s="4">
        <v>435902.55900000001</v>
      </c>
      <c r="G545" s="4">
        <v>435903.45899999997</v>
      </c>
      <c r="H545" s="5">
        <f>19 / 86400</f>
        <v>2.199074074074074E-4</v>
      </c>
      <c r="I545" t="s">
        <v>138</v>
      </c>
      <c r="J545" t="s">
        <v>43</v>
      </c>
      <c r="K545" s="5">
        <f>212 / 86400</f>
        <v>2.4537037037037036E-3</v>
      </c>
      <c r="L545" s="5">
        <f>275 / 86400</f>
        <v>3.1828703703703702E-3</v>
      </c>
    </row>
    <row r="546" spans="1:12" x14ac:dyDescent="0.25">
      <c r="A546" s="3">
        <v>45689.667731481481</v>
      </c>
      <c r="B546" t="s">
        <v>44</v>
      </c>
      <c r="C546" s="3">
        <v>45689.672094907408</v>
      </c>
      <c r="D546" t="s">
        <v>117</v>
      </c>
      <c r="E546" s="4">
        <v>0.90300000000000002</v>
      </c>
      <c r="F546" s="4">
        <v>435903.45899999997</v>
      </c>
      <c r="G546" s="4">
        <v>435904.36200000002</v>
      </c>
      <c r="H546" s="5">
        <f>140 / 86400</f>
        <v>1.6203703703703703E-3</v>
      </c>
      <c r="I546" t="s">
        <v>164</v>
      </c>
      <c r="J546" t="s">
        <v>85</v>
      </c>
      <c r="K546" s="5">
        <f>377 / 86400</f>
        <v>4.363425925925926E-3</v>
      </c>
      <c r="L546" s="5">
        <f>508 / 86400</f>
        <v>5.8796296296296296E-3</v>
      </c>
    </row>
    <row r="547" spans="1:12" x14ac:dyDescent="0.25">
      <c r="A547" s="3">
        <v>45689.677974537037</v>
      </c>
      <c r="B547" t="s">
        <v>117</v>
      </c>
      <c r="C547" s="3">
        <v>45689.915914351848</v>
      </c>
      <c r="D547" t="s">
        <v>69</v>
      </c>
      <c r="E547" s="4">
        <v>93.575999999999993</v>
      </c>
      <c r="F547" s="4">
        <v>435904.36200000002</v>
      </c>
      <c r="G547" s="4">
        <v>435997.93800000002</v>
      </c>
      <c r="H547" s="5">
        <f>7399 / 86400</f>
        <v>8.5636574074074073E-2</v>
      </c>
      <c r="I547" t="s">
        <v>42</v>
      </c>
      <c r="J547" t="s">
        <v>26</v>
      </c>
      <c r="K547" s="5">
        <f>20557 / 86400</f>
        <v>0.23792824074074073</v>
      </c>
      <c r="L547" s="5">
        <f>1040 / 86400</f>
        <v>1.2037037037037037E-2</v>
      </c>
    </row>
    <row r="548" spans="1:12" x14ac:dyDescent="0.25">
      <c r="A548" s="3">
        <v>45689.927951388891</v>
      </c>
      <c r="B548" t="s">
        <v>69</v>
      </c>
      <c r="C548" s="3">
        <v>45689.933391203704</v>
      </c>
      <c r="D548" t="s">
        <v>45</v>
      </c>
      <c r="E548" s="4">
        <v>0.96799999999999997</v>
      </c>
      <c r="F548" s="4">
        <v>435997.93800000002</v>
      </c>
      <c r="G548" s="4">
        <v>435998.90600000002</v>
      </c>
      <c r="H548" s="5">
        <f>199 / 86400</f>
        <v>2.3032407407407407E-3</v>
      </c>
      <c r="I548" t="s">
        <v>35</v>
      </c>
      <c r="J548" t="s">
        <v>126</v>
      </c>
      <c r="K548" s="5">
        <f>470 / 86400</f>
        <v>5.4398148148148149E-3</v>
      </c>
      <c r="L548" s="5">
        <f>5754 / 86400</f>
        <v>6.6597222222222224E-2</v>
      </c>
    </row>
    <row r="549" spans="1:12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</row>
    <row r="550" spans="1:12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</row>
    <row r="551" spans="1:12" s="10" customFormat="1" ht="20.100000000000001" customHeight="1" x14ac:dyDescent="0.35">
      <c r="A551" s="15" t="s">
        <v>436</v>
      </c>
      <c r="B551" s="15"/>
      <c r="C551" s="15"/>
      <c r="D551" s="15"/>
      <c r="E551" s="15"/>
      <c r="F551" s="15"/>
      <c r="G551" s="15"/>
      <c r="H551" s="15"/>
      <c r="I551" s="15"/>
      <c r="J551" s="15"/>
    </row>
    <row r="552" spans="1:12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1:12" ht="30" x14ac:dyDescent="0.25">
      <c r="A553" s="2" t="s">
        <v>6</v>
      </c>
      <c r="B553" s="2" t="s">
        <v>7</v>
      </c>
      <c r="C553" s="2" t="s">
        <v>8</v>
      </c>
      <c r="D553" s="2" t="s">
        <v>9</v>
      </c>
      <c r="E553" s="2" t="s">
        <v>10</v>
      </c>
      <c r="F553" s="2" t="s">
        <v>11</v>
      </c>
      <c r="G553" s="2" t="s">
        <v>12</v>
      </c>
      <c r="H553" s="2" t="s">
        <v>13</v>
      </c>
      <c r="I553" s="2" t="s">
        <v>14</v>
      </c>
      <c r="J553" s="2" t="s">
        <v>15</v>
      </c>
      <c r="K553" s="2" t="s">
        <v>16</v>
      </c>
      <c r="L553" s="2" t="s">
        <v>17</v>
      </c>
    </row>
    <row r="554" spans="1:12" x14ac:dyDescent="0.25">
      <c r="A554" s="3">
        <v>45689.132488425923</v>
      </c>
      <c r="B554" t="s">
        <v>46</v>
      </c>
      <c r="C554" s="3">
        <v>45689.31318287037</v>
      </c>
      <c r="D554" t="s">
        <v>69</v>
      </c>
      <c r="E554" s="4">
        <v>106.934</v>
      </c>
      <c r="F554" s="4">
        <v>51479.686999999998</v>
      </c>
      <c r="G554" s="4">
        <v>51586.620999999999</v>
      </c>
      <c r="H554" s="5">
        <f>3343 / 86400</f>
        <v>3.8692129629629632E-2</v>
      </c>
      <c r="I554" t="s">
        <v>48</v>
      </c>
      <c r="J554" t="s">
        <v>123</v>
      </c>
      <c r="K554" s="5">
        <f>15611 / 86400</f>
        <v>0.18068287037037037</v>
      </c>
      <c r="L554" s="5">
        <f>11863 / 86400</f>
        <v>0.13730324074074074</v>
      </c>
    </row>
    <row r="555" spans="1:12" x14ac:dyDescent="0.25">
      <c r="A555" s="3">
        <v>45689.317997685182</v>
      </c>
      <c r="B555" t="s">
        <v>69</v>
      </c>
      <c r="C555" s="3">
        <v>45689.321400462963</v>
      </c>
      <c r="D555" t="s">
        <v>139</v>
      </c>
      <c r="E555" s="4">
        <v>1.1679999999999999</v>
      </c>
      <c r="F555" s="4">
        <v>51586.620999999999</v>
      </c>
      <c r="G555" s="4">
        <v>51587.788999999997</v>
      </c>
      <c r="H555" s="5">
        <f>0 / 86400</f>
        <v>0</v>
      </c>
      <c r="I555" t="s">
        <v>141</v>
      </c>
      <c r="J555" t="s">
        <v>51</v>
      </c>
      <c r="K555" s="5">
        <f>293 / 86400</f>
        <v>3.3912037037037036E-3</v>
      </c>
      <c r="L555" s="5">
        <f>1256 / 86400</f>
        <v>1.4537037037037038E-2</v>
      </c>
    </row>
    <row r="556" spans="1:12" x14ac:dyDescent="0.25">
      <c r="A556" s="3">
        <v>45689.3359375</v>
      </c>
      <c r="B556" t="s">
        <v>139</v>
      </c>
      <c r="C556" s="3">
        <v>45689.342002314814</v>
      </c>
      <c r="D556" t="s">
        <v>317</v>
      </c>
      <c r="E556" s="4">
        <v>1.5609999999999999</v>
      </c>
      <c r="F556" s="4">
        <v>51587.788999999997</v>
      </c>
      <c r="G556" s="4">
        <v>51589.35</v>
      </c>
      <c r="H556" s="5">
        <f>239 / 86400</f>
        <v>2.7662037037037039E-3</v>
      </c>
      <c r="I556" t="s">
        <v>107</v>
      </c>
      <c r="J556" t="s">
        <v>71</v>
      </c>
      <c r="K556" s="5">
        <f>524 / 86400</f>
        <v>6.0648148148148145E-3</v>
      </c>
      <c r="L556" s="5">
        <f>77 / 86400</f>
        <v>8.9120370370370373E-4</v>
      </c>
    </row>
    <row r="557" spans="1:12" x14ac:dyDescent="0.25">
      <c r="A557" s="3">
        <v>45689.342893518522</v>
      </c>
      <c r="B557" t="s">
        <v>317</v>
      </c>
      <c r="C557" s="3">
        <v>45689.45521990741</v>
      </c>
      <c r="D557" t="s">
        <v>284</v>
      </c>
      <c r="E557" s="4">
        <v>46.875</v>
      </c>
      <c r="F557" s="4">
        <v>51589.35</v>
      </c>
      <c r="G557" s="4">
        <v>51636.224999999999</v>
      </c>
      <c r="H557" s="5">
        <f>3480 / 86400</f>
        <v>4.027777777777778E-2</v>
      </c>
      <c r="I557" t="s">
        <v>374</v>
      </c>
      <c r="J557" t="s">
        <v>30</v>
      </c>
      <c r="K557" s="5">
        <f>9704 / 86400</f>
        <v>0.11231481481481481</v>
      </c>
      <c r="L557" s="5">
        <f>755 / 86400</f>
        <v>8.7384259259259255E-3</v>
      </c>
    </row>
    <row r="558" spans="1:12" x14ac:dyDescent="0.25">
      <c r="A558" s="3">
        <v>45689.463958333334</v>
      </c>
      <c r="B558" t="s">
        <v>284</v>
      </c>
      <c r="C558" s="3">
        <v>45689.464247685188</v>
      </c>
      <c r="D558" t="s">
        <v>375</v>
      </c>
      <c r="E558" s="4">
        <v>2.4E-2</v>
      </c>
      <c r="F558" s="4">
        <v>51636.224999999999</v>
      </c>
      <c r="G558" s="4">
        <v>51636.249000000003</v>
      </c>
      <c r="H558" s="5">
        <f>0 / 86400</f>
        <v>0</v>
      </c>
      <c r="I558" t="s">
        <v>56</v>
      </c>
      <c r="J558" t="s">
        <v>121</v>
      </c>
      <c r="K558" s="5">
        <f>25 / 86400</f>
        <v>2.8935185185185184E-4</v>
      </c>
      <c r="L558" s="5">
        <f>1 / 86400</f>
        <v>1.1574074074074073E-5</v>
      </c>
    </row>
    <row r="559" spans="1:12" x14ac:dyDescent="0.25">
      <c r="A559" s="3">
        <v>45689.464259259257</v>
      </c>
      <c r="B559" t="s">
        <v>375</v>
      </c>
      <c r="C559" s="3">
        <v>45689.574467592596</v>
      </c>
      <c r="D559" t="s">
        <v>248</v>
      </c>
      <c r="E559" s="4">
        <v>42.683999999999997</v>
      </c>
      <c r="F559" s="4">
        <v>51636.249000000003</v>
      </c>
      <c r="G559" s="4">
        <v>51678.932999999997</v>
      </c>
      <c r="H559" s="5">
        <f>3145 / 86400</f>
        <v>3.6400462962962961E-2</v>
      </c>
      <c r="I559" t="s">
        <v>77</v>
      </c>
      <c r="J559" t="s">
        <v>26</v>
      </c>
      <c r="K559" s="5">
        <f>9522 / 86400</f>
        <v>0.11020833333333334</v>
      </c>
      <c r="L559" s="5">
        <f>1245 / 86400</f>
        <v>1.4409722222222223E-2</v>
      </c>
    </row>
    <row r="560" spans="1:12" x14ac:dyDescent="0.25">
      <c r="A560" s="3">
        <v>45689.588877314818</v>
      </c>
      <c r="B560" t="s">
        <v>248</v>
      </c>
      <c r="C560" s="3">
        <v>45689.593842592592</v>
      </c>
      <c r="D560" t="s">
        <v>376</v>
      </c>
      <c r="E560" s="4">
        <v>2.9750000000000001</v>
      </c>
      <c r="F560" s="4">
        <v>51678.932999999997</v>
      </c>
      <c r="G560" s="4">
        <v>51681.908000000003</v>
      </c>
      <c r="H560" s="5">
        <f>40 / 86400</f>
        <v>4.6296296296296298E-4</v>
      </c>
      <c r="I560" t="s">
        <v>220</v>
      </c>
      <c r="J560" t="s">
        <v>123</v>
      </c>
      <c r="K560" s="5">
        <f>428 / 86400</f>
        <v>4.9537037037037041E-3</v>
      </c>
      <c r="L560" s="5">
        <f>332 / 86400</f>
        <v>3.8425925925925928E-3</v>
      </c>
    </row>
    <row r="561" spans="1:12" x14ac:dyDescent="0.25">
      <c r="A561" s="3">
        <v>45689.597685185188</v>
      </c>
      <c r="B561" t="s">
        <v>376</v>
      </c>
      <c r="C561" s="3">
        <v>45689.599432870367</v>
      </c>
      <c r="D561" t="s">
        <v>146</v>
      </c>
      <c r="E561" s="4">
        <v>0.14699999999999999</v>
      </c>
      <c r="F561" s="4">
        <v>51681.908000000003</v>
      </c>
      <c r="G561" s="4">
        <v>51682.055</v>
      </c>
      <c r="H561" s="5">
        <f>20 / 86400</f>
        <v>2.3148148148148149E-4</v>
      </c>
      <c r="I561" t="s">
        <v>99</v>
      </c>
      <c r="J561" t="s">
        <v>80</v>
      </c>
      <c r="K561" s="5">
        <f>150 / 86400</f>
        <v>1.736111111111111E-3</v>
      </c>
      <c r="L561" s="5">
        <f>2361 / 86400</f>
        <v>2.732638888888889E-2</v>
      </c>
    </row>
    <row r="562" spans="1:12" x14ac:dyDescent="0.25">
      <c r="A562" s="3">
        <v>45689.626759259263</v>
      </c>
      <c r="B562" t="s">
        <v>146</v>
      </c>
      <c r="C562" s="3">
        <v>45689.630462962959</v>
      </c>
      <c r="D562" t="s">
        <v>86</v>
      </c>
      <c r="E562" s="4">
        <v>1.0760000000000001</v>
      </c>
      <c r="F562" s="4">
        <v>51682.055</v>
      </c>
      <c r="G562" s="4">
        <v>51683.131000000001</v>
      </c>
      <c r="H562" s="5">
        <f>99 / 86400</f>
        <v>1.1458333333333333E-3</v>
      </c>
      <c r="I562" t="s">
        <v>173</v>
      </c>
      <c r="J562" t="s">
        <v>99</v>
      </c>
      <c r="K562" s="5">
        <f>319 / 86400</f>
        <v>3.6921296296296298E-3</v>
      </c>
      <c r="L562" s="5">
        <f>1206 / 86400</f>
        <v>1.3958333333333333E-2</v>
      </c>
    </row>
    <row r="563" spans="1:12" x14ac:dyDescent="0.25">
      <c r="A563" s="3">
        <v>45689.644421296296</v>
      </c>
      <c r="B563" t="s">
        <v>86</v>
      </c>
      <c r="C563" s="3">
        <v>45689.645775462966</v>
      </c>
      <c r="D563" t="s">
        <v>86</v>
      </c>
      <c r="E563" s="4">
        <v>5.8000000000000003E-2</v>
      </c>
      <c r="F563" s="4">
        <v>51683.131000000001</v>
      </c>
      <c r="G563" s="4">
        <v>51683.188999999998</v>
      </c>
      <c r="H563" s="5">
        <f>59 / 86400</f>
        <v>6.8287037037037036E-4</v>
      </c>
      <c r="I563" t="s">
        <v>56</v>
      </c>
      <c r="J563" t="s">
        <v>133</v>
      </c>
      <c r="K563" s="5">
        <f>116 / 86400</f>
        <v>1.3425925925925925E-3</v>
      </c>
      <c r="L563" s="5">
        <f>149 / 86400</f>
        <v>1.724537037037037E-3</v>
      </c>
    </row>
    <row r="564" spans="1:12" x14ac:dyDescent="0.25">
      <c r="A564" s="3">
        <v>45689.647499999999</v>
      </c>
      <c r="B564" t="s">
        <v>86</v>
      </c>
      <c r="C564" s="3">
        <v>45689.649895833332</v>
      </c>
      <c r="D564" t="s">
        <v>146</v>
      </c>
      <c r="E564" s="4">
        <v>0.93400000000000005</v>
      </c>
      <c r="F564" s="4">
        <v>51683.188999999998</v>
      </c>
      <c r="G564" s="4">
        <v>51684.123</v>
      </c>
      <c r="H564" s="5">
        <f>59 / 86400</f>
        <v>6.8287037037037036E-4</v>
      </c>
      <c r="I564" t="s">
        <v>138</v>
      </c>
      <c r="J564" t="s">
        <v>26</v>
      </c>
      <c r="K564" s="5">
        <f>207 / 86400</f>
        <v>2.3958333333333331E-3</v>
      </c>
      <c r="L564" s="5">
        <f>66 / 86400</f>
        <v>7.6388888888888893E-4</v>
      </c>
    </row>
    <row r="565" spans="1:12" x14ac:dyDescent="0.25">
      <c r="A565" s="3">
        <v>45689.650659722218</v>
      </c>
      <c r="B565" t="s">
        <v>146</v>
      </c>
      <c r="C565" s="3">
        <v>45689.650844907403</v>
      </c>
      <c r="D565" t="s">
        <v>146</v>
      </c>
      <c r="E565" s="4">
        <v>0</v>
      </c>
      <c r="F565" s="4">
        <v>51684.123</v>
      </c>
      <c r="G565" s="4">
        <v>51684.123</v>
      </c>
      <c r="H565" s="5">
        <f>0 / 86400</f>
        <v>0</v>
      </c>
      <c r="I565" t="s">
        <v>37</v>
      </c>
      <c r="J565" t="s">
        <v>37</v>
      </c>
      <c r="K565" s="5">
        <f>16 / 86400</f>
        <v>1.8518518518518518E-4</v>
      </c>
      <c r="L565" s="5">
        <f>80 / 86400</f>
        <v>9.2592592592592596E-4</v>
      </c>
    </row>
    <row r="566" spans="1:12" x14ac:dyDescent="0.25">
      <c r="A566" s="3">
        <v>45689.651770833334</v>
      </c>
      <c r="B566" t="s">
        <v>146</v>
      </c>
      <c r="C566" s="3">
        <v>45689.652048611111</v>
      </c>
      <c r="D566" t="s">
        <v>146</v>
      </c>
      <c r="E566" s="4">
        <v>0.01</v>
      </c>
      <c r="F566" s="4">
        <v>51684.123</v>
      </c>
      <c r="G566" s="4">
        <v>51684.133000000002</v>
      </c>
      <c r="H566" s="5">
        <f>0 / 86400</f>
        <v>0</v>
      </c>
      <c r="I566" t="s">
        <v>100</v>
      </c>
      <c r="J566" t="s">
        <v>133</v>
      </c>
      <c r="K566" s="5">
        <f>24 / 86400</f>
        <v>2.7777777777777778E-4</v>
      </c>
      <c r="L566" s="5">
        <f>149 / 86400</f>
        <v>1.724537037037037E-3</v>
      </c>
    </row>
    <row r="567" spans="1:12" x14ac:dyDescent="0.25">
      <c r="A567" s="3">
        <v>45689.653773148151</v>
      </c>
      <c r="B567" t="s">
        <v>146</v>
      </c>
      <c r="C567" s="3">
        <v>45689.657280092593</v>
      </c>
      <c r="D567" t="s">
        <v>38</v>
      </c>
      <c r="E567" s="4">
        <v>0.97499999999999998</v>
      </c>
      <c r="F567" s="4">
        <v>51684.133000000002</v>
      </c>
      <c r="G567" s="4">
        <v>51685.108</v>
      </c>
      <c r="H567" s="5">
        <f>80 / 86400</f>
        <v>9.2592592592592596E-4</v>
      </c>
      <c r="I567" t="s">
        <v>167</v>
      </c>
      <c r="J567" t="s">
        <v>99</v>
      </c>
      <c r="K567" s="5">
        <f>303 / 86400</f>
        <v>3.5069444444444445E-3</v>
      </c>
      <c r="L567" s="5">
        <f>502 / 86400</f>
        <v>5.8101851851851856E-3</v>
      </c>
    </row>
    <row r="568" spans="1:12" x14ac:dyDescent="0.25">
      <c r="A568" s="3">
        <v>45689.663090277776</v>
      </c>
      <c r="B568" t="s">
        <v>38</v>
      </c>
      <c r="C568" s="3">
        <v>45689.66342592593</v>
      </c>
      <c r="D568" t="s">
        <v>38</v>
      </c>
      <c r="E568" s="4">
        <v>0</v>
      </c>
      <c r="F568" s="4">
        <v>51685.108</v>
      </c>
      <c r="G568" s="4">
        <v>51685.108</v>
      </c>
      <c r="H568" s="5">
        <f>19 / 86400</f>
        <v>2.199074074074074E-4</v>
      </c>
      <c r="I568" t="s">
        <v>37</v>
      </c>
      <c r="J568" t="s">
        <v>37</v>
      </c>
      <c r="K568" s="5">
        <f>28 / 86400</f>
        <v>3.2407407407407406E-4</v>
      </c>
      <c r="L568" s="5">
        <f>2536 / 86400</f>
        <v>2.9351851851851851E-2</v>
      </c>
    </row>
    <row r="569" spans="1:12" x14ac:dyDescent="0.25">
      <c r="A569" s="3">
        <v>45689.692777777775</v>
      </c>
      <c r="B569" t="s">
        <v>38</v>
      </c>
      <c r="C569" s="3">
        <v>45689.810902777783</v>
      </c>
      <c r="D569" t="s">
        <v>284</v>
      </c>
      <c r="E569" s="4">
        <v>47.954999999999998</v>
      </c>
      <c r="F569" s="4">
        <v>51685.108</v>
      </c>
      <c r="G569" s="4">
        <v>51733.063000000002</v>
      </c>
      <c r="H569" s="5">
        <f>3432 / 86400</f>
        <v>3.9722222222222221E-2</v>
      </c>
      <c r="I569" t="s">
        <v>73</v>
      </c>
      <c r="J569" t="s">
        <v>30</v>
      </c>
      <c r="K569" s="5">
        <f>10205 / 86400</f>
        <v>0.11811342592592593</v>
      </c>
      <c r="L569" s="5">
        <f>52 / 86400</f>
        <v>6.018518518518519E-4</v>
      </c>
    </row>
    <row r="570" spans="1:12" x14ac:dyDescent="0.25">
      <c r="A570" s="3">
        <v>45689.81150462963</v>
      </c>
      <c r="B570" t="s">
        <v>284</v>
      </c>
      <c r="C570" s="3">
        <v>45689.931898148148</v>
      </c>
      <c r="D570" t="s">
        <v>69</v>
      </c>
      <c r="E570" s="4">
        <v>46.558</v>
      </c>
      <c r="F570" s="4">
        <v>51733.063000000002</v>
      </c>
      <c r="G570" s="4">
        <v>51779.620999999999</v>
      </c>
      <c r="H570" s="5">
        <f>3738 / 86400</f>
        <v>4.3263888888888886E-2</v>
      </c>
      <c r="I570" t="s">
        <v>25</v>
      </c>
      <c r="J570" t="s">
        <v>26</v>
      </c>
      <c r="K570" s="5">
        <f>10401 / 86400</f>
        <v>0.12038194444444444</v>
      </c>
      <c r="L570" s="5">
        <f>803 / 86400</f>
        <v>9.2939814814814812E-3</v>
      </c>
    </row>
    <row r="571" spans="1:12" x14ac:dyDescent="0.25">
      <c r="A571" s="3">
        <v>45689.941192129627</v>
      </c>
      <c r="B571" t="s">
        <v>69</v>
      </c>
      <c r="C571" s="3">
        <v>45689.954884259263</v>
      </c>
      <c r="D571" t="s">
        <v>47</v>
      </c>
      <c r="E571" s="4">
        <v>5.0110000000000001</v>
      </c>
      <c r="F571" s="4">
        <v>51779.620999999999</v>
      </c>
      <c r="G571" s="4">
        <v>51784.631999999998</v>
      </c>
      <c r="H571" s="5">
        <f>59 / 86400</f>
        <v>6.8287037037037036E-4</v>
      </c>
      <c r="I571" t="s">
        <v>164</v>
      </c>
      <c r="J571" t="s">
        <v>43</v>
      </c>
      <c r="K571" s="5">
        <f>1183 / 86400</f>
        <v>1.369212962962963E-2</v>
      </c>
      <c r="L571" s="5">
        <f>3897 / 86400</f>
        <v>4.5104166666666667E-2</v>
      </c>
    </row>
    <row r="572" spans="1:12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</row>
    <row r="573" spans="1:12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</row>
    <row r="574" spans="1:12" s="10" customFormat="1" ht="20.100000000000001" customHeight="1" x14ac:dyDescent="0.35">
      <c r="A574" s="15" t="s">
        <v>437</v>
      </c>
      <c r="B574" s="15"/>
      <c r="C574" s="15"/>
      <c r="D574" s="15"/>
      <c r="E574" s="15"/>
      <c r="F574" s="15"/>
      <c r="G574" s="15"/>
      <c r="H574" s="15"/>
      <c r="I574" s="15"/>
      <c r="J574" s="15"/>
    </row>
    <row r="575" spans="1:12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</row>
    <row r="576" spans="1:12" ht="30" x14ac:dyDescent="0.25">
      <c r="A576" s="2" t="s">
        <v>6</v>
      </c>
      <c r="B576" s="2" t="s">
        <v>7</v>
      </c>
      <c r="C576" s="2" t="s">
        <v>8</v>
      </c>
      <c r="D576" s="2" t="s">
        <v>9</v>
      </c>
      <c r="E576" s="2" t="s">
        <v>10</v>
      </c>
      <c r="F576" s="2" t="s">
        <v>11</v>
      </c>
      <c r="G576" s="2" t="s">
        <v>12</v>
      </c>
      <c r="H576" s="2" t="s">
        <v>13</v>
      </c>
      <c r="I576" s="2" t="s">
        <v>14</v>
      </c>
      <c r="J576" s="2" t="s">
        <v>15</v>
      </c>
      <c r="K576" s="2" t="s">
        <v>16</v>
      </c>
      <c r="L576" s="2" t="s">
        <v>17</v>
      </c>
    </row>
    <row r="577" spans="1:12" x14ac:dyDescent="0.25">
      <c r="A577" s="3">
        <v>45689.206643518519</v>
      </c>
      <c r="B577" t="s">
        <v>50</v>
      </c>
      <c r="C577" s="3">
        <v>45689.226307870369</v>
      </c>
      <c r="D577" t="s">
        <v>142</v>
      </c>
      <c r="E577" s="4">
        <v>1.5329999999999999</v>
      </c>
      <c r="F577" s="4">
        <v>213598.43700000001</v>
      </c>
      <c r="G577" s="4">
        <v>213599.97</v>
      </c>
      <c r="H577" s="5">
        <f>1278 / 86400</f>
        <v>1.4791666666666667E-2</v>
      </c>
      <c r="I577" t="s">
        <v>149</v>
      </c>
      <c r="J577" t="s">
        <v>121</v>
      </c>
      <c r="K577" s="5">
        <f>1698 / 86400</f>
        <v>1.9652777777777779E-2</v>
      </c>
      <c r="L577" s="5">
        <f>20426 / 86400</f>
        <v>0.23641203703703703</v>
      </c>
    </row>
    <row r="578" spans="1:12" x14ac:dyDescent="0.25">
      <c r="A578" s="3">
        <v>45689.256076388891</v>
      </c>
      <c r="B578" t="s">
        <v>142</v>
      </c>
      <c r="C578" s="3">
        <v>45689.521550925929</v>
      </c>
      <c r="D578" t="s">
        <v>45</v>
      </c>
      <c r="E578" s="4">
        <v>100.73699999999999</v>
      </c>
      <c r="F578" s="4">
        <v>213599.97</v>
      </c>
      <c r="G578" s="4">
        <v>213700.70699999999</v>
      </c>
      <c r="H578" s="5">
        <f>8319 / 86400</f>
        <v>9.6284722222222216E-2</v>
      </c>
      <c r="I578" t="s">
        <v>29</v>
      </c>
      <c r="J578" t="s">
        <v>26</v>
      </c>
      <c r="K578" s="5">
        <f>22937 / 86400</f>
        <v>0.26547453703703705</v>
      </c>
      <c r="L578" s="5">
        <f>39 / 86400</f>
        <v>4.5138888888888887E-4</v>
      </c>
    </row>
    <row r="579" spans="1:12" x14ac:dyDescent="0.25">
      <c r="A579" s="3">
        <v>45689.522002314814</v>
      </c>
      <c r="B579" t="s">
        <v>45</v>
      </c>
      <c r="C579" s="3">
        <v>45689.522106481483</v>
      </c>
      <c r="D579" t="s">
        <v>45</v>
      </c>
      <c r="E579" s="4">
        <v>0</v>
      </c>
      <c r="F579" s="4">
        <v>213700.70699999999</v>
      </c>
      <c r="G579" s="4">
        <v>213700.70699999999</v>
      </c>
      <c r="H579" s="5">
        <f>0 / 86400</f>
        <v>0</v>
      </c>
      <c r="I579" t="s">
        <v>37</v>
      </c>
      <c r="J579" t="s">
        <v>37</v>
      </c>
      <c r="K579" s="5">
        <f>8 / 86400</f>
        <v>9.2592592592592588E-5</v>
      </c>
      <c r="L579" s="5">
        <f>3 / 86400</f>
        <v>3.4722222222222222E-5</v>
      </c>
    </row>
    <row r="580" spans="1:12" x14ac:dyDescent="0.25">
      <c r="A580" s="3">
        <v>45689.522141203706</v>
      </c>
      <c r="B580" t="s">
        <v>45</v>
      </c>
      <c r="C580" s="3">
        <v>45689.522222222222</v>
      </c>
      <c r="D580" t="s">
        <v>45</v>
      </c>
      <c r="E580" s="4">
        <v>0</v>
      </c>
      <c r="F580" s="4">
        <v>213700.70699999999</v>
      </c>
      <c r="G580" s="4">
        <v>213700.70699999999</v>
      </c>
      <c r="H580" s="5">
        <f>0 / 86400</f>
        <v>0</v>
      </c>
      <c r="I580" t="s">
        <v>37</v>
      </c>
      <c r="J580" t="s">
        <v>37</v>
      </c>
      <c r="K580" s="5">
        <f>7 / 86400</f>
        <v>8.1018518518518516E-5</v>
      </c>
      <c r="L580" s="5">
        <f>2438 / 86400</f>
        <v>2.8217592592592593E-2</v>
      </c>
    </row>
    <row r="581" spans="1:12" x14ac:dyDescent="0.25">
      <c r="A581" s="3">
        <v>45689.550439814819</v>
      </c>
      <c r="B581" t="s">
        <v>45</v>
      </c>
      <c r="C581" s="3">
        <v>45689.869305555556</v>
      </c>
      <c r="D581" t="s">
        <v>69</v>
      </c>
      <c r="E581" s="4">
        <v>100.477</v>
      </c>
      <c r="F581" s="4">
        <v>213700.70699999999</v>
      </c>
      <c r="G581" s="4">
        <v>213801.18400000001</v>
      </c>
      <c r="H581" s="5">
        <f>12189 / 86400</f>
        <v>0.14107638888888888</v>
      </c>
      <c r="I581" t="s">
        <v>95</v>
      </c>
      <c r="J581" t="s">
        <v>31</v>
      </c>
      <c r="K581" s="5">
        <f>27549 / 86400</f>
        <v>0.31885416666666666</v>
      </c>
      <c r="L581" s="5">
        <f>17 / 86400</f>
        <v>1.9675925925925926E-4</v>
      </c>
    </row>
    <row r="582" spans="1:12" x14ac:dyDescent="0.25">
      <c r="A582" s="3">
        <v>45689.869502314818</v>
      </c>
      <c r="B582" t="s">
        <v>69</v>
      </c>
      <c r="C582" s="3">
        <v>45689.888657407406</v>
      </c>
      <c r="D582" t="s">
        <v>50</v>
      </c>
      <c r="E582" s="4">
        <v>0.93300000000000005</v>
      </c>
      <c r="F582" s="4">
        <v>213801.18400000001</v>
      </c>
      <c r="G582" s="4">
        <v>213802.117</v>
      </c>
      <c r="H582" s="5">
        <f>1380 / 86400</f>
        <v>1.5972222222222221E-2</v>
      </c>
      <c r="I582" t="s">
        <v>189</v>
      </c>
      <c r="J582" t="s">
        <v>133</v>
      </c>
      <c r="K582" s="5">
        <f>1655 / 86400</f>
        <v>1.9155092592592592E-2</v>
      </c>
      <c r="L582" s="5">
        <f>392 / 86400</f>
        <v>4.5370370370370373E-3</v>
      </c>
    </row>
    <row r="583" spans="1:12" x14ac:dyDescent="0.25">
      <c r="A583" s="3">
        <v>45689.893194444448</v>
      </c>
      <c r="B583" t="s">
        <v>50</v>
      </c>
      <c r="C583" s="3">
        <v>45689.893275462964</v>
      </c>
      <c r="D583" t="s">
        <v>50</v>
      </c>
      <c r="E583" s="4">
        <v>0</v>
      </c>
      <c r="F583" s="4">
        <v>213802.117</v>
      </c>
      <c r="G583" s="4">
        <v>213802.117</v>
      </c>
      <c r="H583" s="5">
        <f>0 / 86400</f>
        <v>0</v>
      </c>
      <c r="I583" t="s">
        <v>37</v>
      </c>
      <c r="J583" t="s">
        <v>37</v>
      </c>
      <c r="K583" s="5">
        <f>7 / 86400</f>
        <v>8.1018518518518516E-5</v>
      </c>
      <c r="L583" s="5">
        <f>9220 / 86400</f>
        <v>0.10671296296296297</v>
      </c>
    </row>
    <row r="584" spans="1:12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</row>
    <row r="585" spans="1:12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</row>
    <row r="586" spans="1:12" s="10" customFormat="1" ht="20.100000000000001" customHeight="1" x14ac:dyDescent="0.35">
      <c r="A586" s="15" t="s">
        <v>438</v>
      </c>
      <c r="B586" s="15"/>
      <c r="C586" s="15"/>
      <c r="D586" s="15"/>
      <c r="E586" s="15"/>
      <c r="F586" s="15"/>
      <c r="G586" s="15"/>
      <c r="H586" s="15"/>
      <c r="I586" s="15"/>
      <c r="J586" s="15"/>
    </row>
    <row r="587" spans="1:12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</row>
    <row r="588" spans="1:12" ht="30" x14ac:dyDescent="0.25">
      <c r="A588" s="2" t="s">
        <v>6</v>
      </c>
      <c r="B588" s="2" t="s">
        <v>7</v>
      </c>
      <c r="C588" s="2" t="s">
        <v>8</v>
      </c>
      <c r="D588" s="2" t="s">
        <v>9</v>
      </c>
      <c r="E588" s="2" t="s">
        <v>10</v>
      </c>
      <c r="F588" s="2" t="s">
        <v>11</v>
      </c>
      <c r="G588" s="2" t="s">
        <v>12</v>
      </c>
      <c r="H588" s="2" t="s">
        <v>13</v>
      </c>
      <c r="I588" s="2" t="s">
        <v>14</v>
      </c>
      <c r="J588" s="2" t="s">
        <v>15</v>
      </c>
      <c r="K588" s="2" t="s">
        <v>16</v>
      </c>
      <c r="L588" s="2" t="s">
        <v>17</v>
      </c>
    </row>
    <row r="589" spans="1:12" x14ac:dyDescent="0.25">
      <c r="A589" s="3">
        <v>45689.263518518521</v>
      </c>
      <c r="B589" t="s">
        <v>52</v>
      </c>
      <c r="C589" s="3">
        <v>45689.270682870367</v>
      </c>
      <c r="D589" t="s">
        <v>128</v>
      </c>
      <c r="E589" s="4">
        <v>1.605</v>
      </c>
      <c r="F589" s="4">
        <v>522995.23499999999</v>
      </c>
      <c r="G589" s="4">
        <v>522996.84</v>
      </c>
      <c r="H589" s="5">
        <f>179 / 86400</f>
        <v>2.0717592592592593E-3</v>
      </c>
      <c r="I589" t="s">
        <v>167</v>
      </c>
      <c r="J589" t="s">
        <v>85</v>
      </c>
      <c r="K589" s="5">
        <f>619 / 86400</f>
        <v>7.1643518518518514E-3</v>
      </c>
      <c r="L589" s="5">
        <f>25026 / 86400</f>
        <v>0.28965277777777776</v>
      </c>
    </row>
    <row r="590" spans="1:12" x14ac:dyDescent="0.25">
      <c r="A590" s="3">
        <v>45689.296817129631</v>
      </c>
      <c r="B590" t="s">
        <v>128</v>
      </c>
      <c r="C590" s="3">
        <v>45689.348958333328</v>
      </c>
      <c r="D590" t="s">
        <v>293</v>
      </c>
      <c r="E590" s="4">
        <v>23.427</v>
      </c>
      <c r="F590" s="4">
        <v>522996.84</v>
      </c>
      <c r="G590" s="4">
        <v>523020.26699999999</v>
      </c>
      <c r="H590" s="5">
        <f>1458 / 86400</f>
        <v>1.6875000000000001E-2</v>
      </c>
      <c r="I590" t="s">
        <v>53</v>
      </c>
      <c r="J590" t="s">
        <v>49</v>
      </c>
      <c r="K590" s="5">
        <f>4504 / 86400</f>
        <v>5.212962962962963E-2</v>
      </c>
      <c r="L590" s="5">
        <f>98 / 86400</f>
        <v>1.1342592592592593E-3</v>
      </c>
    </row>
    <row r="591" spans="1:12" x14ac:dyDescent="0.25">
      <c r="A591" s="3">
        <v>45689.350092592591</v>
      </c>
      <c r="B591" t="s">
        <v>273</v>
      </c>
      <c r="C591" s="3">
        <v>45689.543263888889</v>
      </c>
      <c r="D591" t="s">
        <v>377</v>
      </c>
      <c r="E591" s="4">
        <v>52.503</v>
      </c>
      <c r="F591" s="4">
        <v>523020.26699999999</v>
      </c>
      <c r="G591" s="4">
        <v>523072.77</v>
      </c>
      <c r="H591" s="5">
        <f>9380 / 86400</f>
        <v>0.10856481481481481</v>
      </c>
      <c r="I591" t="s">
        <v>136</v>
      </c>
      <c r="J591" t="s">
        <v>71</v>
      </c>
      <c r="K591" s="5">
        <f>16690 / 86400</f>
        <v>0.19317129629629629</v>
      </c>
      <c r="L591" s="5">
        <f>2613 / 86400</f>
        <v>3.0243055555555554E-2</v>
      </c>
    </row>
    <row r="592" spans="1:12" x14ac:dyDescent="0.25">
      <c r="A592" s="3">
        <v>45689.573506944449</v>
      </c>
      <c r="B592" t="s">
        <v>377</v>
      </c>
      <c r="C592" s="3">
        <v>45689.654826388884</v>
      </c>
      <c r="D592" t="s">
        <v>69</v>
      </c>
      <c r="E592" s="4">
        <v>39.466999999999999</v>
      </c>
      <c r="F592" s="4">
        <v>523072.77</v>
      </c>
      <c r="G592" s="4">
        <v>523112.23700000002</v>
      </c>
      <c r="H592" s="5">
        <f>1859 / 86400</f>
        <v>2.1516203703703704E-2</v>
      </c>
      <c r="I592" t="s">
        <v>136</v>
      </c>
      <c r="J592" t="s">
        <v>62</v>
      </c>
      <c r="K592" s="5">
        <f>7025 / 86400</f>
        <v>8.1307870370370364E-2</v>
      </c>
      <c r="L592" s="5">
        <f>1617 / 86400</f>
        <v>1.8715277777777779E-2</v>
      </c>
    </row>
    <row r="593" spans="1:12" x14ac:dyDescent="0.25">
      <c r="A593" s="3">
        <v>45689.673541666663</v>
      </c>
      <c r="B593" t="s">
        <v>69</v>
      </c>
      <c r="C593" s="3">
        <v>45689.674467592587</v>
      </c>
      <c r="D593" t="s">
        <v>69</v>
      </c>
      <c r="E593" s="4">
        <v>0.114</v>
      </c>
      <c r="F593" s="4">
        <v>523112.23700000002</v>
      </c>
      <c r="G593" s="4">
        <v>523112.35100000002</v>
      </c>
      <c r="H593" s="5">
        <f>19 / 86400</f>
        <v>2.199074074074074E-4</v>
      </c>
      <c r="I593" t="s">
        <v>120</v>
      </c>
      <c r="J593" t="s">
        <v>56</v>
      </c>
      <c r="K593" s="5">
        <f>79 / 86400</f>
        <v>9.1435185185185185E-4</v>
      </c>
      <c r="L593" s="5">
        <f>223 / 86400</f>
        <v>2.5810185185185185E-3</v>
      </c>
    </row>
    <row r="594" spans="1:12" x14ac:dyDescent="0.25">
      <c r="A594" s="3">
        <v>45689.677048611113</v>
      </c>
      <c r="B594" t="s">
        <v>69</v>
      </c>
      <c r="C594" s="3">
        <v>45689.680902777778</v>
      </c>
      <c r="D594" t="s">
        <v>142</v>
      </c>
      <c r="E594" s="4">
        <v>0.70499999999999996</v>
      </c>
      <c r="F594" s="4">
        <v>523112.35100000002</v>
      </c>
      <c r="G594" s="4">
        <v>523113.05599999998</v>
      </c>
      <c r="H594" s="5">
        <f>159 / 86400</f>
        <v>1.8402777777777777E-3</v>
      </c>
      <c r="I594" t="s">
        <v>125</v>
      </c>
      <c r="J594" t="s">
        <v>120</v>
      </c>
      <c r="K594" s="5">
        <f>332 / 86400</f>
        <v>3.8425925925925928E-3</v>
      </c>
      <c r="L594" s="5">
        <f>107 / 86400</f>
        <v>1.238425925925926E-3</v>
      </c>
    </row>
    <row r="595" spans="1:12" x14ac:dyDescent="0.25">
      <c r="A595" s="3">
        <v>45689.682141203702</v>
      </c>
      <c r="B595" t="s">
        <v>142</v>
      </c>
      <c r="C595" s="3">
        <v>45689.682256944448</v>
      </c>
      <c r="D595" t="s">
        <v>142</v>
      </c>
      <c r="E595" s="4">
        <v>7.0000000000000001E-3</v>
      </c>
      <c r="F595" s="4">
        <v>523113.05599999998</v>
      </c>
      <c r="G595" s="4">
        <v>523113.06300000002</v>
      </c>
      <c r="H595" s="5">
        <f>0 / 86400</f>
        <v>0</v>
      </c>
      <c r="I595" t="s">
        <v>92</v>
      </c>
      <c r="J595" t="s">
        <v>121</v>
      </c>
      <c r="K595" s="5">
        <f>10 / 86400</f>
        <v>1.1574074074074075E-4</v>
      </c>
      <c r="L595" s="5">
        <f>63 / 86400</f>
        <v>7.291666666666667E-4</v>
      </c>
    </row>
    <row r="596" spans="1:12" x14ac:dyDescent="0.25">
      <c r="A596" s="3">
        <v>45689.682986111111</v>
      </c>
      <c r="B596" t="s">
        <v>114</v>
      </c>
      <c r="C596" s="3">
        <v>45689.683148148149</v>
      </c>
      <c r="D596" t="s">
        <v>142</v>
      </c>
      <c r="E596" s="4">
        <v>7.0000000000000001E-3</v>
      </c>
      <c r="F596" s="4">
        <v>523113.06300000002</v>
      </c>
      <c r="G596" s="4">
        <v>523113.07</v>
      </c>
      <c r="H596" s="5">
        <f>0 / 86400</f>
        <v>0</v>
      </c>
      <c r="I596" t="s">
        <v>92</v>
      </c>
      <c r="J596" t="s">
        <v>133</v>
      </c>
      <c r="K596" s="5">
        <f>13 / 86400</f>
        <v>1.5046296296296297E-4</v>
      </c>
      <c r="L596" s="5">
        <f>39 / 86400</f>
        <v>4.5138888888888887E-4</v>
      </c>
    </row>
    <row r="597" spans="1:12" x14ac:dyDescent="0.25">
      <c r="A597" s="3">
        <v>45689.683599537035</v>
      </c>
      <c r="B597" t="s">
        <v>142</v>
      </c>
      <c r="C597" s="3">
        <v>45689.68377314815</v>
      </c>
      <c r="D597" t="s">
        <v>142</v>
      </c>
      <c r="E597" s="4">
        <v>6.0000000000000001E-3</v>
      </c>
      <c r="F597" s="4">
        <v>523113.07</v>
      </c>
      <c r="G597" s="4">
        <v>523113.076</v>
      </c>
      <c r="H597" s="5">
        <f>0 / 86400</f>
        <v>0</v>
      </c>
      <c r="I597" t="s">
        <v>56</v>
      </c>
      <c r="J597" t="s">
        <v>100</v>
      </c>
      <c r="K597" s="5">
        <f>15 / 86400</f>
        <v>1.7361111111111112E-4</v>
      </c>
      <c r="L597" s="5">
        <f>258 / 86400</f>
        <v>2.9861111111111113E-3</v>
      </c>
    </row>
    <row r="598" spans="1:12" x14ac:dyDescent="0.25">
      <c r="A598" s="3">
        <v>45689.686759259261</v>
      </c>
      <c r="B598" t="s">
        <v>142</v>
      </c>
      <c r="C598" s="3">
        <v>45689.686967592592</v>
      </c>
      <c r="D598" t="s">
        <v>142</v>
      </c>
      <c r="E598" s="4">
        <v>7.0000000000000001E-3</v>
      </c>
      <c r="F598" s="4">
        <v>523113.076</v>
      </c>
      <c r="G598" s="4">
        <v>523113.08299999998</v>
      </c>
      <c r="H598" s="5">
        <f>0 / 86400</f>
        <v>0</v>
      </c>
      <c r="I598" t="s">
        <v>37</v>
      </c>
      <c r="J598" t="s">
        <v>100</v>
      </c>
      <c r="K598" s="5">
        <f>17 / 86400</f>
        <v>1.9675925925925926E-4</v>
      </c>
      <c r="L598" s="5">
        <f>181 / 86400</f>
        <v>2.0949074074074073E-3</v>
      </c>
    </row>
    <row r="599" spans="1:12" x14ac:dyDescent="0.25">
      <c r="A599" s="3">
        <v>45689.689062500001</v>
      </c>
      <c r="B599" t="s">
        <v>143</v>
      </c>
      <c r="C599" s="3">
        <v>45689.689652777779</v>
      </c>
      <c r="D599" t="s">
        <v>143</v>
      </c>
      <c r="E599" s="4">
        <v>8.0000000000000002E-3</v>
      </c>
      <c r="F599" s="4">
        <v>523113.08299999998</v>
      </c>
      <c r="G599" s="4">
        <v>523113.09100000001</v>
      </c>
      <c r="H599" s="5">
        <f>39 / 86400</f>
        <v>4.5138888888888887E-4</v>
      </c>
      <c r="I599" t="s">
        <v>37</v>
      </c>
      <c r="J599" t="s">
        <v>100</v>
      </c>
      <c r="K599" s="5">
        <f>51 / 86400</f>
        <v>5.9027777777777778E-4</v>
      </c>
      <c r="L599" s="5">
        <f>58 / 86400</f>
        <v>6.7129629629629625E-4</v>
      </c>
    </row>
    <row r="600" spans="1:12" x14ac:dyDescent="0.25">
      <c r="A600" s="3">
        <v>45689.690324074079</v>
      </c>
      <c r="B600" t="s">
        <v>143</v>
      </c>
      <c r="C600" s="3">
        <v>45689.690428240741</v>
      </c>
      <c r="D600" t="s">
        <v>143</v>
      </c>
      <c r="E600" s="4">
        <v>4.0000000000000001E-3</v>
      </c>
      <c r="F600" s="4">
        <v>523113.09100000001</v>
      </c>
      <c r="G600" s="4">
        <v>523113.09499999997</v>
      </c>
      <c r="H600" s="5">
        <f>0 / 86400</f>
        <v>0</v>
      </c>
      <c r="I600" t="s">
        <v>37</v>
      </c>
      <c r="J600" t="s">
        <v>133</v>
      </c>
      <c r="K600" s="5">
        <f>9 / 86400</f>
        <v>1.0416666666666667E-4</v>
      </c>
      <c r="L600" s="5">
        <f>256 / 86400</f>
        <v>2.9629629629629628E-3</v>
      </c>
    </row>
    <row r="601" spans="1:12" x14ac:dyDescent="0.25">
      <c r="A601" s="3">
        <v>45689.693391203706</v>
      </c>
      <c r="B601" t="s">
        <v>143</v>
      </c>
      <c r="C601" s="3">
        <v>45689.840335648143</v>
      </c>
      <c r="D601" t="s">
        <v>52</v>
      </c>
      <c r="E601" s="4">
        <v>64.912999999999997</v>
      </c>
      <c r="F601" s="4">
        <v>523113.09499999997</v>
      </c>
      <c r="G601" s="4">
        <v>523178.00799999997</v>
      </c>
      <c r="H601" s="5">
        <f>3599 / 86400</f>
        <v>4.1655092592592591E-2</v>
      </c>
      <c r="I601" t="s">
        <v>65</v>
      </c>
      <c r="J601" t="s">
        <v>23</v>
      </c>
      <c r="K601" s="5">
        <f>12695 / 86400</f>
        <v>0.14693287037037037</v>
      </c>
      <c r="L601" s="5">
        <f>13794 / 86400</f>
        <v>0.15965277777777778</v>
      </c>
    </row>
    <row r="602" spans="1:12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</row>
    <row r="603" spans="1:12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</row>
    <row r="604" spans="1:12" s="10" customFormat="1" ht="20.100000000000001" customHeight="1" x14ac:dyDescent="0.35">
      <c r="A604" s="15" t="s">
        <v>439</v>
      </c>
      <c r="B604" s="15"/>
      <c r="C604" s="15"/>
      <c r="D604" s="15"/>
      <c r="E604" s="15"/>
      <c r="F604" s="15"/>
      <c r="G604" s="15"/>
      <c r="H604" s="15"/>
      <c r="I604" s="15"/>
      <c r="J604" s="15"/>
    </row>
    <row r="605" spans="1:12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</row>
    <row r="606" spans="1:12" ht="30" x14ac:dyDescent="0.25">
      <c r="A606" s="2" t="s">
        <v>6</v>
      </c>
      <c r="B606" s="2" t="s">
        <v>7</v>
      </c>
      <c r="C606" s="2" t="s">
        <v>8</v>
      </c>
      <c r="D606" s="2" t="s">
        <v>9</v>
      </c>
      <c r="E606" s="2" t="s">
        <v>10</v>
      </c>
      <c r="F606" s="2" t="s">
        <v>11</v>
      </c>
      <c r="G606" s="2" t="s">
        <v>12</v>
      </c>
      <c r="H606" s="2" t="s">
        <v>13</v>
      </c>
      <c r="I606" s="2" t="s">
        <v>14</v>
      </c>
      <c r="J606" s="2" t="s">
        <v>15</v>
      </c>
      <c r="K606" s="2" t="s">
        <v>16</v>
      </c>
      <c r="L606" s="2" t="s">
        <v>17</v>
      </c>
    </row>
    <row r="607" spans="1:12" x14ac:dyDescent="0.25">
      <c r="A607" s="3">
        <v>45689.25481481482</v>
      </c>
      <c r="B607" t="s">
        <v>54</v>
      </c>
      <c r="C607" s="3">
        <v>45689.257905092592</v>
      </c>
      <c r="D607" t="s">
        <v>378</v>
      </c>
      <c r="E607" s="4">
        <v>8.8999999999999996E-2</v>
      </c>
      <c r="F607" s="4">
        <v>343138.73</v>
      </c>
      <c r="G607" s="4">
        <v>343138.81900000002</v>
      </c>
      <c r="H607" s="5">
        <f>179 / 86400</f>
        <v>2.0717592592592593E-3</v>
      </c>
      <c r="I607" t="s">
        <v>126</v>
      </c>
      <c r="J607" t="s">
        <v>100</v>
      </c>
      <c r="K607" s="5">
        <f>267 / 86400</f>
        <v>3.0902777777777777E-3</v>
      </c>
      <c r="L607" s="5">
        <f>22442 / 86400</f>
        <v>0.25974537037037038</v>
      </c>
    </row>
    <row r="608" spans="1:12" x14ac:dyDescent="0.25">
      <c r="A608" s="3">
        <v>45689.262835648144</v>
      </c>
      <c r="B608" t="s">
        <v>378</v>
      </c>
      <c r="C608" s="3">
        <v>45689.359606481477</v>
      </c>
      <c r="D608" t="s">
        <v>162</v>
      </c>
      <c r="E608" s="4">
        <v>49.639000000000003</v>
      </c>
      <c r="F608" s="4">
        <v>343138.81900000002</v>
      </c>
      <c r="G608" s="4">
        <v>343188.45799999998</v>
      </c>
      <c r="H608" s="5">
        <f>2120 / 86400</f>
        <v>2.4537037037037038E-2</v>
      </c>
      <c r="I608" t="s">
        <v>19</v>
      </c>
      <c r="J608" t="s">
        <v>20</v>
      </c>
      <c r="K608" s="5">
        <f>8361 / 86400</f>
        <v>9.6770833333333334E-2</v>
      </c>
      <c r="L608" s="5">
        <f>841 / 86400</f>
        <v>9.7337962962962959E-3</v>
      </c>
    </row>
    <row r="609" spans="1:12" x14ac:dyDescent="0.25">
      <c r="A609" s="3">
        <v>45689.369340277779</v>
      </c>
      <c r="B609" t="s">
        <v>162</v>
      </c>
      <c r="C609" s="3">
        <v>45689.520775462966</v>
      </c>
      <c r="D609" t="s">
        <v>139</v>
      </c>
      <c r="E609" s="4">
        <v>51.057000000000002</v>
      </c>
      <c r="F609" s="4">
        <v>343188.45799999998</v>
      </c>
      <c r="G609" s="4">
        <v>343239.51500000001</v>
      </c>
      <c r="H609" s="5">
        <f>5359 / 86400</f>
        <v>6.2025462962962963E-2</v>
      </c>
      <c r="I609" t="s">
        <v>42</v>
      </c>
      <c r="J609" t="s">
        <v>51</v>
      </c>
      <c r="K609" s="5">
        <f>13083 / 86400</f>
        <v>0.15142361111111111</v>
      </c>
      <c r="L609" s="5">
        <f>978 / 86400</f>
        <v>1.1319444444444444E-2</v>
      </c>
    </row>
    <row r="610" spans="1:12" x14ac:dyDescent="0.25">
      <c r="A610" s="3">
        <v>45689.532094907408</v>
      </c>
      <c r="B610" t="s">
        <v>139</v>
      </c>
      <c r="C610" s="3">
        <v>45689.535601851851</v>
      </c>
      <c r="D610" t="s">
        <v>86</v>
      </c>
      <c r="E610" s="4">
        <v>1.0269999999999999</v>
      </c>
      <c r="F610" s="4">
        <v>343239.51500000001</v>
      </c>
      <c r="G610" s="4">
        <v>343240.54200000002</v>
      </c>
      <c r="H610" s="5">
        <f>0 / 86400</f>
        <v>0</v>
      </c>
      <c r="I610" t="s">
        <v>125</v>
      </c>
      <c r="J610" t="s">
        <v>99</v>
      </c>
      <c r="K610" s="5">
        <f>302 / 86400</f>
        <v>3.4953703703703705E-3</v>
      </c>
      <c r="L610" s="5">
        <f>1691 / 86400</f>
        <v>1.9571759259259261E-2</v>
      </c>
    </row>
    <row r="611" spans="1:12" x14ac:dyDescent="0.25">
      <c r="A611" s="3">
        <v>45689.555173611108</v>
      </c>
      <c r="B611" t="s">
        <v>86</v>
      </c>
      <c r="C611" s="3">
        <v>45689.679930555554</v>
      </c>
      <c r="D611" t="s">
        <v>162</v>
      </c>
      <c r="E611" s="4">
        <v>49.936</v>
      </c>
      <c r="F611" s="4">
        <v>343240.54200000002</v>
      </c>
      <c r="G611" s="4">
        <v>343290.478</v>
      </c>
      <c r="H611" s="5">
        <f>4440 / 86400</f>
        <v>5.1388888888888887E-2</v>
      </c>
      <c r="I611" t="s">
        <v>32</v>
      </c>
      <c r="J611" t="s">
        <v>30</v>
      </c>
      <c r="K611" s="5">
        <f>10779 / 86400</f>
        <v>0.12475694444444445</v>
      </c>
      <c r="L611" s="5">
        <f>90 / 86400</f>
        <v>1.0416666666666667E-3</v>
      </c>
    </row>
    <row r="612" spans="1:12" x14ac:dyDescent="0.25">
      <c r="A612" s="3">
        <v>45689.680972222224</v>
      </c>
      <c r="B612" t="s">
        <v>162</v>
      </c>
      <c r="C612" s="3">
        <v>45689.682719907403</v>
      </c>
      <c r="D612" t="s">
        <v>379</v>
      </c>
      <c r="E612" s="4">
        <v>0.108</v>
      </c>
      <c r="F612" s="4">
        <v>343290.478</v>
      </c>
      <c r="G612" s="4">
        <v>343290.58600000001</v>
      </c>
      <c r="H612" s="5">
        <f>80 / 86400</f>
        <v>9.2592592592592596E-4</v>
      </c>
      <c r="I612" t="s">
        <v>56</v>
      </c>
      <c r="J612" t="s">
        <v>121</v>
      </c>
      <c r="K612" s="5">
        <f>151 / 86400</f>
        <v>1.7476851851851852E-3</v>
      </c>
      <c r="L612" s="5">
        <f>100 / 86400</f>
        <v>1.1574074074074073E-3</v>
      </c>
    </row>
    <row r="613" spans="1:12" x14ac:dyDescent="0.25">
      <c r="A613" s="3">
        <v>45689.683877314819</v>
      </c>
      <c r="B613" t="s">
        <v>380</v>
      </c>
      <c r="C613" s="3">
        <v>45689.808298611111</v>
      </c>
      <c r="D613" t="s">
        <v>146</v>
      </c>
      <c r="E613" s="4">
        <v>50.317</v>
      </c>
      <c r="F613" s="4">
        <v>343290.58600000001</v>
      </c>
      <c r="G613" s="4">
        <v>343340.90299999999</v>
      </c>
      <c r="H613" s="5">
        <f>3799 / 86400</f>
        <v>4.3969907407407409E-2</v>
      </c>
      <c r="I613" t="s">
        <v>57</v>
      </c>
      <c r="J613" t="s">
        <v>30</v>
      </c>
      <c r="K613" s="5">
        <f>10749 / 86400</f>
        <v>0.12440972222222223</v>
      </c>
      <c r="L613" s="5">
        <f>185 / 86400</f>
        <v>2.1412037037037038E-3</v>
      </c>
    </row>
    <row r="614" spans="1:12" x14ac:dyDescent="0.25">
      <c r="A614" s="3">
        <v>45689.810439814813</v>
      </c>
      <c r="B614" t="s">
        <v>146</v>
      </c>
      <c r="C614" s="3">
        <v>45689.812268518523</v>
      </c>
      <c r="D614" t="s">
        <v>69</v>
      </c>
      <c r="E614" s="4">
        <v>0.19800000000000001</v>
      </c>
      <c r="F614" s="4">
        <v>343340.90299999999</v>
      </c>
      <c r="G614" s="4">
        <v>343341.10100000002</v>
      </c>
      <c r="H614" s="5">
        <f>60 / 86400</f>
        <v>6.9444444444444447E-4</v>
      </c>
      <c r="I614" t="s">
        <v>35</v>
      </c>
      <c r="J614" t="s">
        <v>56</v>
      </c>
      <c r="K614" s="5">
        <f>157 / 86400</f>
        <v>1.8171296296296297E-3</v>
      </c>
      <c r="L614" s="5">
        <f>386 / 86400</f>
        <v>4.4675925925925924E-3</v>
      </c>
    </row>
    <row r="615" spans="1:12" x14ac:dyDescent="0.25">
      <c r="A615" s="3">
        <v>45689.816736111112</v>
      </c>
      <c r="B615" t="s">
        <v>69</v>
      </c>
      <c r="C615" s="3">
        <v>45689.818530092598</v>
      </c>
      <c r="D615" t="s">
        <v>381</v>
      </c>
      <c r="E615" s="4">
        <v>0.26600000000000001</v>
      </c>
      <c r="F615" s="4">
        <v>343341.10100000002</v>
      </c>
      <c r="G615" s="4">
        <v>343341.36700000003</v>
      </c>
      <c r="H615" s="5">
        <f>0 / 86400</f>
        <v>0</v>
      </c>
      <c r="I615" t="s">
        <v>43</v>
      </c>
      <c r="J615" t="s">
        <v>92</v>
      </c>
      <c r="K615" s="5">
        <f>155 / 86400</f>
        <v>1.7939814814814815E-3</v>
      </c>
      <c r="L615" s="5">
        <f>459 / 86400</f>
        <v>5.3125000000000004E-3</v>
      </c>
    </row>
    <row r="616" spans="1:12" x14ac:dyDescent="0.25">
      <c r="A616" s="3">
        <v>45689.823842592596</v>
      </c>
      <c r="B616" t="s">
        <v>381</v>
      </c>
      <c r="C616" s="3">
        <v>45689.825949074075</v>
      </c>
      <c r="D616" t="s">
        <v>117</v>
      </c>
      <c r="E616" s="4">
        <v>0.442</v>
      </c>
      <c r="F616" s="4">
        <v>343341.36700000003</v>
      </c>
      <c r="G616" s="4">
        <v>343341.80900000001</v>
      </c>
      <c r="H616" s="5">
        <f>40 / 86400</f>
        <v>4.6296296296296298E-4</v>
      </c>
      <c r="I616" t="s">
        <v>123</v>
      </c>
      <c r="J616" t="s">
        <v>85</v>
      </c>
      <c r="K616" s="5">
        <f>182 / 86400</f>
        <v>2.1064814814814813E-3</v>
      </c>
      <c r="L616" s="5">
        <f>1525 / 86400</f>
        <v>1.7650462962962962E-2</v>
      </c>
    </row>
    <row r="617" spans="1:12" x14ac:dyDescent="0.25">
      <c r="A617" s="3">
        <v>45689.843599537038</v>
      </c>
      <c r="B617" t="s">
        <v>117</v>
      </c>
      <c r="C617" s="3">
        <v>45689.848946759259</v>
      </c>
      <c r="D617" t="s">
        <v>54</v>
      </c>
      <c r="E617" s="4">
        <v>0.75600000000000001</v>
      </c>
      <c r="F617" s="4">
        <v>343341.80900000001</v>
      </c>
      <c r="G617" s="4">
        <v>343342.565</v>
      </c>
      <c r="H617" s="5">
        <f>239 / 86400</f>
        <v>2.7662037037037039E-3</v>
      </c>
      <c r="I617" t="s">
        <v>164</v>
      </c>
      <c r="J617" t="s">
        <v>92</v>
      </c>
      <c r="K617" s="5">
        <f>461 / 86400</f>
        <v>5.3356481481481484E-3</v>
      </c>
      <c r="L617" s="5">
        <f>13050 / 86400</f>
        <v>0.15104166666666666</v>
      </c>
    </row>
    <row r="618" spans="1:12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</row>
    <row r="619" spans="1:12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</row>
    <row r="620" spans="1:12" s="10" customFormat="1" ht="20.100000000000001" customHeight="1" x14ac:dyDescent="0.35">
      <c r="A620" s="15" t="s">
        <v>440</v>
      </c>
      <c r="B620" s="15"/>
      <c r="C620" s="15"/>
      <c r="D620" s="15"/>
      <c r="E620" s="15"/>
      <c r="F620" s="15"/>
      <c r="G620" s="15"/>
      <c r="H620" s="15"/>
      <c r="I620" s="15"/>
      <c r="J620" s="15"/>
    </row>
    <row r="621" spans="1:12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</row>
    <row r="622" spans="1:12" ht="30" x14ac:dyDescent="0.25">
      <c r="A622" s="2" t="s">
        <v>6</v>
      </c>
      <c r="B622" s="2" t="s">
        <v>7</v>
      </c>
      <c r="C622" s="2" t="s">
        <v>8</v>
      </c>
      <c r="D622" s="2" t="s">
        <v>9</v>
      </c>
      <c r="E622" s="2" t="s">
        <v>10</v>
      </c>
      <c r="F622" s="2" t="s">
        <v>11</v>
      </c>
      <c r="G622" s="2" t="s">
        <v>12</v>
      </c>
      <c r="H622" s="2" t="s">
        <v>13</v>
      </c>
      <c r="I622" s="2" t="s">
        <v>14</v>
      </c>
      <c r="J622" s="2" t="s">
        <v>15</v>
      </c>
      <c r="K622" s="2" t="s">
        <v>16</v>
      </c>
      <c r="L622" s="2" t="s">
        <v>17</v>
      </c>
    </row>
    <row r="623" spans="1:12" x14ac:dyDescent="0.25">
      <c r="A623" s="3">
        <v>45689.877199074079</v>
      </c>
      <c r="B623" t="s">
        <v>55</v>
      </c>
      <c r="C623" s="3">
        <v>45689.880150462966</v>
      </c>
      <c r="D623" t="s">
        <v>55</v>
      </c>
      <c r="E623" s="4">
        <v>3.1E-2</v>
      </c>
      <c r="F623" s="4">
        <v>424414.34100000001</v>
      </c>
      <c r="G623" s="4">
        <v>424414.37199999997</v>
      </c>
      <c r="H623" s="5">
        <f>219 / 86400</f>
        <v>2.5347222222222221E-3</v>
      </c>
      <c r="I623" t="s">
        <v>56</v>
      </c>
      <c r="J623" t="s">
        <v>37</v>
      </c>
      <c r="K623" s="5">
        <f>254 / 86400</f>
        <v>2.9398148148148148E-3</v>
      </c>
      <c r="L623" s="5">
        <f>86144 / 86400</f>
        <v>0.99703703703703705</v>
      </c>
    </row>
    <row r="624" spans="1:1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</row>
    <row r="625" spans="1:12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</row>
    <row r="626" spans="1:12" s="10" customFormat="1" ht="20.100000000000001" customHeight="1" x14ac:dyDescent="0.35">
      <c r="A626" s="15" t="s">
        <v>441</v>
      </c>
      <c r="B626" s="15"/>
      <c r="C626" s="15"/>
      <c r="D626" s="15"/>
      <c r="E626" s="15"/>
      <c r="F626" s="15"/>
      <c r="G626" s="15"/>
      <c r="H626" s="15"/>
      <c r="I626" s="15"/>
      <c r="J626" s="15"/>
    </row>
    <row r="627" spans="1:1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 spans="1:12" ht="30" x14ac:dyDescent="0.25">
      <c r="A628" s="2" t="s">
        <v>6</v>
      </c>
      <c r="B628" s="2" t="s">
        <v>7</v>
      </c>
      <c r="C628" s="2" t="s">
        <v>8</v>
      </c>
      <c r="D628" s="2" t="s">
        <v>9</v>
      </c>
      <c r="E628" s="2" t="s">
        <v>10</v>
      </c>
      <c r="F628" s="2" t="s">
        <v>11</v>
      </c>
      <c r="G628" s="2" t="s">
        <v>12</v>
      </c>
      <c r="H628" s="2" t="s">
        <v>13</v>
      </c>
      <c r="I628" s="2" t="s">
        <v>14</v>
      </c>
      <c r="J628" s="2" t="s">
        <v>15</v>
      </c>
      <c r="K628" s="2" t="s">
        <v>16</v>
      </c>
      <c r="L628" s="2" t="s">
        <v>17</v>
      </c>
    </row>
    <row r="629" spans="1:12" x14ac:dyDescent="0.25">
      <c r="A629" s="3">
        <v>45689.247337962966</v>
      </c>
      <c r="B629" t="s">
        <v>24</v>
      </c>
      <c r="C629" s="3">
        <v>45689.253171296295</v>
      </c>
      <c r="D629" t="s">
        <v>127</v>
      </c>
      <c r="E629" s="4">
        <v>0</v>
      </c>
      <c r="F629" s="4">
        <v>10846.491</v>
      </c>
      <c r="G629" s="4">
        <v>10846.491</v>
      </c>
      <c r="H629" s="5">
        <f>499 / 86400</f>
        <v>5.7754629629629631E-3</v>
      </c>
      <c r="I629" t="s">
        <v>37</v>
      </c>
      <c r="J629" t="s">
        <v>37</v>
      </c>
      <c r="K629" s="5">
        <f>504 / 86400</f>
        <v>5.8333333333333336E-3</v>
      </c>
      <c r="L629" s="5">
        <f>21780 / 86400</f>
        <v>0.25208333333333333</v>
      </c>
    </row>
    <row r="630" spans="1:12" x14ac:dyDescent="0.25">
      <c r="A630" s="3">
        <v>45689.257916666669</v>
      </c>
      <c r="B630" t="s">
        <v>127</v>
      </c>
      <c r="C630" s="3">
        <v>45689.329143518524</v>
      </c>
      <c r="D630" t="s">
        <v>382</v>
      </c>
      <c r="E630" s="4">
        <v>30.503</v>
      </c>
      <c r="F630" s="4">
        <v>10846.491</v>
      </c>
      <c r="G630" s="4">
        <v>10876.994000000001</v>
      </c>
      <c r="H630" s="5">
        <f>1760 / 86400</f>
        <v>2.0370370370370372E-2</v>
      </c>
      <c r="I630" t="s">
        <v>129</v>
      </c>
      <c r="J630" t="s">
        <v>23</v>
      </c>
      <c r="K630" s="5">
        <f>6153 / 86400</f>
        <v>7.121527777777778E-2</v>
      </c>
      <c r="L630" s="5">
        <f>42 / 86400</f>
        <v>4.861111111111111E-4</v>
      </c>
    </row>
    <row r="631" spans="1:12" x14ac:dyDescent="0.25">
      <c r="A631" s="3">
        <v>45689.329629629632</v>
      </c>
      <c r="B631" t="s">
        <v>382</v>
      </c>
      <c r="C631" s="3">
        <v>45689.482407407406</v>
      </c>
      <c r="D631" t="s">
        <v>69</v>
      </c>
      <c r="E631" s="4">
        <v>56.024000000000001</v>
      </c>
      <c r="F631" s="4">
        <v>10876.994000000001</v>
      </c>
      <c r="G631" s="4">
        <v>10933.018</v>
      </c>
      <c r="H631" s="5">
        <f>4888 / 86400</f>
        <v>5.6574074074074075E-2</v>
      </c>
      <c r="I631" t="s">
        <v>57</v>
      </c>
      <c r="J631" t="s">
        <v>43</v>
      </c>
      <c r="K631" s="5">
        <f>13200 / 86400</f>
        <v>0.15277777777777779</v>
      </c>
      <c r="L631" s="5">
        <f>120 / 86400</f>
        <v>1.3888888888888889E-3</v>
      </c>
    </row>
    <row r="632" spans="1:12" x14ac:dyDescent="0.25">
      <c r="A632" s="3">
        <v>45689.483796296292</v>
      </c>
      <c r="B632" t="s">
        <v>69</v>
      </c>
      <c r="C632" s="3">
        <v>45689.485081018516</v>
      </c>
      <c r="D632" t="s">
        <v>142</v>
      </c>
      <c r="E632" s="4">
        <v>0.53600000000000003</v>
      </c>
      <c r="F632" s="4">
        <v>10933.018</v>
      </c>
      <c r="G632" s="4">
        <v>10933.554</v>
      </c>
      <c r="H632" s="5">
        <f>0 / 86400</f>
        <v>0</v>
      </c>
      <c r="I632" t="s">
        <v>167</v>
      </c>
      <c r="J632" t="s">
        <v>30</v>
      </c>
      <c r="K632" s="5">
        <f>111 / 86400</f>
        <v>1.2847222222222223E-3</v>
      </c>
      <c r="L632" s="5">
        <f>479 / 86400</f>
        <v>5.5439814814814813E-3</v>
      </c>
    </row>
    <row r="633" spans="1:12" x14ac:dyDescent="0.25">
      <c r="A633" s="3">
        <v>45689.490624999999</v>
      </c>
      <c r="B633" t="s">
        <v>142</v>
      </c>
      <c r="C633" s="3">
        <v>45689.492847222224</v>
      </c>
      <c r="D633" t="s">
        <v>50</v>
      </c>
      <c r="E633" s="4">
        <v>0.23200000000000001</v>
      </c>
      <c r="F633" s="4">
        <v>10933.554</v>
      </c>
      <c r="G633" s="4">
        <v>10933.786</v>
      </c>
      <c r="H633" s="5">
        <f>120 / 86400</f>
        <v>1.3888888888888889E-3</v>
      </c>
      <c r="I633" t="s">
        <v>23</v>
      </c>
      <c r="J633" t="s">
        <v>80</v>
      </c>
      <c r="K633" s="5">
        <f>192 / 86400</f>
        <v>2.2222222222222222E-3</v>
      </c>
      <c r="L633" s="5">
        <f>2329 / 86400</f>
        <v>2.6956018518518518E-2</v>
      </c>
    </row>
    <row r="634" spans="1:12" x14ac:dyDescent="0.25">
      <c r="A634" s="3">
        <v>45689.519803240742</v>
      </c>
      <c r="B634" t="s">
        <v>50</v>
      </c>
      <c r="C634" s="3">
        <v>45689.523587962962</v>
      </c>
      <c r="D634" t="s">
        <v>139</v>
      </c>
      <c r="E634" s="4">
        <v>0.94</v>
      </c>
      <c r="F634" s="4">
        <v>10933.786</v>
      </c>
      <c r="G634" s="4">
        <v>10934.726000000001</v>
      </c>
      <c r="H634" s="5">
        <f>119 / 86400</f>
        <v>1.3773148148148147E-3</v>
      </c>
      <c r="I634" t="s">
        <v>149</v>
      </c>
      <c r="J634" t="s">
        <v>116</v>
      </c>
      <c r="K634" s="5">
        <f>327 / 86400</f>
        <v>3.7847222222222223E-3</v>
      </c>
      <c r="L634" s="5">
        <f>689 / 86400</f>
        <v>7.9745370370370369E-3</v>
      </c>
    </row>
    <row r="635" spans="1:12" x14ac:dyDescent="0.25">
      <c r="A635" s="3">
        <v>45689.5315625</v>
      </c>
      <c r="B635" t="s">
        <v>139</v>
      </c>
      <c r="C635" s="3">
        <v>45689.53392361111</v>
      </c>
      <c r="D635" t="s">
        <v>139</v>
      </c>
      <c r="E635" s="4">
        <v>0.68200000000000005</v>
      </c>
      <c r="F635" s="4">
        <v>10934.726000000001</v>
      </c>
      <c r="G635" s="4">
        <v>10935.407999999999</v>
      </c>
      <c r="H635" s="5">
        <f>0 / 86400</f>
        <v>0</v>
      </c>
      <c r="I635" t="s">
        <v>91</v>
      </c>
      <c r="J635" t="s">
        <v>99</v>
      </c>
      <c r="K635" s="5">
        <f>204 / 86400</f>
        <v>2.3611111111111111E-3</v>
      </c>
      <c r="L635" s="5">
        <f>42 / 86400</f>
        <v>4.861111111111111E-4</v>
      </c>
    </row>
    <row r="636" spans="1:12" x14ac:dyDescent="0.25">
      <c r="A636" s="3">
        <v>45689.534409722226</v>
      </c>
      <c r="B636" t="s">
        <v>139</v>
      </c>
      <c r="C636" s="3">
        <v>45689.69703703704</v>
      </c>
      <c r="D636" t="s">
        <v>109</v>
      </c>
      <c r="E636" s="4">
        <v>58.805999999999997</v>
      </c>
      <c r="F636" s="4">
        <v>10935.407999999999</v>
      </c>
      <c r="G636" s="4">
        <v>10994.214</v>
      </c>
      <c r="H636" s="5">
        <f>6348 / 86400</f>
        <v>7.3472222222222217E-2</v>
      </c>
      <c r="I636" t="s">
        <v>145</v>
      </c>
      <c r="J636" t="s">
        <v>43</v>
      </c>
      <c r="K636" s="5">
        <f>14050 / 86400</f>
        <v>0.16261574074074073</v>
      </c>
      <c r="L636" s="5">
        <f>43 / 86400</f>
        <v>4.9768518518518521E-4</v>
      </c>
    </row>
    <row r="637" spans="1:12" x14ac:dyDescent="0.25">
      <c r="A637" s="3">
        <v>45689.697534722218</v>
      </c>
      <c r="B637" t="s">
        <v>109</v>
      </c>
      <c r="C637" s="3">
        <v>45689.778958333336</v>
      </c>
      <c r="D637" t="s">
        <v>36</v>
      </c>
      <c r="E637" s="4">
        <v>28.734000000000002</v>
      </c>
      <c r="F637" s="4">
        <v>10994.214</v>
      </c>
      <c r="G637" s="4">
        <v>11022.948</v>
      </c>
      <c r="H637" s="5">
        <f>2899 / 86400</f>
        <v>3.3553240740740738E-2</v>
      </c>
      <c r="I637" t="s">
        <v>261</v>
      </c>
      <c r="J637" t="s">
        <v>43</v>
      </c>
      <c r="K637" s="5">
        <f>7034 / 86400</f>
        <v>8.1412037037037033E-2</v>
      </c>
      <c r="L637" s="5">
        <f>157 / 86400</f>
        <v>1.8171296296296297E-3</v>
      </c>
    </row>
    <row r="638" spans="1:12" x14ac:dyDescent="0.25">
      <c r="A638" s="3">
        <v>45689.780775462961</v>
      </c>
      <c r="B638" t="s">
        <v>36</v>
      </c>
      <c r="C638" s="3">
        <v>45689.795752314814</v>
      </c>
      <c r="D638" t="s">
        <v>127</v>
      </c>
      <c r="E638" s="4">
        <v>5.1349999999999998</v>
      </c>
      <c r="F638" s="4">
        <v>11022.948</v>
      </c>
      <c r="G638" s="4">
        <v>11028.083000000001</v>
      </c>
      <c r="H638" s="5">
        <f>553 / 86400</f>
        <v>6.4004629629629628E-3</v>
      </c>
      <c r="I638" t="s">
        <v>161</v>
      </c>
      <c r="J638" t="s">
        <v>51</v>
      </c>
      <c r="K638" s="5">
        <f>1294 / 86400</f>
        <v>1.4976851851851852E-2</v>
      </c>
      <c r="L638" s="5">
        <f>403 / 86400</f>
        <v>4.6643518518518518E-3</v>
      </c>
    </row>
    <row r="639" spans="1:12" x14ac:dyDescent="0.25">
      <c r="A639" s="3">
        <v>45689.800416666665</v>
      </c>
      <c r="B639" t="s">
        <v>127</v>
      </c>
      <c r="C639" s="3">
        <v>45689.804965277777</v>
      </c>
      <c r="D639" t="s">
        <v>24</v>
      </c>
      <c r="E639" s="4">
        <v>0.874</v>
      </c>
      <c r="F639" s="4">
        <v>11028.083000000001</v>
      </c>
      <c r="G639" s="4">
        <v>11028.957</v>
      </c>
      <c r="H639" s="5">
        <f>99 / 86400</f>
        <v>1.1458333333333333E-3</v>
      </c>
      <c r="I639" t="s">
        <v>20</v>
      </c>
      <c r="J639" t="s">
        <v>120</v>
      </c>
      <c r="K639" s="5">
        <f>392 / 86400</f>
        <v>4.5370370370370373E-3</v>
      </c>
      <c r="L639" s="5">
        <f>16850 / 86400</f>
        <v>0.19502314814814814</v>
      </c>
    </row>
    <row r="640" spans="1:12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</row>
    <row r="641" spans="1:12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</row>
    <row r="642" spans="1:12" s="10" customFormat="1" ht="20.100000000000001" customHeight="1" x14ac:dyDescent="0.35">
      <c r="A642" s="15" t="s">
        <v>442</v>
      </c>
      <c r="B642" s="15"/>
      <c r="C642" s="15"/>
      <c r="D642" s="15"/>
      <c r="E642" s="15"/>
      <c r="F642" s="15"/>
      <c r="G642" s="15"/>
      <c r="H642" s="15"/>
      <c r="I642" s="15"/>
      <c r="J642" s="15"/>
    </row>
    <row r="643" spans="1:12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</row>
    <row r="644" spans="1:12" ht="30" x14ac:dyDescent="0.25">
      <c r="A644" s="2" t="s">
        <v>6</v>
      </c>
      <c r="B644" s="2" t="s">
        <v>7</v>
      </c>
      <c r="C644" s="2" t="s">
        <v>8</v>
      </c>
      <c r="D644" s="2" t="s">
        <v>9</v>
      </c>
      <c r="E644" s="2" t="s">
        <v>10</v>
      </c>
      <c r="F644" s="2" t="s">
        <v>11</v>
      </c>
      <c r="G644" s="2" t="s">
        <v>12</v>
      </c>
      <c r="H644" s="2" t="s">
        <v>13</v>
      </c>
      <c r="I644" s="2" t="s">
        <v>14</v>
      </c>
      <c r="J644" s="2" t="s">
        <v>15</v>
      </c>
      <c r="K644" s="2" t="s">
        <v>16</v>
      </c>
      <c r="L644" s="2" t="s">
        <v>17</v>
      </c>
    </row>
    <row r="645" spans="1:12" x14ac:dyDescent="0.25">
      <c r="A645" s="3">
        <v>45689.24690972222</v>
      </c>
      <c r="B645" t="s">
        <v>24</v>
      </c>
      <c r="C645" s="3">
        <v>45689.249444444446</v>
      </c>
      <c r="D645" t="s">
        <v>24</v>
      </c>
      <c r="E645" s="4">
        <v>0</v>
      </c>
      <c r="F645" s="4">
        <v>3849.2049999999999</v>
      </c>
      <c r="G645" s="4">
        <v>3849.2049999999999</v>
      </c>
      <c r="H645" s="5">
        <f>199 / 86400</f>
        <v>2.3032407407407407E-3</v>
      </c>
      <c r="I645" t="s">
        <v>37</v>
      </c>
      <c r="J645" t="s">
        <v>37</v>
      </c>
      <c r="K645" s="5">
        <f>219 / 86400</f>
        <v>2.5347222222222221E-3</v>
      </c>
      <c r="L645" s="5">
        <f>22561 / 86400</f>
        <v>0.26112268518518517</v>
      </c>
    </row>
    <row r="646" spans="1:12" x14ac:dyDescent="0.25">
      <c r="A646" s="3">
        <v>45689.263657407406</v>
      </c>
      <c r="B646" t="s">
        <v>24</v>
      </c>
      <c r="C646" s="3">
        <v>45689.531446759254</v>
      </c>
      <c r="D646" t="s">
        <v>69</v>
      </c>
      <c r="E646" s="4">
        <v>84.007999999999996</v>
      </c>
      <c r="F646" s="4">
        <v>3849.2049999999999</v>
      </c>
      <c r="G646" s="4">
        <v>3933.2130000000002</v>
      </c>
      <c r="H646" s="5">
        <f>10959 / 86400</f>
        <v>0.12684027777777779</v>
      </c>
      <c r="I646" t="s">
        <v>25</v>
      </c>
      <c r="J646" t="s">
        <v>31</v>
      </c>
      <c r="K646" s="5">
        <f>23137 / 86400</f>
        <v>0.26778935185185188</v>
      </c>
      <c r="L646" s="5">
        <f>38 / 86400</f>
        <v>4.3981481481481481E-4</v>
      </c>
    </row>
    <row r="647" spans="1:12" x14ac:dyDescent="0.25">
      <c r="A647" s="3">
        <v>45689.53188657407</v>
      </c>
      <c r="B647" t="s">
        <v>69</v>
      </c>
      <c r="C647" s="3">
        <v>45689.532592592594</v>
      </c>
      <c r="D647" t="s">
        <v>69</v>
      </c>
      <c r="E647" s="4">
        <v>0</v>
      </c>
      <c r="F647" s="4">
        <v>3933.2130000000002</v>
      </c>
      <c r="G647" s="4">
        <v>3933.2130000000002</v>
      </c>
      <c r="H647" s="5">
        <f>39 / 86400</f>
        <v>4.5138888888888887E-4</v>
      </c>
      <c r="I647" t="s">
        <v>37</v>
      </c>
      <c r="J647" t="s">
        <v>37</v>
      </c>
      <c r="K647" s="5">
        <f>60 / 86400</f>
        <v>6.9444444444444447E-4</v>
      </c>
      <c r="L647" s="5">
        <f>669 / 86400</f>
        <v>7.743055555555556E-3</v>
      </c>
    </row>
    <row r="648" spans="1:12" x14ac:dyDescent="0.25">
      <c r="A648" s="3">
        <v>45689.540335648147</v>
      </c>
      <c r="B648" t="s">
        <v>69</v>
      </c>
      <c r="C648" s="3">
        <v>45689.543009259258</v>
      </c>
      <c r="D648" t="s">
        <v>69</v>
      </c>
      <c r="E648" s="4">
        <v>0.158</v>
      </c>
      <c r="F648" s="4">
        <v>3933.2130000000002</v>
      </c>
      <c r="G648" s="4">
        <v>3933.3710000000001</v>
      </c>
      <c r="H648" s="5">
        <f>139 / 86400</f>
        <v>1.6087962962962963E-3</v>
      </c>
      <c r="I648" t="s">
        <v>85</v>
      </c>
      <c r="J648" t="s">
        <v>133</v>
      </c>
      <c r="K648" s="5">
        <f>231 / 86400</f>
        <v>2.673611111111111E-3</v>
      </c>
      <c r="L648" s="5">
        <f>88 / 86400</f>
        <v>1.0185185185185184E-3</v>
      </c>
    </row>
    <row r="649" spans="1:12" x14ac:dyDescent="0.25">
      <c r="A649" s="3">
        <v>45689.544027777782</v>
      </c>
      <c r="B649" t="s">
        <v>69</v>
      </c>
      <c r="C649" s="3">
        <v>45689.548726851848</v>
      </c>
      <c r="D649" t="s">
        <v>106</v>
      </c>
      <c r="E649" s="4">
        <v>0.63900000000000001</v>
      </c>
      <c r="F649" s="4">
        <v>3933.3710000000001</v>
      </c>
      <c r="G649" s="4">
        <v>3934.01</v>
      </c>
      <c r="H649" s="5">
        <f>159 / 86400</f>
        <v>1.8402777777777777E-3</v>
      </c>
      <c r="I649" t="s">
        <v>141</v>
      </c>
      <c r="J649" t="s">
        <v>92</v>
      </c>
      <c r="K649" s="5">
        <f>405 / 86400</f>
        <v>4.6874999999999998E-3</v>
      </c>
      <c r="L649" s="5">
        <f>3339 / 86400</f>
        <v>3.8645833333333331E-2</v>
      </c>
    </row>
    <row r="650" spans="1:12" x14ac:dyDescent="0.25">
      <c r="A650" s="3">
        <v>45689.587372685186</v>
      </c>
      <c r="B650" t="s">
        <v>106</v>
      </c>
      <c r="C650" s="3">
        <v>45689.587870370371</v>
      </c>
      <c r="D650" t="s">
        <v>106</v>
      </c>
      <c r="E650" s="4">
        <v>0</v>
      </c>
      <c r="F650" s="4">
        <v>3934.01</v>
      </c>
      <c r="G650" s="4">
        <v>3934.01</v>
      </c>
      <c r="H650" s="5">
        <f>39 / 86400</f>
        <v>4.5138888888888887E-4</v>
      </c>
      <c r="I650" t="s">
        <v>37</v>
      </c>
      <c r="J650" t="s">
        <v>37</v>
      </c>
      <c r="K650" s="5">
        <f>43 / 86400</f>
        <v>4.9768518518518521E-4</v>
      </c>
      <c r="L650" s="5">
        <f>5559 / 86400</f>
        <v>6.4340277777777774E-2</v>
      </c>
    </row>
    <row r="651" spans="1:12" x14ac:dyDescent="0.25">
      <c r="A651" s="3">
        <v>45689.65221064815</v>
      </c>
      <c r="B651" t="s">
        <v>106</v>
      </c>
      <c r="C651" s="3">
        <v>45689.653124999997</v>
      </c>
      <c r="D651" t="s">
        <v>106</v>
      </c>
      <c r="E651" s="4">
        <v>0</v>
      </c>
      <c r="F651" s="4">
        <v>3934.01</v>
      </c>
      <c r="G651" s="4">
        <v>3934.01</v>
      </c>
      <c r="H651" s="5">
        <f>59 / 86400</f>
        <v>6.8287037037037036E-4</v>
      </c>
      <c r="I651" t="s">
        <v>37</v>
      </c>
      <c r="J651" t="s">
        <v>37</v>
      </c>
      <c r="K651" s="5">
        <f>79 / 86400</f>
        <v>9.1435185185185185E-4</v>
      </c>
      <c r="L651" s="5">
        <f>1264 / 86400</f>
        <v>1.462962962962963E-2</v>
      </c>
    </row>
    <row r="652" spans="1:12" x14ac:dyDescent="0.25">
      <c r="A652" s="3">
        <v>45689.667754629627</v>
      </c>
      <c r="B652" t="s">
        <v>106</v>
      </c>
      <c r="C652" s="3">
        <v>45689.674490740741</v>
      </c>
      <c r="D652" t="s">
        <v>117</v>
      </c>
      <c r="E652" s="4">
        <v>0.70099999999999996</v>
      </c>
      <c r="F652" s="4">
        <v>3934.01</v>
      </c>
      <c r="G652" s="4">
        <v>3934.7109999999998</v>
      </c>
      <c r="H652" s="5">
        <f>299 / 86400</f>
        <v>3.460648148148148E-3</v>
      </c>
      <c r="I652" t="s">
        <v>62</v>
      </c>
      <c r="J652" t="s">
        <v>80</v>
      </c>
      <c r="K652" s="5">
        <f>581 / 86400</f>
        <v>6.7245370370370367E-3</v>
      </c>
      <c r="L652" s="5">
        <f>722 / 86400</f>
        <v>8.3564814814814821E-3</v>
      </c>
    </row>
    <row r="653" spans="1:12" x14ac:dyDescent="0.25">
      <c r="A653" s="3">
        <v>45689.682847222226</v>
      </c>
      <c r="B653" t="s">
        <v>117</v>
      </c>
      <c r="C653" s="3">
        <v>45689.95921296296</v>
      </c>
      <c r="D653" t="s">
        <v>127</v>
      </c>
      <c r="E653" s="4">
        <v>85.405000000000001</v>
      </c>
      <c r="F653" s="4">
        <v>3934.7109999999998</v>
      </c>
      <c r="G653" s="4">
        <v>4020.116</v>
      </c>
      <c r="H653" s="5">
        <f>11599 / 86400</f>
        <v>0.13424768518518518</v>
      </c>
      <c r="I653" t="s">
        <v>25</v>
      </c>
      <c r="J653" t="s">
        <v>31</v>
      </c>
      <c r="K653" s="5">
        <f>23877 / 86400</f>
        <v>0.27635416666666668</v>
      </c>
      <c r="L653" s="5">
        <f>354 / 86400</f>
        <v>4.0972222222222226E-3</v>
      </c>
    </row>
    <row r="654" spans="1:12" x14ac:dyDescent="0.25">
      <c r="A654" s="3">
        <v>45689.963310185187</v>
      </c>
      <c r="B654" t="s">
        <v>127</v>
      </c>
      <c r="C654" s="3">
        <v>45689.968472222223</v>
      </c>
      <c r="D654" t="s">
        <v>24</v>
      </c>
      <c r="E654" s="4">
        <v>0.45600000000000002</v>
      </c>
      <c r="F654" s="4">
        <v>4020.116</v>
      </c>
      <c r="G654" s="4">
        <v>4020.5720000000001</v>
      </c>
      <c r="H654" s="5">
        <f>300 / 86400</f>
        <v>3.472222222222222E-3</v>
      </c>
      <c r="I654" t="s">
        <v>23</v>
      </c>
      <c r="J654" t="s">
        <v>80</v>
      </c>
      <c r="K654" s="5">
        <f>446 / 86400</f>
        <v>5.162037037037037E-3</v>
      </c>
      <c r="L654" s="5">
        <f>2723 / 86400</f>
        <v>3.1516203703703706E-2</v>
      </c>
    </row>
    <row r="655" spans="1:12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</row>
    <row r="656" spans="1:1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</row>
    <row r="657" spans="1:12" s="10" customFormat="1" ht="20.100000000000001" customHeight="1" x14ac:dyDescent="0.35">
      <c r="A657" s="15" t="s">
        <v>443</v>
      </c>
      <c r="B657" s="15"/>
      <c r="C657" s="15"/>
      <c r="D657" s="15"/>
      <c r="E657" s="15"/>
      <c r="F657" s="15"/>
      <c r="G657" s="15"/>
      <c r="H657" s="15"/>
      <c r="I657" s="15"/>
      <c r="J657" s="15"/>
    </row>
    <row r="658" spans="1:1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</row>
    <row r="659" spans="1:12" ht="30" x14ac:dyDescent="0.25">
      <c r="A659" s="2" t="s">
        <v>6</v>
      </c>
      <c r="B659" s="2" t="s">
        <v>7</v>
      </c>
      <c r="C659" s="2" t="s">
        <v>8</v>
      </c>
      <c r="D659" s="2" t="s">
        <v>9</v>
      </c>
      <c r="E659" s="2" t="s">
        <v>10</v>
      </c>
      <c r="F659" s="2" t="s">
        <v>11</v>
      </c>
      <c r="G659" s="2" t="s">
        <v>12</v>
      </c>
      <c r="H659" s="2" t="s">
        <v>13</v>
      </c>
      <c r="I659" s="2" t="s">
        <v>14</v>
      </c>
      <c r="J659" s="2" t="s">
        <v>15</v>
      </c>
      <c r="K659" s="2" t="s">
        <v>16</v>
      </c>
      <c r="L659" s="2" t="s">
        <v>17</v>
      </c>
    </row>
    <row r="660" spans="1:12" x14ac:dyDescent="0.25">
      <c r="A660" s="3">
        <v>45689.213368055556</v>
      </c>
      <c r="B660" t="s">
        <v>36</v>
      </c>
      <c r="C660" s="3">
        <v>45689.434687500005</v>
      </c>
      <c r="D660" t="s">
        <v>146</v>
      </c>
      <c r="E660" s="4">
        <v>88.968999999999994</v>
      </c>
      <c r="F660" s="4">
        <v>385056.99099999998</v>
      </c>
      <c r="G660" s="4">
        <v>385145.96</v>
      </c>
      <c r="H660" s="5">
        <f>6057 / 86400</f>
        <v>7.0104166666666662E-2</v>
      </c>
      <c r="I660" t="s">
        <v>58</v>
      </c>
      <c r="J660" t="s">
        <v>30</v>
      </c>
      <c r="K660" s="5">
        <f>19122 / 86400</f>
        <v>0.22131944444444446</v>
      </c>
      <c r="L660" s="5">
        <f>19206 / 86400</f>
        <v>0.22229166666666667</v>
      </c>
    </row>
    <row r="661" spans="1:12" x14ac:dyDescent="0.25">
      <c r="A661" s="3">
        <v>45689.443611111114</v>
      </c>
      <c r="B661" t="s">
        <v>146</v>
      </c>
      <c r="C661" s="3">
        <v>45689.447893518518</v>
      </c>
      <c r="D661" t="s">
        <v>137</v>
      </c>
      <c r="E661" s="4">
        <v>1.327</v>
      </c>
      <c r="F661" s="4">
        <v>385145.96</v>
      </c>
      <c r="G661" s="4">
        <v>385147.28700000001</v>
      </c>
      <c r="H661" s="5">
        <f>60 / 86400</f>
        <v>6.9444444444444447E-4</v>
      </c>
      <c r="I661" t="s">
        <v>214</v>
      </c>
      <c r="J661" t="s">
        <v>31</v>
      </c>
      <c r="K661" s="5">
        <f>370 / 86400</f>
        <v>4.2824074074074075E-3</v>
      </c>
      <c r="L661" s="5">
        <f>3529 / 86400</f>
        <v>4.0844907407407406E-2</v>
      </c>
    </row>
    <row r="662" spans="1:12" x14ac:dyDescent="0.25">
      <c r="A662" s="3">
        <v>45689.488738425927</v>
      </c>
      <c r="B662" t="s">
        <v>137</v>
      </c>
      <c r="C662" s="3">
        <v>45689.59983796296</v>
      </c>
      <c r="D662" t="s">
        <v>383</v>
      </c>
      <c r="E662" s="4">
        <v>47.29</v>
      </c>
      <c r="F662" s="4">
        <v>385147.28700000001</v>
      </c>
      <c r="G662" s="4">
        <v>385194.57699999999</v>
      </c>
      <c r="H662" s="5">
        <f>2961 / 86400</f>
        <v>3.4270833333333334E-2</v>
      </c>
      <c r="I662" t="s">
        <v>118</v>
      </c>
      <c r="J662" t="s">
        <v>23</v>
      </c>
      <c r="K662" s="5">
        <f>9599 / 86400</f>
        <v>0.11109953703703704</v>
      </c>
      <c r="L662" s="5">
        <f>79 / 86400</f>
        <v>9.1435185185185185E-4</v>
      </c>
    </row>
    <row r="663" spans="1:12" x14ac:dyDescent="0.25">
      <c r="A663" s="3">
        <v>45689.600752314815</v>
      </c>
      <c r="B663" t="s">
        <v>383</v>
      </c>
      <c r="C663" s="3">
        <v>45689.774479166663</v>
      </c>
      <c r="D663" t="s">
        <v>150</v>
      </c>
      <c r="E663" s="4">
        <v>64.328000000000003</v>
      </c>
      <c r="F663" s="4">
        <v>385194.57699999999</v>
      </c>
      <c r="G663" s="4">
        <v>385258.90500000003</v>
      </c>
      <c r="H663" s="5">
        <f>5140 / 86400</f>
        <v>5.949074074074074E-2</v>
      </c>
      <c r="I663" t="s">
        <v>70</v>
      </c>
      <c r="J663" t="s">
        <v>43</v>
      </c>
      <c r="K663" s="5">
        <f>15009 / 86400</f>
        <v>0.17371527777777779</v>
      </c>
      <c r="L663" s="5">
        <f>343 / 86400</f>
        <v>3.9699074074074072E-3</v>
      </c>
    </row>
    <row r="664" spans="1:12" x14ac:dyDescent="0.25">
      <c r="A664" s="3">
        <v>45689.778449074074</v>
      </c>
      <c r="B664" t="s">
        <v>150</v>
      </c>
      <c r="C664" s="3">
        <v>45689.785578703704</v>
      </c>
      <c r="D664" t="s">
        <v>36</v>
      </c>
      <c r="E664" s="4">
        <v>0.69899999999999995</v>
      </c>
      <c r="F664" s="4">
        <v>385258.90500000003</v>
      </c>
      <c r="G664" s="4">
        <v>385259.60399999999</v>
      </c>
      <c r="H664" s="5">
        <f>380 / 86400</f>
        <v>4.3981481481481484E-3</v>
      </c>
      <c r="I664" t="s">
        <v>141</v>
      </c>
      <c r="J664" t="s">
        <v>80</v>
      </c>
      <c r="K664" s="5">
        <f>615 / 86400</f>
        <v>7.1180555555555554E-3</v>
      </c>
      <c r="L664" s="5">
        <f>18525 / 86400</f>
        <v>0.21440972222222221</v>
      </c>
    </row>
    <row r="665" spans="1:12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</row>
    <row r="666" spans="1:12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</row>
    <row r="667" spans="1:12" s="10" customFormat="1" ht="20.100000000000001" customHeight="1" x14ac:dyDescent="0.35">
      <c r="A667" s="15" t="s">
        <v>444</v>
      </c>
      <c r="B667" s="15"/>
      <c r="C667" s="15"/>
      <c r="D667" s="15"/>
      <c r="E667" s="15"/>
      <c r="F667" s="15"/>
      <c r="G667" s="15"/>
      <c r="H667" s="15"/>
      <c r="I667" s="15"/>
      <c r="J667" s="15"/>
    </row>
    <row r="668" spans="1:12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</row>
    <row r="669" spans="1:12" ht="30" x14ac:dyDescent="0.25">
      <c r="A669" s="2" t="s">
        <v>6</v>
      </c>
      <c r="B669" s="2" t="s">
        <v>7</v>
      </c>
      <c r="C669" s="2" t="s">
        <v>8</v>
      </c>
      <c r="D669" s="2" t="s">
        <v>9</v>
      </c>
      <c r="E669" s="2" t="s">
        <v>10</v>
      </c>
      <c r="F669" s="2" t="s">
        <v>11</v>
      </c>
      <c r="G669" s="2" t="s">
        <v>12</v>
      </c>
      <c r="H669" s="2" t="s">
        <v>13</v>
      </c>
      <c r="I669" s="2" t="s">
        <v>14</v>
      </c>
      <c r="J669" s="2" t="s">
        <v>15</v>
      </c>
      <c r="K669" s="2" t="s">
        <v>16</v>
      </c>
      <c r="L669" s="2" t="s">
        <v>17</v>
      </c>
    </row>
    <row r="670" spans="1:12" x14ac:dyDescent="0.25">
      <c r="A670" s="3">
        <v>45689.29105324074</v>
      </c>
      <c r="B670" t="s">
        <v>59</v>
      </c>
      <c r="C670" s="3">
        <v>45689.304189814815</v>
      </c>
      <c r="D670" t="s">
        <v>213</v>
      </c>
      <c r="E670" s="4">
        <v>2.242</v>
      </c>
      <c r="F670" s="4">
        <v>390593.63699999999</v>
      </c>
      <c r="G670" s="4">
        <v>390595.87900000002</v>
      </c>
      <c r="H670" s="5">
        <f>659 / 86400</f>
        <v>7.6273148148148151E-3</v>
      </c>
      <c r="I670" t="s">
        <v>254</v>
      </c>
      <c r="J670" t="s">
        <v>126</v>
      </c>
      <c r="K670" s="5">
        <f>1134 / 86400</f>
        <v>1.3125E-2</v>
      </c>
      <c r="L670" s="5">
        <f>25279 / 86400</f>
        <v>0.29258101851851853</v>
      </c>
    </row>
    <row r="671" spans="1:12" x14ac:dyDescent="0.25">
      <c r="A671" s="3">
        <v>45689.305717592593</v>
      </c>
      <c r="B671" t="s">
        <v>213</v>
      </c>
      <c r="C671" s="3">
        <v>45689.356678240743</v>
      </c>
      <c r="D671" t="s">
        <v>139</v>
      </c>
      <c r="E671" s="4">
        <v>30.052</v>
      </c>
      <c r="F671" s="4">
        <v>390595.87900000002</v>
      </c>
      <c r="G671" s="4">
        <v>390625.93099999998</v>
      </c>
      <c r="H671" s="5">
        <f>1119 / 86400</f>
        <v>1.2951388888888889E-2</v>
      </c>
      <c r="I671" t="s">
        <v>60</v>
      </c>
      <c r="J671" t="s">
        <v>123</v>
      </c>
      <c r="K671" s="5">
        <f>4403 / 86400</f>
        <v>5.0960648148148151E-2</v>
      </c>
      <c r="L671" s="5">
        <f>1100 / 86400</f>
        <v>1.2731481481481481E-2</v>
      </c>
    </row>
    <row r="672" spans="1:12" x14ac:dyDescent="0.25">
      <c r="A672" s="3">
        <v>45689.369409722218</v>
      </c>
      <c r="B672" t="s">
        <v>139</v>
      </c>
      <c r="C672" s="3">
        <v>45689.372314814813</v>
      </c>
      <c r="D672" t="s">
        <v>69</v>
      </c>
      <c r="E672" s="4">
        <v>1.1100000000000001</v>
      </c>
      <c r="F672" s="4">
        <v>390625.93099999998</v>
      </c>
      <c r="G672" s="4">
        <v>390627.04100000003</v>
      </c>
      <c r="H672" s="5">
        <f>39 / 86400</f>
        <v>4.5138888888888887E-4</v>
      </c>
      <c r="I672" t="s">
        <v>91</v>
      </c>
      <c r="J672" t="s">
        <v>26</v>
      </c>
      <c r="K672" s="5">
        <f>251 / 86400</f>
        <v>2.9050925925925928E-3</v>
      </c>
      <c r="L672" s="5">
        <f>191 / 86400</f>
        <v>2.2106481481481482E-3</v>
      </c>
    </row>
    <row r="673" spans="1:12" x14ac:dyDescent="0.25">
      <c r="A673" s="3">
        <v>45689.374525462961</v>
      </c>
      <c r="B673" t="s">
        <v>69</v>
      </c>
      <c r="C673" s="3">
        <v>45689.374560185184</v>
      </c>
      <c r="D673" t="s">
        <v>69</v>
      </c>
      <c r="E673" s="4">
        <v>0</v>
      </c>
      <c r="F673" s="4">
        <v>390627.04100000003</v>
      </c>
      <c r="G673" s="4">
        <v>390627.04100000003</v>
      </c>
      <c r="H673" s="5">
        <f>0 / 86400</f>
        <v>0</v>
      </c>
      <c r="I673" t="s">
        <v>37</v>
      </c>
      <c r="J673" t="s">
        <v>37</v>
      </c>
      <c r="K673" s="5">
        <f>2 / 86400</f>
        <v>2.3148148148148147E-5</v>
      </c>
      <c r="L673" s="5">
        <f>19 / 86400</f>
        <v>2.199074074074074E-4</v>
      </c>
    </row>
    <row r="674" spans="1:12" x14ac:dyDescent="0.25">
      <c r="A674" s="3">
        <v>45689.374780092592</v>
      </c>
      <c r="B674" t="s">
        <v>69</v>
      </c>
      <c r="C674" s="3">
        <v>45689.375300925924</v>
      </c>
      <c r="D674" t="s">
        <v>117</v>
      </c>
      <c r="E674" s="4">
        <v>5.3999999999999999E-2</v>
      </c>
      <c r="F674" s="4">
        <v>390627.04100000003</v>
      </c>
      <c r="G674" s="4">
        <v>390627.09499999997</v>
      </c>
      <c r="H674" s="5">
        <f>0 / 86400</f>
        <v>0</v>
      </c>
      <c r="I674" t="s">
        <v>99</v>
      </c>
      <c r="J674" t="s">
        <v>80</v>
      </c>
      <c r="K674" s="5">
        <f>45 / 86400</f>
        <v>5.2083333333333333E-4</v>
      </c>
      <c r="L674" s="5">
        <f>941 / 86400</f>
        <v>1.0891203703703703E-2</v>
      </c>
    </row>
    <row r="675" spans="1:12" x14ac:dyDescent="0.25">
      <c r="A675" s="3">
        <v>45689.386192129634</v>
      </c>
      <c r="B675" t="s">
        <v>117</v>
      </c>
      <c r="C675" s="3">
        <v>45689.508136574077</v>
      </c>
      <c r="D675" t="s">
        <v>148</v>
      </c>
      <c r="E675" s="4">
        <v>51.143000000000001</v>
      </c>
      <c r="F675" s="4">
        <v>390627.09499999997</v>
      </c>
      <c r="G675" s="4">
        <v>390678.23800000001</v>
      </c>
      <c r="H675" s="5">
        <f>3619 / 86400</f>
        <v>4.1886574074074076E-2</v>
      </c>
      <c r="I675" t="s">
        <v>60</v>
      </c>
      <c r="J675" t="s">
        <v>30</v>
      </c>
      <c r="K675" s="5">
        <f>10535 / 86400</f>
        <v>0.12193287037037037</v>
      </c>
      <c r="L675" s="5">
        <f>1247 / 86400</f>
        <v>1.443287037037037E-2</v>
      </c>
    </row>
    <row r="676" spans="1:12" x14ac:dyDescent="0.25">
      <c r="A676" s="3">
        <v>45689.522569444445</v>
      </c>
      <c r="B676" t="s">
        <v>148</v>
      </c>
      <c r="C676" s="3">
        <v>45689.653287037036</v>
      </c>
      <c r="D676" t="s">
        <v>69</v>
      </c>
      <c r="E676" s="4">
        <v>50.198</v>
      </c>
      <c r="F676" s="4">
        <v>390678.23800000001</v>
      </c>
      <c r="G676" s="4">
        <v>390728.43599999999</v>
      </c>
      <c r="H676" s="5">
        <f>3872 / 86400</f>
        <v>4.4814814814814814E-2</v>
      </c>
      <c r="I676" t="s">
        <v>145</v>
      </c>
      <c r="J676" t="s">
        <v>26</v>
      </c>
      <c r="K676" s="5">
        <f>11293 / 86400</f>
        <v>0.13070601851851851</v>
      </c>
      <c r="L676" s="5">
        <f>1912 / 86400</f>
        <v>2.2129629629629631E-2</v>
      </c>
    </row>
    <row r="677" spans="1:12" x14ac:dyDescent="0.25">
      <c r="A677" s="3">
        <v>45689.675416666665</v>
      </c>
      <c r="B677" t="s">
        <v>69</v>
      </c>
      <c r="C677" s="3">
        <v>45689.677708333329</v>
      </c>
      <c r="D677" t="s">
        <v>142</v>
      </c>
      <c r="E677" s="4">
        <v>0.76</v>
      </c>
      <c r="F677" s="4">
        <v>390728.43599999999</v>
      </c>
      <c r="G677" s="4">
        <v>390729.196</v>
      </c>
      <c r="H677" s="5">
        <f>0 / 86400</f>
        <v>0</v>
      </c>
      <c r="I677" t="s">
        <v>206</v>
      </c>
      <c r="J677" t="s">
        <v>51</v>
      </c>
      <c r="K677" s="5">
        <f>198 / 86400</f>
        <v>2.2916666666666667E-3</v>
      </c>
      <c r="L677" s="5">
        <f>2332 / 86400</f>
        <v>2.6990740740740742E-2</v>
      </c>
    </row>
    <row r="678" spans="1:12" x14ac:dyDescent="0.25">
      <c r="A678" s="3">
        <v>45689.704699074078</v>
      </c>
      <c r="B678" t="s">
        <v>142</v>
      </c>
      <c r="C678" s="3">
        <v>45689.910590277781</v>
      </c>
      <c r="D678" t="s">
        <v>384</v>
      </c>
      <c r="E678" s="4">
        <v>80.156000000000006</v>
      </c>
      <c r="F678" s="4">
        <v>390729.196</v>
      </c>
      <c r="G678" s="4">
        <v>390809.35200000001</v>
      </c>
      <c r="H678" s="5">
        <f>7120 / 86400</f>
        <v>8.2407407407407401E-2</v>
      </c>
      <c r="I678" t="s">
        <v>58</v>
      </c>
      <c r="J678" t="s">
        <v>26</v>
      </c>
      <c r="K678" s="5">
        <f>17789 / 86400</f>
        <v>0.2058912037037037</v>
      </c>
      <c r="L678" s="5">
        <f>180 / 86400</f>
        <v>2.0833333333333333E-3</v>
      </c>
    </row>
    <row r="679" spans="1:12" x14ac:dyDescent="0.25">
      <c r="A679" s="3">
        <v>45689.912673611107</v>
      </c>
      <c r="B679" t="s">
        <v>384</v>
      </c>
      <c r="C679" s="3">
        <v>45689.925509259258</v>
      </c>
      <c r="D679" t="s">
        <v>385</v>
      </c>
      <c r="E679" s="4">
        <v>9.4860000000000007</v>
      </c>
      <c r="F679" s="4">
        <v>390809.35200000001</v>
      </c>
      <c r="G679" s="4">
        <v>390818.83799999999</v>
      </c>
      <c r="H679" s="5">
        <f>319 / 86400</f>
        <v>3.6921296296296298E-3</v>
      </c>
      <c r="I679" t="s">
        <v>136</v>
      </c>
      <c r="J679" t="s">
        <v>151</v>
      </c>
      <c r="K679" s="5">
        <f>1108 / 86400</f>
        <v>1.2824074074074075E-2</v>
      </c>
      <c r="L679" s="5">
        <f>2278 / 86400</f>
        <v>2.6365740740740742E-2</v>
      </c>
    </row>
    <row r="680" spans="1:12" x14ac:dyDescent="0.25">
      <c r="A680" s="3">
        <v>45689.951874999999</v>
      </c>
      <c r="B680" t="s">
        <v>385</v>
      </c>
      <c r="C680" s="3">
        <v>45689.97792824074</v>
      </c>
      <c r="D680" t="s">
        <v>59</v>
      </c>
      <c r="E680" s="4">
        <v>8.2609999999999992</v>
      </c>
      <c r="F680" s="4">
        <v>390818.83799999999</v>
      </c>
      <c r="G680" s="4">
        <v>390827.09899999999</v>
      </c>
      <c r="H680" s="5">
        <f>999 / 86400</f>
        <v>1.15625E-2</v>
      </c>
      <c r="I680" t="s">
        <v>25</v>
      </c>
      <c r="J680" t="s">
        <v>31</v>
      </c>
      <c r="K680" s="5">
        <f>2251 / 86400</f>
        <v>2.6053240740740741E-2</v>
      </c>
      <c r="L680" s="5">
        <f>1906 / 86400</f>
        <v>2.2060185185185186E-2</v>
      </c>
    </row>
    <row r="681" spans="1:12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</row>
    <row r="682" spans="1:12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</row>
    <row r="683" spans="1:12" s="10" customFormat="1" ht="20.100000000000001" customHeight="1" x14ac:dyDescent="0.35">
      <c r="A683" s="15" t="s">
        <v>445</v>
      </c>
      <c r="B683" s="15"/>
      <c r="C683" s="15"/>
      <c r="D683" s="15"/>
      <c r="E683" s="15"/>
      <c r="F683" s="15"/>
      <c r="G683" s="15"/>
      <c r="H683" s="15"/>
      <c r="I683" s="15"/>
      <c r="J683" s="15"/>
    </row>
    <row r="684" spans="1:1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</row>
    <row r="685" spans="1:12" ht="30" x14ac:dyDescent="0.25">
      <c r="A685" s="2" t="s">
        <v>6</v>
      </c>
      <c r="B685" s="2" t="s">
        <v>7</v>
      </c>
      <c r="C685" s="2" t="s">
        <v>8</v>
      </c>
      <c r="D685" s="2" t="s">
        <v>9</v>
      </c>
      <c r="E685" s="2" t="s">
        <v>10</v>
      </c>
      <c r="F685" s="2" t="s">
        <v>11</v>
      </c>
      <c r="G685" s="2" t="s">
        <v>12</v>
      </c>
      <c r="H685" s="2" t="s">
        <v>13</v>
      </c>
      <c r="I685" s="2" t="s">
        <v>14</v>
      </c>
      <c r="J685" s="2" t="s">
        <v>15</v>
      </c>
      <c r="K685" s="2" t="s">
        <v>16</v>
      </c>
      <c r="L685" s="2" t="s">
        <v>17</v>
      </c>
    </row>
    <row r="686" spans="1:12" x14ac:dyDescent="0.25">
      <c r="A686" s="3">
        <v>45689.146886574075</v>
      </c>
      <c r="B686" t="s">
        <v>61</v>
      </c>
      <c r="C686" s="3">
        <v>45689.31318287037</v>
      </c>
      <c r="D686" t="s">
        <v>137</v>
      </c>
      <c r="E686" s="4">
        <v>96.866</v>
      </c>
      <c r="F686" s="4">
        <v>520735.886</v>
      </c>
      <c r="G686" s="4">
        <v>520832.75199999998</v>
      </c>
      <c r="H686" s="5">
        <f>3379 / 86400</f>
        <v>3.9108796296296294E-2</v>
      </c>
      <c r="I686" t="s">
        <v>188</v>
      </c>
      <c r="J686" t="s">
        <v>125</v>
      </c>
      <c r="K686" s="5">
        <f>14367 / 86400</f>
        <v>0.16628472222222221</v>
      </c>
      <c r="L686" s="5">
        <f>14169 / 86400</f>
        <v>0.16399305555555554</v>
      </c>
    </row>
    <row r="687" spans="1:12" x14ac:dyDescent="0.25">
      <c r="A687" s="3">
        <v>45689.330289351856</v>
      </c>
      <c r="B687" t="s">
        <v>137</v>
      </c>
      <c r="C687" s="3">
        <v>45689.587754629625</v>
      </c>
      <c r="D687" t="s">
        <v>69</v>
      </c>
      <c r="E687" s="4">
        <v>101.459</v>
      </c>
      <c r="F687" s="4">
        <v>520832.75199999998</v>
      </c>
      <c r="G687" s="4">
        <v>520934.21100000001</v>
      </c>
      <c r="H687" s="5">
        <f>7357 / 86400</f>
        <v>8.5150462962962969E-2</v>
      </c>
      <c r="I687" t="s">
        <v>40</v>
      </c>
      <c r="J687" t="s">
        <v>26</v>
      </c>
      <c r="K687" s="5">
        <f>22245 / 86400</f>
        <v>0.25746527777777778</v>
      </c>
      <c r="L687" s="5">
        <f>11287 / 86400</f>
        <v>0.13063657407407409</v>
      </c>
    </row>
    <row r="688" spans="1:12" x14ac:dyDescent="0.25">
      <c r="A688" s="3">
        <v>45689.7183912037</v>
      </c>
      <c r="B688" t="s">
        <v>69</v>
      </c>
      <c r="C688" s="3">
        <v>45689.719097222223</v>
      </c>
      <c r="D688" t="s">
        <v>69</v>
      </c>
      <c r="E688" s="4">
        <v>0</v>
      </c>
      <c r="F688" s="4">
        <v>520934.21100000001</v>
      </c>
      <c r="G688" s="4">
        <v>520934.21100000001</v>
      </c>
      <c r="H688" s="5">
        <f>59 / 86400</f>
        <v>6.8287037037037036E-4</v>
      </c>
      <c r="I688" t="s">
        <v>37</v>
      </c>
      <c r="J688" t="s">
        <v>37</v>
      </c>
      <c r="K688" s="5">
        <f>61 / 86400</f>
        <v>7.0601851851851847E-4</v>
      </c>
      <c r="L688" s="5">
        <f>4 / 86400</f>
        <v>4.6296296296296294E-5</v>
      </c>
    </row>
    <row r="689" spans="1:12" x14ac:dyDescent="0.25">
      <c r="A689" s="3">
        <v>45689.719143518523</v>
      </c>
      <c r="B689" t="s">
        <v>69</v>
      </c>
      <c r="C689" s="3">
        <v>45689.764965277776</v>
      </c>
      <c r="D689" t="s">
        <v>386</v>
      </c>
      <c r="E689" s="4">
        <v>22.966000000000001</v>
      </c>
      <c r="F689" s="4">
        <v>520934.21100000001</v>
      </c>
      <c r="G689" s="4">
        <v>520957.17700000003</v>
      </c>
      <c r="H689" s="5">
        <f>1134 / 86400</f>
        <v>1.3125E-2</v>
      </c>
      <c r="I689" t="s">
        <v>188</v>
      </c>
      <c r="J689" t="s">
        <v>20</v>
      </c>
      <c r="K689" s="5">
        <f>3959 / 86400</f>
        <v>4.5821759259259257E-2</v>
      </c>
      <c r="L689" s="5">
        <f>479 / 86400</f>
        <v>5.5439814814814813E-3</v>
      </c>
    </row>
    <row r="690" spans="1:12" x14ac:dyDescent="0.25">
      <c r="A690" s="3">
        <v>45689.770509259259</v>
      </c>
      <c r="B690" t="s">
        <v>386</v>
      </c>
      <c r="C690" s="3">
        <v>45689.773321759261</v>
      </c>
      <c r="D690" t="s">
        <v>61</v>
      </c>
      <c r="E690" s="4">
        <v>0.36799999999999999</v>
      </c>
      <c r="F690" s="4">
        <v>520957.17700000003</v>
      </c>
      <c r="G690" s="4">
        <v>520957.54499999998</v>
      </c>
      <c r="H690" s="5">
        <f>60 / 86400</f>
        <v>6.9444444444444447E-4</v>
      </c>
      <c r="I690" t="s">
        <v>71</v>
      </c>
      <c r="J690" t="s">
        <v>56</v>
      </c>
      <c r="K690" s="5">
        <f>242 / 86400</f>
        <v>2.8009259259259259E-3</v>
      </c>
      <c r="L690" s="5">
        <f>19584 / 86400</f>
        <v>0.22666666666666666</v>
      </c>
    </row>
    <row r="691" spans="1:12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</row>
    <row r="692" spans="1:1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</row>
    <row r="693" spans="1:12" s="10" customFormat="1" ht="20.100000000000001" customHeight="1" x14ac:dyDescent="0.35">
      <c r="A693" s="15" t="s">
        <v>446</v>
      </c>
      <c r="B693" s="15"/>
      <c r="C693" s="15"/>
      <c r="D693" s="15"/>
      <c r="E693" s="15"/>
      <c r="F693" s="15"/>
      <c r="G693" s="15"/>
      <c r="H693" s="15"/>
      <c r="I693" s="15"/>
      <c r="J693" s="15"/>
    </row>
    <row r="694" spans="1:1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</row>
    <row r="695" spans="1:12" ht="30" x14ac:dyDescent="0.25">
      <c r="A695" s="2" t="s">
        <v>6</v>
      </c>
      <c r="B695" s="2" t="s">
        <v>7</v>
      </c>
      <c r="C695" s="2" t="s">
        <v>8</v>
      </c>
      <c r="D695" s="2" t="s">
        <v>9</v>
      </c>
      <c r="E695" s="2" t="s">
        <v>10</v>
      </c>
      <c r="F695" s="2" t="s">
        <v>11</v>
      </c>
      <c r="G695" s="2" t="s">
        <v>12</v>
      </c>
      <c r="H695" s="2" t="s">
        <v>13</v>
      </c>
      <c r="I695" s="2" t="s">
        <v>14</v>
      </c>
      <c r="J695" s="2" t="s">
        <v>15</v>
      </c>
      <c r="K695" s="2" t="s">
        <v>16</v>
      </c>
      <c r="L695" s="2" t="s">
        <v>17</v>
      </c>
    </row>
    <row r="696" spans="1:12" x14ac:dyDescent="0.25">
      <c r="A696" s="3">
        <v>45689.39565972222</v>
      </c>
      <c r="B696" t="s">
        <v>63</v>
      </c>
      <c r="C696" s="3">
        <v>45689.472928240742</v>
      </c>
      <c r="D696" t="s">
        <v>69</v>
      </c>
      <c r="E696" s="4">
        <v>26.712</v>
      </c>
      <c r="F696" s="4">
        <v>409585.533</v>
      </c>
      <c r="G696" s="4">
        <v>409612.245</v>
      </c>
      <c r="H696" s="5">
        <f>2500 / 86400</f>
        <v>2.8935185185185185E-2</v>
      </c>
      <c r="I696" t="s">
        <v>260</v>
      </c>
      <c r="J696" t="s">
        <v>51</v>
      </c>
      <c r="K696" s="5">
        <f>6676 / 86400</f>
        <v>7.7268518518518514E-2</v>
      </c>
      <c r="L696" s="5">
        <f>34518 / 86400</f>
        <v>0.39951388888888889</v>
      </c>
    </row>
    <row r="697" spans="1:12" x14ac:dyDescent="0.25">
      <c r="A697" s="3">
        <v>45689.476782407408</v>
      </c>
      <c r="B697" t="s">
        <v>69</v>
      </c>
      <c r="C697" s="3">
        <v>45689.481412037036</v>
      </c>
      <c r="D697" t="s">
        <v>86</v>
      </c>
      <c r="E697" s="4">
        <v>0.623</v>
      </c>
      <c r="F697" s="4">
        <v>409612.245</v>
      </c>
      <c r="G697" s="4">
        <v>409612.86800000002</v>
      </c>
      <c r="H697" s="5">
        <f>279 / 86400</f>
        <v>3.2291666666666666E-3</v>
      </c>
      <c r="I697" t="s">
        <v>138</v>
      </c>
      <c r="J697" t="s">
        <v>92</v>
      </c>
      <c r="K697" s="5">
        <f>399 / 86400</f>
        <v>4.6180555555555558E-3</v>
      </c>
      <c r="L697" s="5">
        <f>590 / 86400</f>
        <v>6.828703703703704E-3</v>
      </c>
    </row>
    <row r="698" spans="1:12" x14ac:dyDescent="0.25">
      <c r="A698" s="3">
        <v>45689.488240740742</v>
      </c>
      <c r="B698" t="s">
        <v>86</v>
      </c>
      <c r="C698" s="3">
        <v>45689.490011574075</v>
      </c>
      <c r="D698" t="s">
        <v>86</v>
      </c>
      <c r="E698" s="4">
        <v>1.7000000000000001E-2</v>
      </c>
      <c r="F698" s="4">
        <v>409612.86800000002</v>
      </c>
      <c r="G698" s="4">
        <v>409612.88500000001</v>
      </c>
      <c r="H698" s="5">
        <f>99 / 86400</f>
        <v>1.1458333333333333E-3</v>
      </c>
      <c r="I698" t="s">
        <v>100</v>
      </c>
      <c r="J698" t="s">
        <v>37</v>
      </c>
      <c r="K698" s="5">
        <f>153 / 86400</f>
        <v>1.7708333333333332E-3</v>
      </c>
      <c r="L698" s="5">
        <f>2994 / 86400</f>
        <v>3.4652777777777775E-2</v>
      </c>
    </row>
    <row r="699" spans="1:12" x14ac:dyDescent="0.25">
      <c r="A699" s="3">
        <v>45689.524664351848</v>
      </c>
      <c r="B699" t="s">
        <v>86</v>
      </c>
      <c r="C699" s="3">
        <v>45689.528402777782</v>
      </c>
      <c r="D699" t="s">
        <v>117</v>
      </c>
      <c r="E699" s="4">
        <v>0.65900000000000003</v>
      </c>
      <c r="F699" s="4">
        <v>409612.88500000001</v>
      </c>
      <c r="G699" s="4">
        <v>409613.54399999999</v>
      </c>
      <c r="H699" s="5">
        <f>139 / 86400</f>
        <v>1.6087962962962963E-3</v>
      </c>
      <c r="I699" t="s">
        <v>91</v>
      </c>
      <c r="J699" t="s">
        <v>126</v>
      </c>
      <c r="K699" s="5">
        <f>323 / 86400</f>
        <v>3.7384259259259259E-3</v>
      </c>
      <c r="L699" s="5">
        <f>479 / 86400</f>
        <v>5.5439814814814813E-3</v>
      </c>
    </row>
    <row r="700" spans="1:12" x14ac:dyDescent="0.25">
      <c r="A700" s="3">
        <v>45689.533946759257</v>
      </c>
      <c r="B700" t="s">
        <v>117</v>
      </c>
      <c r="C700" s="3">
        <v>45689.53497685185</v>
      </c>
      <c r="D700" t="s">
        <v>142</v>
      </c>
      <c r="E700" s="4">
        <v>0.33800000000000002</v>
      </c>
      <c r="F700" s="4">
        <v>409613.54399999999</v>
      </c>
      <c r="G700" s="4">
        <v>409613.88199999998</v>
      </c>
      <c r="H700" s="5">
        <f>40 / 86400</f>
        <v>4.6296296296296298E-4</v>
      </c>
      <c r="I700" t="s">
        <v>173</v>
      </c>
      <c r="J700" t="s">
        <v>51</v>
      </c>
      <c r="K700" s="5">
        <f>89 / 86400</f>
        <v>1.0300925925925926E-3</v>
      </c>
      <c r="L700" s="5">
        <f>225 / 86400</f>
        <v>2.6041666666666665E-3</v>
      </c>
    </row>
    <row r="701" spans="1:12" x14ac:dyDescent="0.25">
      <c r="A701" s="3">
        <v>45689.537581018521</v>
      </c>
      <c r="B701" t="s">
        <v>142</v>
      </c>
      <c r="C701" s="3">
        <v>45689.77715277778</v>
      </c>
      <c r="D701" t="s">
        <v>376</v>
      </c>
      <c r="E701" s="4">
        <v>95.171000000000006</v>
      </c>
      <c r="F701" s="4">
        <v>409613.88199999998</v>
      </c>
      <c r="G701" s="4">
        <v>409709.05300000001</v>
      </c>
      <c r="H701" s="5">
        <f>6163 / 86400</f>
        <v>7.1331018518518516E-2</v>
      </c>
      <c r="I701" t="s">
        <v>145</v>
      </c>
      <c r="J701" t="s">
        <v>30</v>
      </c>
      <c r="K701" s="5">
        <f>20699 / 86400</f>
        <v>0.23957175925925925</v>
      </c>
      <c r="L701" s="5">
        <f>2110 / 86400</f>
        <v>2.4421296296296295E-2</v>
      </c>
    </row>
    <row r="702" spans="1:12" x14ac:dyDescent="0.25">
      <c r="A702" s="3">
        <v>45689.801574074074</v>
      </c>
      <c r="B702" t="s">
        <v>376</v>
      </c>
      <c r="C702" s="3">
        <v>45689.803020833337</v>
      </c>
      <c r="D702" t="s">
        <v>69</v>
      </c>
      <c r="E702" s="4">
        <v>0.20499999999999999</v>
      </c>
      <c r="F702" s="4">
        <v>409709.05300000001</v>
      </c>
      <c r="G702" s="4">
        <v>409709.25799999997</v>
      </c>
      <c r="H702" s="5">
        <f>19 / 86400</f>
        <v>2.199074074074074E-4</v>
      </c>
      <c r="I702" t="s">
        <v>116</v>
      </c>
      <c r="J702" t="s">
        <v>92</v>
      </c>
      <c r="K702" s="5">
        <f>125 / 86400</f>
        <v>1.4467592592592592E-3</v>
      </c>
      <c r="L702" s="5">
        <f>744 / 86400</f>
        <v>8.611111111111111E-3</v>
      </c>
    </row>
    <row r="703" spans="1:12" x14ac:dyDescent="0.25">
      <c r="A703" s="3">
        <v>45689.811631944445</v>
      </c>
      <c r="B703" t="s">
        <v>69</v>
      </c>
      <c r="C703" s="3">
        <v>45689.812893518523</v>
      </c>
      <c r="D703" t="s">
        <v>117</v>
      </c>
      <c r="E703" s="4">
        <v>0.22800000000000001</v>
      </c>
      <c r="F703" s="4">
        <v>409709.25799999997</v>
      </c>
      <c r="G703" s="4">
        <v>409709.48599999998</v>
      </c>
      <c r="H703" s="5">
        <f>39 / 86400</f>
        <v>4.5138888888888887E-4</v>
      </c>
      <c r="I703" t="s">
        <v>23</v>
      </c>
      <c r="J703" t="s">
        <v>120</v>
      </c>
      <c r="K703" s="5">
        <f>109 / 86400</f>
        <v>1.261574074074074E-3</v>
      </c>
      <c r="L703" s="5">
        <f>534 / 86400</f>
        <v>6.1805555555555555E-3</v>
      </c>
    </row>
    <row r="704" spans="1:12" x14ac:dyDescent="0.25">
      <c r="A704" s="3">
        <v>45689.819074074076</v>
      </c>
      <c r="B704" t="s">
        <v>117</v>
      </c>
      <c r="C704" s="3">
        <v>45689.99998842593</v>
      </c>
      <c r="D704" t="s">
        <v>64</v>
      </c>
      <c r="E704" s="4">
        <v>79.510000000000005</v>
      </c>
      <c r="F704" s="4">
        <v>409709.48599999998</v>
      </c>
      <c r="G704" s="4">
        <v>409788.99599999998</v>
      </c>
      <c r="H704" s="5">
        <f>3739 / 86400</f>
        <v>4.327546296296296E-2</v>
      </c>
      <c r="I704" t="s">
        <v>65</v>
      </c>
      <c r="J704" t="s">
        <v>23</v>
      </c>
      <c r="K704" s="5">
        <f>15631 / 86400</f>
        <v>0.18091435185185184</v>
      </c>
      <c r="L704" s="5">
        <f>0 / 86400</f>
        <v>0</v>
      </c>
    </row>
    <row r="705" spans="1:1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</row>
    <row r="706" spans="1:12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</row>
    <row r="707" spans="1:12" s="10" customFormat="1" ht="20.100000000000001" customHeight="1" x14ac:dyDescent="0.35">
      <c r="A707" s="15" t="s">
        <v>447</v>
      </c>
      <c r="B707" s="15"/>
      <c r="C707" s="15"/>
      <c r="D707" s="15"/>
      <c r="E707" s="15"/>
      <c r="F707" s="15"/>
      <c r="G707" s="15"/>
      <c r="H707" s="15"/>
      <c r="I707" s="15"/>
      <c r="J707" s="15"/>
    </row>
    <row r="708" spans="1:1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</row>
    <row r="709" spans="1:12" ht="30" x14ac:dyDescent="0.25">
      <c r="A709" s="2" t="s">
        <v>6</v>
      </c>
      <c r="B709" s="2" t="s">
        <v>7</v>
      </c>
      <c r="C709" s="2" t="s">
        <v>8</v>
      </c>
      <c r="D709" s="2" t="s">
        <v>9</v>
      </c>
      <c r="E709" s="2" t="s">
        <v>10</v>
      </c>
      <c r="F709" s="2" t="s">
        <v>11</v>
      </c>
      <c r="G709" s="2" t="s">
        <v>12</v>
      </c>
      <c r="H709" s="2" t="s">
        <v>13</v>
      </c>
      <c r="I709" s="2" t="s">
        <v>14</v>
      </c>
      <c r="J709" s="2" t="s">
        <v>15</v>
      </c>
      <c r="K709" s="2" t="s">
        <v>16</v>
      </c>
      <c r="L709" s="2" t="s">
        <v>17</v>
      </c>
    </row>
    <row r="710" spans="1:12" x14ac:dyDescent="0.25">
      <c r="A710" s="3">
        <v>45689.255000000005</v>
      </c>
      <c r="B710" t="s">
        <v>66</v>
      </c>
      <c r="C710" s="3">
        <v>45689.513842592598</v>
      </c>
      <c r="D710" t="s">
        <v>69</v>
      </c>
      <c r="E710" s="4">
        <v>99.695999999999998</v>
      </c>
      <c r="F710" s="4">
        <v>400791.89600000001</v>
      </c>
      <c r="G710" s="4">
        <v>400891.592</v>
      </c>
      <c r="H710" s="5">
        <f>8198 / 86400</f>
        <v>9.4884259259259265E-2</v>
      </c>
      <c r="I710" t="s">
        <v>67</v>
      </c>
      <c r="J710" t="s">
        <v>26</v>
      </c>
      <c r="K710" s="5">
        <f>22363 / 86400</f>
        <v>0.25883101851851853</v>
      </c>
      <c r="L710" s="5">
        <f>22290 / 86400</f>
        <v>0.25798611111111114</v>
      </c>
    </row>
    <row r="711" spans="1:12" x14ac:dyDescent="0.25">
      <c r="A711" s="3">
        <v>45689.516828703709</v>
      </c>
      <c r="B711" t="s">
        <v>69</v>
      </c>
      <c r="C711" s="3">
        <v>45689.519432870366</v>
      </c>
      <c r="D711" t="s">
        <v>45</v>
      </c>
      <c r="E711" s="4">
        <v>0.79</v>
      </c>
      <c r="F711" s="4">
        <v>400891.592</v>
      </c>
      <c r="G711" s="4">
        <v>400892.38199999998</v>
      </c>
      <c r="H711" s="5">
        <f>39 / 86400</f>
        <v>4.5138888888888887E-4</v>
      </c>
      <c r="I711" t="s">
        <v>189</v>
      </c>
      <c r="J711" t="s">
        <v>31</v>
      </c>
      <c r="K711" s="5">
        <f>225 / 86400</f>
        <v>2.6041666666666665E-3</v>
      </c>
      <c r="L711" s="5">
        <f>2743 / 86400</f>
        <v>3.1747685185185184E-2</v>
      </c>
    </row>
    <row r="712" spans="1:12" x14ac:dyDescent="0.25">
      <c r="A712" s="3">
        <v>45689.551180555558</v>
      </c>
      <c r="B712" t="s">
        <v>45</v>
      </c>
      <c r="C712" s="3">
        <v>45689.557557870372</v>
      </c>
      <c r="D712" t="s">
        <v>139</v>
      </c>
      <c r="E712" s="4">
        <v>1.2270000000000001</v>
      </c>
      <c r="F712" s="4">
        <v>400892.38199999998</v>
      </c>
      <c r="G712" s="4">
        <v>400893.609</v>
      </c>
      <c r="H712" s="5">
        <f>199 / 86400</f>
        <v>2.3032407407407407E-3</v>
      </c>
      <c r="I712" t="s">
        <v>119</v>
      </c>
      <c r="J712" t="s">
        <v>120</v>
      </c>
      <c r="K712" s="5">
        <f>551 / 86400</f>
        <v>6.3773148148148148E-3</v>
      </c>
      <c r="L712" s="5">
        <f>23 / 86400</f>
        <v>2.6620370370370372E-4</v>
      </c>
    </row>
    <row r="713" spans="1:12" x14ac:dyDescent="0.25">
      <c r="A713" s="3">
        <v>45689.557824074072</v>
      </c>
      <c r="B713" t="s">
        <v>139</v>
      </c>
      <c r="C713" s="3">
        <v>45689.557986111111</v>
      </c>
      <c r="D713" t="s">
        <v>139</v>
      </c>
      <c r="E713" s="4">
        <v>1.4999999999999999E-2</v>
      </c>
      <c r="F713" s="4">
        <v>400893.609</v>
      </c>
      <c r="G713" s="4">
        <v>400893.62400000001</v>
      </c>
      <c r="H713" s="5">
        <f>0 / 86400</f>
        <v>0</v>
      </c>
      <c r="I713" t="s">
        <v>126</v>
      </c>
      <c r="J713" t="s">
        <v>80</v>
      </c>
      <c r="K713" s="5">
        <f>14 / 86400</f>
        <v>1.6203703703703703E-4</v>
      </c>
      <c r="L713" s="5">
        <f>1611 / 86400</f>
        <v>1.8645833333333334E-2</v>
      </c>
    </row>
    <row r="714" spans="1:12" x14ac:dyDescent="0.25">
      <c r="A714" s="3">
        <v>45689.576631944445</v>
      </c>
      <c r="B714" t="s">
        <v>139</v>
      </c>
      <c r="C714" s="3">
        <v>45689.824050925927</v>
      </c>
      <c r="D714" t="s">
        <v>146</v>
      </c>
      <c r="E714" s="4">
        <v>95.304000000000002</v>
      </c>
      <c r="F714" s="4">
        <v>400893.62400000001</v>
      </c>
      <c r="G714" s="4">
        <v>400988.92800000001</v>
      </c>
      <c r="H714" s="5">
        <f>7621 / 86400</f>
        <v>8.8206018518518517E-2</v>
      </c>
      <c r="I714" t="s">
        <v>60</v>
      </c>
      <c r="J714" t="s">
        <v>26</v>
      </c>
      <c r="K714" s="5">
        <f>21376 / 86400</f>
        <v>0.24740740740740741</v>
      </c>
      <c r="L714" s="5">
        <f>676 / 86400</f>
        <v>7.8240740740740736E-3</v>
      </c>
    </row>
    <row r="715" spans="1:12" x14ac:dyDescent="0.25">
      <c r="A715" s="3">
        <v>45689.831875000003</v>
      </c>
      <c r="B715" t="s">
        <v>146</v>
      </c>
      <c r="C715" s="3">
        <v>45689.83320601852</v>
      </c>
      <c r="D715" t="s">
        <v>381</v>
      </c>
      <c r="E715" s="4">
        <v>0.27400000000000002</v>
      </c>
      <c r="F715" s="4">
        <v>400988.92800000001</v>
      </c>
      <c r="G715" s="4">
        <v>400989.20199999999</v>
      </c>
      <c r="H715" s="5">
        <f>20 / 86400</f>
        <v>2.3148148148148149E-4</v>
      </c>
      <c r="I715" t="s">
        <v>141</v>
      </c>
      <c r="J715" t="s">
        <v>85</v>
      </c>
      <c r="K715" s="5">
        <f>114 / 86400</f>
        <v>1.3194444444444445E-3</v>
      </c>
      <c r="L715" s="5">
        <f>685 / 86400</f>
        <v>7.9282407407407409E-3</v>
      </c>
    </row>
    <row r="716" spans="1:12" x14ac:dyDescent="0.25">
      <c r="A716" s="3">
        <v>45689.841134259259</v>
      </c>
      <c r="B716" t="s">
        <v>381</v>
      </c>
      <c r="C716" s="3">
        <v>45689.843819444446</v>
      </c>
      <c r="D716" t="s">
        <v>66</v>
      </c>
      <c r="E716" s="4">
        <v>0.29699999999999999</v>
      </c>
      <c r="F716" s="4">
        <v>400989.20199999999</v>
      </c>
      <c r="G716" s="4">
        <v>400989.49900000001</v>
      </c>
      <c r="H716" s="5">
        <f>59 / 86400</f>
        <v>6.8287037037037036E-4</v>
      </c>
      <c r="I716" t="s">
        <v>51</v>
      </c>
      <c r="J716" t="s">
        <v>56</v>
      </c>
      <c r="K716" s="5">
        <f>231 / 86400</f>
        <v>2.673611111111111E-3</v>
      </c>
      <c r="L716" s="5">
        <f>13493 / 86400</f>
        <v>0.15616898148148148</v>
      </c>
    </row>
    <row r="717" spans="1:12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</row>
    <row r="718" spans="1:1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</row>
    <row r="719" spans="1:12" s="10" customFormat="1" ht="20.100000000000001" customHeight="1" x14ac:dyDescent="0.35">
      <c r="A719" s="15" t="s">
        <v>448</v>
      </c>
      <c r="B719" s="15"/>
      <c r="C719" s="15"/>
      <c r="D719" s="15"/>
      <c r="E719" s="15"/>
      <c r="F719" s="15"/>
      <c r="G719" s="15"/>
      <c r="H719" s="15"/>
      <c r="I719" s="15"/>
      <c r="J719" s="15"/>
    </row>
    <row r="720" spans="1:1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</row>
    <row r="721" spans="1:12" ht="30" x14ac:dyDescent="0.25">
      <c r="A721" s="2" t="s">
        <v>6</v>
      </c>
      <c r="B721" s="2" t="s">
        <v>7</v>
      </c>
      <c r="C721" s="2" t="s">
        <v>8</v>
      </c>
      <c r="D721" s="2" t="s">
        <v>9</v>
      </c>
      <c r="E721" s="2" t="s">
        <v>10</v>
      </c>
      <c r="F721" s="2" t="s">
        <v>11</v>
      </c>
      <c r="G721" s="2" t="s">
        <v>12</v>
      </c>
      <c r="H721" s="2" t="s">
        <v>13</v>
      </c>
      <c r="I721" s="2" t="s">
        <v>14</v>
      </c>
      <c r="J721" s="2" t="s">
        <v>15</v>
      </c>
      <c r="K721" s="2" t="s">
        <v>16</v>
      </c>
      <c r="L721" s="2" t="s">
        <v>17</v>
      </c>
    </row>
    <row r="722" spans="1:12" x14ac:dyDescent="0.25">
      <c r="A722" s="3">
        <v>45689.442141203705</v>
      </c>
      <c r="B722" t="s">
        <v>68</v>
      </c>
      <c r="C722" s="3">
        <v>45689.445960648147</v>
      </c>
      <c r="D722" t="s">
        <v>384</v>
      </c>
      <c r="E722" s="4">
        <v>0.69899999999999995</v>
      </c>
      <c r="F722" s="4">
        <v>406602.86499999999</v>
      </c>
      <c r="G722" s="4">
        <v>406603.56400000001</v>
      </c>
      <c r="H722" s="5">
        <f>79 / 86400</f>
        <v>9.1435185185185185E-4</v>
      </c>
      <c r="I722" t="s">
        <v>20</v>
      </c>
      <c r="J722" t="s">
        <v>120</v>
      </c>
      <c r="K722" s="5">
        <f>329 / 86400</f>
        <v>3.8078703703703703E-3</v>
      </c>
      <c r="L722" s="5">
        <f>38709 / 86400</f>
        <v>0.44802083333333331</v>
      </c>
    </row>
    <row r="723" spans="1:12" x14ac:dyDescent="0.25">
      <c r="A723" s="3">
        <v>45689.451840277776</v>
      </c>
      <c r="B723" t="s">
        <v>384</v>
      </c>
      <c r="C723" s="3">
        <v>45689.459328703699</v>
      </c>
      <c r="D723" t="s">
        <v>229</v>
      </c>
      <c r="E723" s="4">
        <v>2.0609999999999999</v>
      </c>
      <c r="F723" s="4">
        <v>406603.56400000001</v>
      </c>
      <c r="G723" s="4">
        <v>406605.625</v>
      </c>
      <c r="H723" s="5">
        <f>319 / 86400</f>
        <v>3.6921296296296298E-3</v>
      </c>
      <c r="I723" t="s">
        <v>161</v>
      </c>
      <c r="J723" t="s">
        <v>71</v>
      </c>
      <c r="K723" s="5">
        <f>646 / 86400</f>
        <v>7.4768518518518517E-3</v>
      </c>
      <c r="L723" s="5">
        <f>92 / 86400</f>
        <v>1.0648148148148149E-3</v>
      </c>
    </row>
    <row r="724" spans="1:12" x14ac:dyDescent="0.25">
      <c r="A724" s="3">
        <v>45689.460393518515</v>
      </c>
      <c r="B724" t="s">
        <v>229</v>
      </c>
      <c r="C724" s="3">
        <v>45689.485243055555</v>
      </c>
      <c r="D724" t="s">
        <v>387</v>
      </c>
      <c r="E724" s="4">
        <v>12.276999999999999</v>
      </c>
      <c r="F724" s="4">
        <v>406605.625</v>
      </c>
      <c r="G724" s="4">
        <v>406617.902</v>
      </c>
      <c r="H724" s="5">
        <f>320 / 86400</f>
        <v>3.7037037037037038E-3</v>
      </c>
      <c r="I724" t="s">
        <v>70</v>
      </c>
      <c r="J724" t="s">
        <v>20</v>
      </c>
      <c r="K724" s="5">
        <f>2146 / 86400</f>
        <v>2.4837962962962964E-2</v>
      </c>
      <c r="L724" s="5">
        <f>2751 / 86400</f>
        <v>3.184027777777778E-2</v>
      </c>
    </row>
    <row r="725" spans="1:12" x14ac:dyDescent="0.25">
      <c r="A725" s="3">
        <v>45689.517083333332</v>
      </c>
      <c r="B725" t="s">
        <v>387</v>
      </c>
      <c r="C725" s="3">
        <v>45689.558437500003</v>
      </c>
      <c r="D725" t="s">
        <v>69</v>
      </c>
      <c r="E725" s="4">
        <v>5.9569999999999999</v>
      </c>
      <c r="F725" s="4">
        <v>406617.902</v>
      </c>
      <c r="G725" s="4">
        <v>406623.859</v>
      </c>
      <c r="H725" s="5">
        <f>2439 / 86400</f>
        <v>2.8229166666666666E-2</v>
      </c>
      <c r="I725" t="s">
        <v>220</v>
      </c>
      <c r="J725" t="s">
        <v>92</v>
      </c>
      <c r="K725" s="5">
        <f>3572 / 86400</f>
        <v>4.1342592592592591E-2</v>
      </c>
      <c r="L725" s="5">
        <f>4355 / 86400</f>
        <v>5.0405092592592592E-2</v>
      </c>
    </row>
    <row r="726" spans="1:12" x14ac:dyDescent="0.25">
      <c r="A726" s="3">
        <v>45689.608842592592</v>
      </c>
      <c r="B726" t="s">
        <v>69</v>
      </c>
      <c r="C726" s="3">
        <v>45689.6090625</v>
      </c>
      <c r="D726" t="s">
        <v>69</v>
      </c>
      <c r="E726" s="4">
        <v>0</v>
      </c>
      <c r="F726" s="4">
        <v>406623.859</v>
      </c>
      <c r="G726" s="4">
        <v>406623.859</v>
      </c>
      <c r="H726" s="5">
        <f>0 / 86400</f>
        <v>0</v>
      </c>
      <c r="I726" t="s">
        <v>37</v>
      </c>
      <c r="J726" t="s">
        <v>37</v>
      </c>
      <c r="K726" s="5">
        <f>19 / 86400</f>
        <v>2.199074074074074E-4</v>
      </c>
      <c r="L726" s="5">
        <f>33776 / 86400</f>
        <v>0.3909259259259259</v>
      </c>
    </row>
    <row r="727" spans="1:12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</row>
    <row r="728" spans="1:12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</row>
    <row r="729" spans="1:12" s="10" customFormat="1" ht="20.100000000000001" customHeight="1" x14ac:dyDescent="0.35">
      <c r="A729" s="15" t="s">
        <v>449</v>
      </c>
      <c r="B729" s="15"/>
      <c r="C729" s="15"/>
      <c r="D729" s="15"/>
      <c r="E729" s="15"/>
      <c r="F729" s="15"/>
      <c r="G729" s="15"/>
      <c r="H729" s="15"/>
      <c r="I729" s="15"/>
      <c r="J729" s="15"/>
    </row>
    <row r="730" spans="1:12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</row>
    <row r="731" spans="1:12" ht="30" x14ac:dyDescent="0.25">
      <c r="A731" s="2" t="s">
        <v>6</v>
      </c>
      <c r="B731" s="2" t="s">
        <v>7</v>
      </c>
      <c r="C731" s="2" t="s">
        <v>8</v>
      </c>
      <c r="D731" s="2" t="s">
        <v>9</v>
      </c>
      <c r="E731" s="2" t="s">
        <v>10</v>
      </c>
      <c r="F731" s="2" t="s">
        <v>11</v>
      </c>
      <c r="G731" s="2" t="s">
        <v>12</v>
      </c>
      <c r="H731" s="2" t="s">
        <v>13</v>
      </c>
      <c r="I731" s="2" t="s">
        <v>14</v>
      </c>
      <c r="J731" s="2" t="s">
        <v>15</v>
      </c>
      <c r="K731" s="2" t="s">
        <v>16</v>
      </c>
      <c r="L731" s="2" t="s">
        <v>17</v>
      </c>
    </row>
    <row r="732" spans="1:12" x14ac:dyDescent="0.25">
      <c r="A732" s="3">
        <v>45689.318703703699</v>
      </c>
      <c r="B732" t="s">
        <v>72</v>
      </c>
      <c r="C732" s="3">
        <v>45689.423472222217</v>
      </c>
      <c r="D732" t="s">
        <v>69</v>
      </c>
      <c r="E732" s="4">
        <v>44.517000000000003</v>
      </c>
      <c r="F732" s="4">
        <v>346945.86200000002</v>
      </c>
      <c r="G732" s="4">
        <v>346990.37900000002</v>
      </c>
      <c r="H732" s="5">
        <f>2578 / 86400</f>
        <v>2.9837962962962962E-2</v>
      </c>
      <c r="I732" t="s">
        <v>260</v>
      </c>
      <c r="J732" t="s">
        <v>23</v>
      </c>
      <c r="K732" s="5">
        <f>9051 / 86400</f>
        <v>0.10475694444444444</v>
      </c>
      <c r="L732" s="5">
        <f>27805 / 86400</f>
        <v>0.32181712962962961</v>
      </c>
    </row>
    <row r="733" spans="1:12" x14ac:dyDescent="0.25">
      <c r="A733" s="3">
        <v>45689.426585648151</v>
      </c>
      <c r="B733" t="s">
        <v>69</v>
      </c>
      <c r="C733" s="3">
        <v>45689.431064814809</v>
      </c>
      <c r="D733" t="s">
        <v>139</v>
      </c>
      <c r="E733" s="4">
        <v>1.302</v>
      </c>
      <c r="F733" s="4">
        <v>346990.37900000002</v>
      </c>
      <c r="G733" s="4">
        <v>346991.68099999998</v>
      </c>
      <c r="H733" s="5">
        <f>60 / 86400</f>
        <v>6.9444444444444447E-4</v>
      </c>
      <c r="I733" t="s">
        <v>123</v>
      </c>
      <c r="J733" t="s">
        <v>99</v>
      </c>
      <c r="K733" s="5">
        <f>387 / 86400</f>
        <v>4.4791666666666669E-3</v>
      </c>
      <c r="L733" s="5">
        <f>1944 / 86400</f>
        <v>2.2499999999999999E-2</v>
      </c>
    </row>
    <row r="734" spans="1:12" x14ac:dyDescent="0.25">
      <c r="A734" s="3">
        <v>45689.453564814816</v>
      </c>
      <c r="B734" t="s">
        <v>139</v>
      </c>
      <c r="C734" s="3">
        <v>45689.692488425921</v>
      </c>
      <c r="D734" t="s">
        <v>388</v>
      </c>
      <c r="E734" s="4">
        <v>75.102999999999994</v>
      </c>
      <c r="F734" s="4">
        <v>346991.68099999998</v>
      </c>
      <c r="G734" s="4">
        <v>347066.78399999999</v>
      </c>
      <c r="H734" s="5">
        <f>8201 / 86400</f>
        <v>9.4918981481481479E-2</v>
      </c>
      <c r="I734" t="s">
        <v>73</v>
      </c>
      <c r="J734" t="s">
        <v>31</v>
      </c>
      <c r="K734" s="5">
        <f>20643 / 86400</f>
        <v>0.2389236111111111</v>
      </c>
      <c r="L734" s="5">
        <f>114 / 86400</f>
        <v>1.3194444444444445E-3</v>
      </c>
    </row>
    <row r="735" spans="1:12" x14ac:dyDescent="0.25">
      <c r="A735" s="3">
        <v>45689.693807870368</v>
      </c>
      <c r="B735" t="s">
        <v>388</v>
      </c>
      <c r="C735" s="3">
        <v>45689.694212962961</v>
      </c>
      <c r="D735" t="s">
        <v>72</v>
      </c>
      <c r="E735" s="4">
        <v>2.4E-2</v>
      </c>
      <c r="F735" s="4">
        <v>347066.78399999999</v>
      </c>
      <c r="G735" s="4">
        <v>347066.80800000002</v>
      </c>
      <c r="H735" s="5">
        <f>20 / 86400</f>
        <v>2.3148148148148149E-4</v>
      </c>
      <c r="I735" t="s">
        <v>92</v>
      </c>
      <c r="J735" t="s">
        <v>133</v>
      </c>
      <c r="K735" s="5">
        <f>35 / 86400</f>
        <v>4.0509259259259258E-4</v>
      </c>
      <c r="L735" s="5">
        <f>416 / 86400</f>
        <v>4.8148148148148152E-3</v>
      </c>
    </row>
    <row r="736" spans="1:12" x14ac:dyDescent="0.25">
      <c r="A736" s="3">
        <v>45689.69902777778</v>
      </c>
      <c r="B736" t="s">
        <v>72</v>
      </c>
      <c r="C736" s="3">
        <v>45689.700972222221</v>
      </c>
      <c r="D736" t="s">
        <v>72</v>
      </c>
      <c r="E736" s="4">
        <v>0.20699999999999999</v>
      </c>
      <c r="F736" s="4">
        <v>347066.80800000002</v>
      </c>
      <c r="G736" s="4">
        <v>347067.01500000001</v>
      </c>
      <c r="H736" s="5">
        <f>40 / 86400</f>
        <v>4.6296296296296298E-4</v>
      </c>
      <c r="I736" t="s">
        <v>99</v>
      </c>
      <c r="J736" t="s">
        <v>80</v>
      </c>
      <c r="K736" s="5">
        <f>167 / 86400</f>
        <v>1.9328703703703704E-3</v>
      </c>
      <c r="L736" s="5">
        <f>25835 / 86400</f>
        <v>0.29901620370370369</v>
      </c>
    </row>
    <row r="737" spans="1:12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</row>
    <row r="738" spans="1:12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</row>
    <row r="739" spans="1:12" s="10" customFormat="1" ht="20.100000000000001" customHeight="1" x14ac:dyDescent="0.35">
      <c r="A739" s="15" t="s">
        <v>450</v>
      </c>
      <c r="B739" s="15"/>
      <c r="C739" s="15"/>
      <c r="D739" s="15"/>
      <c r="E739" s="15"/>
      <c r="F739" s="15"/>
      <c r="G739" s="15"/>
      <c r="H739" s="15"/>
      <c r="I739" s="15"/>
      <c r="J739" s="15"/>
    </row>
    <row r="740" spans="1:1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</row>
    <row r="741" spans="1:12" ht="30" x14ac:dyDescent="0.25">
      <c r="A741" s="2" t="s">
        <v>6</v>
      </c>
      <c r="B741" s="2" t="s">
        <v>7</v>
      </c>
      <c r="C741" s="2" t="s">
        <v>8</v>
      </c>
      <c r="D741" s="2" t="s">
        <v>9</v>
      </c>
      <c r="E741" s="2" t="s">
        <v>10</v>
      </c>
      <c r="F741" s="2" t="s">
        <v>11</v>
      </c>
      <c r="G741" s="2" t="s">
        <v>12</v>
      </c>
      <c r="H741" s="2" t="s">
        <v>13</v>
      </c>
      <c r="I741" s="2" t="s">
        <v>14</v>
      </c>
      <c r="J741" s="2" t="s">
        <v>15</v>
      </c>
      <c r="K741" s="2" t="s">
        <v>16</v>
      </c>
      <c r="L741" s="2" t="s">
        <v>17</v>
      </c>
    </row>
    <row r="742" spans="1:12" x14ac:dyDescent="0.25">
      <c r="A742" s="3">
        <v>45689.115439814814</v>
      </c>
      <c r="B742" t="s">
        <v>74</v>
      </c>
      <c r="C742" s="3">
        <v>45689.189814814818</v>
      </c>
      <c r="D742" t="s">
        <v>389</v>
      </c>
      <c r="E742" s="4">
        <v>40.405999999999999</v>
      </c>
      <c r="F742" s="4">
        <v>38691.175000000003</v>
      </c>
      <c r="G742" s="4">
        <v>38731.580999999998</v>
      </c>
      <c r="H742" s="5">
        <f>1579 / 86400</f>
        <v>1.8275462962962962E-2</v>
      </c>
      <c r="I742" t="s">
        <v>25</v>
      </c>
      <c r="J742" t="s">
        <v>35</v>
      </c>
      <c r="K742" s="5">
        <f>6426 / 86400</f>
        <v>7.4374999999999997E-2</v>
      </c>
      <c r="L742" s="5">
        <f>10669 / 86400</f>
        <v>0.1234837962962963</v>
      </c>
    </row>
    <row r="743" spans="1:12" x14ac:dyDescent="0.25">
      <c r="A743" s="3">
        <v>45689.197858796295</v>
      </c>
      <c r="B743" t="s">
        <v>389</v>
      </c>
      <c r="C743" s="3">
        <v>45689.301759259259</v>
      </c>
      <c r="D743" t="s">
        <v>69</v>
      </c>
      <c r="E743" s="4">
        <v>50.941000000000003</v>
      </c>
      <c r="F743" s="4">
        <v>38731.580999999998</v>
      </c>
      <c r="G743" s="4">
        <v>38782.521999999997</v>
      </c>
      <c r="H743" s="5">
        <f>2489 / 86400</f>
        <v>2.8807870370370369E-2</v>
      </c>
      <c r="I743" t="s">
        <v>65</v>
      </c>
      <c r="J743" t="s">
        <v>62</v>
      </c>
      <c r="K743" s="5">
        <f>8976 / 86400</f>
        <v>0.10388888888888889</v>
      </c>
      <c r="L743" s="5">
        <f>287 / 86400</f>
        <v>3.3217592592592591E-3</v>
      </c>
    </row>
    <row r="744" spans="1:12" x14ac:dyDescent="0.25">
      <c r="A744" s="3">
        <v>45689.305081018523</v>
      </c>
      <c r="B744" t="s">
        <v>69</v>
      </c>
      <c r="C744" s="3">
        <v>45689.31050925926</v>
      </c>
      <c r="D744" t="s">
        <v>139</v>
      </c>
      <c r="E744" s="4">
        <v>1.423</v>
      </c>
      <c r="F744" s="4">
        <v>38782.521999999997</v>
      </c>
      <c r="G744" s="4">
        <v>38783.945</v>
      </c>
      <c r="H744" s="5">
        <f>139 / 86400</f>
        <v>1.6087962962962963E-3</v>
      </c>
      <c r="I744" t="s">
        <v>164</v>
      </c>
      <c r="J744" t="s">
        <v>71</v>
      </c>
      <c r="K744" s="5">
        <f>468 / 86400</f>
        <v>5.4166666666666669E-3</v>
      </c>
      <c r="L744" s="5">
        <f>436 / 86400</f>
        <v>5.0462962962962961E-3</v>
      </c>
    </row>
    <row r="745" spans="1:12" x14ac:dyDescent="0.25">
      <c r="A745" s="3">
        <v>45689.315555555557</v>
      </c>
      <c r="B745" t="s">
        <v>139</v>
      </c>
      <c r="C745" s="3">
        <v>45689.321388888886</v>
      </c>
      <c r="D745" t="s">
        <v>69</v>
      </c>
      <c r="E745" s="4">
        <v>1.3180000000000001</v>
      </c>
      <c r="F745" s="4">
        <v>38783.945</v>
      </c>
      <c r="G745" s="4">
        <v>38785.262999999999</v>
      </c>
      <c r="H745" s="5">
        <f>219 / 86400</f>
        <v>2.5347222222222221E-3</v>
      </c>
      <c r="I745" t="s">
        <v>167</v>
      </c>
      <c r="J745" t="s">
        <v>85</v>
      </c>
      <c r="K745" s="5">
        <f>503 / 86400</f>
        <v>5.8217592592592592E-3</v>
      </c>
      <c r="L745" s="5">
        <f>91 / 86400</f>
        <v>1.0532407407407407E-3</v>
      </c>
    </row>
    <row r="746" spans="1:12" x14ac:dyDescent="0.25">
      <c r="A746" s="3">
        <v>45689.322442129633</v>
      </c>
      <c r="B746" t="s">
        <v>69</v>
      </c>
      <c r="C746" s="3">
        <v>45689.322916666672</v>
      </c>
      <c r="D746" t="s">
        <v>69</v>
      </c>
      <c r="E746" s="4">
        <v>0.01</v>
      </c>
      <c r="F746" s="4">
        <v>38785.262999999999</v>
      </c>
      <c r="G746" s="4">
        <v>38785.273000000001</v>
      </c>
      <c r="H746" s="5">
        <f>20 / 86400</f>
        <v>2.3148148148148149E-4</v>
      </c>
      <c r="I746" t="s">
        <v>56</v>
      </c>
      <c r="J746" t="s">
        <v>100</v>
      </c>
      <c r="K746" s="5">
        <f>40 / 86400</f>
        <v>4.6296296296296298E-4</v>
      </c>
      <c r="L746" s="5">
        <f>811 / 86400</f>
        <v>9.3865740740740732E-3</v>
      </c>
    </row>
    <row r="747" spans="1:12" x14ac:dyDescent="0.25">
      <c r="A747" s="3">
        <v>45689.332303240742</v>
      </c>
      <c r="B747" t="s">
        <v>69</v>
      </c>
      <c r="C747" s="3">
        <v>45689.334953703699</v>
      </c>
      <c r="D747" t="s">
        <v>45</v>
      </c>
      <c r="E747" s="4">
        <v>0.755</v>
      </c>
      <c r="F747" s="4">
        <v>38785.273000000001</v>
      </c>
      <c r="G747" s="4">
        <v>38786.027999999998</v>
      </c>
      <c r="H747" s="5">
        <f>19 / 86400</f>
        <v>2.199074074074074E-4</v>
      </c>
      <c r="I747" t="s">
        <v>107</v>
      </c>
      <c r="J747" t="s">
        <v>99</v>
      </c>
      <c r="K747" s="5">
        <f>228 / 86400</f>
        <v>2.638888888888889E-3</v>
      </c>
      <c r="L747" s="5">
        <f>1724 / 86400</f>
        <v>1.9953703703703703E-2</v>
      </c>
    </row>
    <row r="748" spans="1:12" x14ac:dyDescent="0.25">
      <c r="A748" s="3">
        <v>45689.354907407411</v>
      </c>
      <c r="B748" t="s">
        <v>45</v>
      </c>
      <c r="C748" s="3">
        <v>45689.622673611113</v>
      </c>
      <c r="D748" t="s">
        <v>74</v>
      </c>
      <c r="E748" s="4">
        <v>95.001999999999995</v>
      </c>
      <c r="F748" s="4">
        <v>38786.027999999998</v>
      </c>
      <c r="G748" s="4">
        <v>38881.03</v>
      </c>
      <c r="H748" s="5">
        <f>8598 / 86400</f>
        <v>9.9513888888888888E-2</v>
      </c>
      <c r="I748" t="s">
        <v>145</v>
      </c>
      <c r="J748" t="s">
        <v>43</v>
      </c>
      <c r="K748" s="5">
        <f>23134 / 86400</f>
        <v>0.26775462962962965</v>
      </c>
      <c r="L748" s="5">
        <f>32600 / 86400</f>
        <v>0.37731481481481483</v>
      </c>
    </row>
    <row r="749" spans="1:12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</row>
    <row r="750" spans="1:12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</row>
    <row r="751" spans="1:12" s="10" customFormat="1" ht="20.100000000000001" customHeight="1" x14ac:dyDescent="0.35">
      <c r="A751" s="15" t="s">
        <v>451</v>
      </c>
      <c r="B751" s="15"/>
      <c r="C751" s="15"/>
      <c r="D751" s="15"/>
      <c r="E751" s="15"/>
      <c r="F751" s="15"/>
      <c r="G751" s="15"/>
      <c r="H751" s="15"/>
      <c r="I751" s="15"/>
      <c r="J751" s="15"/>
    </row>
    <row r="752" spans="1:1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 spans="1:12" ht="30" x14ac:dyDescent="0.25">
      <c r="A753" s="2" t="s">
        <v>6</v>
      </c>
      <c r="B753" s="2" t="s">
        <v>7</v>
      </c>
      <c r="C753" s="2" t="s">
        <v>8</v>
      </c>
      <c r="D753" s="2" t="s">
        <v>9</v>
      </c>
      <c r="E753" s="2" t="s">
        <v>10</v>
      </c>
      <c r="F753" s="2" t="s">
        <v>11</v>
      </c>
      <c r="G753" s="2" t="s">
        <v>12</v>
      </c>
      <c r="H753" s="2" t="s">
        <v>13</v>
      </c>
      <c r="I753" s="2" t="s">
        <v>14</v>
      </c>
      <c r="J753" s="2" t="s">
        <v>15</v>
      </c>
      <c r="K753" s="2" t="s">
        <v>16</v>
      </c>
      <c r="L753" s="2" t="s">
        <v>17</v>
      </c>
    </row>
    <row r="754" spans="1:12" x14ac:dyDescent="0.25">
      <c r="A754" s="3">
        <v>45689</v>
      </c>
      <c r="B754" t="s">
        <v>75</v>
      </c>
      <c r="C754" s="3">
        <v>45689.010520833333</v>
      </c>
      <c r="D754" t="s">
        <v>79</v>
      </c>
      <c r="E754" s="4">
        <v>8.64</v>
      </c>
      <c r="F754" s="4">
        <v>43017.822999999997</v>
      </c>
      <c r="G754" s="4">
        <v>43026.463000000003</v>
      </c>
      <c r="H754" s="5">
        <f>100 / 86400</f>
        <v>1.1574074074074073E-3</v>
      </c>
      <c r="I754" t="s">
        <v>34</v>
      </c>
      <c r="J754" t="s">
        <v>167</v>
      </c>
      <c r="K754" s="5">
        <f>909 / 86400</f>
        <v>1.0520833333333333E-2</v>
      </c>
      <c r="L754" s="5">
        <f>502 / 86400</f>
        <v>5.8101851851851856E-3</v>
      </c>
    </row>
    <row r="755" spans="1:12" x14ac:dyDescent="0.25">
      <c r="A755" s="3">
        <v>45689.016331018516</v>
      </c>
      <c r="B755" t="s">
        <v>79</v>
      </c>
      <c r="C755" s="3">
        <v>45689.01935185185</v>
      </c>
      <c r="D755" t="s">
        <v>36</v>
      </c>
      <c r="E755" s="4">
        <v>1.4059999999999999</v>
      </c>
      <c r="F755" s="4">
        <v>43026.463000000003</v>
      </c>
      <c r="G755" s="4">
        <v>43027.868999999999</v>
      </c>
      <c r="H755" s="5">
        <f>40 / 86400</f>
        <v>4.6296296296296298E-4</v>
      </c>
      <c r="I755" t="s">
        <v>239</v>
      </c>
      <c r="J755" t="s">
        <v>49</v>
      </c>
      <c r="K755" s="5">
        <f>260 / 86400</f>
        <v>3.0092592592592593E-3</v>
      </c>
      <c r="L755" s="5">
        <f>13191 / 86400</f>
        <v>0.15267361111111111</v>
      </c>
    </row>
    <row r="756" spans="1:12" x14ac:dyDescent="0.25">
      <c r="A756" s="3">
        <v>45689.172025462962</v>
      </c>
      <c r="B756" t="s">
        <v>36</v>
      </c>
      <c r="C756" s="3">
        <v>45689.329965277779</v>
      </c>
      <c r="D756" t="s">
        <v>69</v>
      </c>
      <c r="E756" s="4">
        <v>84.358999999999995</v>
      </c>
      <c r="F756" s="4">
        <v>43027.868999999999</v>
      </c>
      <c r="G756" s="4">
        <v>43112.228000000003</v>
      </c>
      <c r="H756" s="5">
        <f>3219 / 86400</f>
        <v>3.7256944444444447E-2</v>
      </c>
      <c r="I756" t="s">
        <v>40</v>
      </c>
      <c r="J756" t="s">
        <v>119</v>
      </c>
      <c r="K756" s="5">
        <f>13646 / 86400</f>
        <v>0.15793981481481481</v>
      </c>
      <c r="L756" s="5">
        <f>213 / 86400</f>
        <v>2.4652777777777776E-3</v>
      </c>
    </row>
    <row r="757" spans="1:12" x14ac:dyDescent="0.25">
      <c r="A757" s="3">
        <v>45689.332430555558</v>
      </c>
      <c r="B757" t="s">
        <v>69</v>
      </c>
      <c r="C757" s="3">
        <v>45689.333437499998</v>
      </c>
      <c r="D757" t="s">
        <v>69</v>
      </c>
      <c r="E757" s="4">
        <v>0.105</v>
      </c>
      <c r="F757" s="4">
        <v>43112.228000000003</v>
      </c>
      <c r="G757" s="4">
        <v>43112.332999999999</v>
      </c>
      <c r="H757" s="5">
        <f>20 / 86400</f>
        <v>2.3148148148148149E-4</v>
      </c>
      <c r="I757" t="s">
        <v>99</v>
      </c>
      <c r="J757" t="s">
        <v>80</v>
      </c>
      <c r="K757" s="5">
        <f>86 / 86400</f>
        <v>9.9537037037037042E-4</v>
      </c>
      <c r="L757" s="5">
        <f>334 / 86400</f>
        <v>3.8657407407407408E-3</v>
      </c>
    </row>
    <row r="758" spans="1:12" x14ac:dyDescent="0.25">
      <c r="A758" s="3">
        <v>45689.33730324074</v>
      </c>
      <c r="B758" t="s">
        <v>69</v>
      </c>
      <c r="C758" s="3">
        <v>45689.337650462963</v>
      </c>
      <c r="D758" t="s">
        <v>69</v>
      </c>
      <c r="E758" s="4">
        <v>3.6999999999999998E-2</v>
      </c>
      <c r="F758" s="4">
        <v>43112.332999999999</v>
      </c>
      <c r="G758" s="4">
        <v>43112.37</v>
      </c>
      <c r="H758" s="5">
        <f>0 / 86400</f>
        <v>0</v>
      </c>
      <c r="I758" t="s">
        <v>120</v>
      </c>
      <c r="J758" t="s">
        <v>80</v>
      </c>
      <c r="K758" s="5">
        <f>30 / 86400</f>
        <v>3.4722222222222224E-4</v>
      </c>
      <c r="L758" s="5">
        <f>241 / 86400</f>
        <v>2.7893518518518519E-3</v>
      </c>
    </row>
    <row r="759" spans="1:12" x14ac:dyDescent="0.25">
      <c r="A759" s="3">
        <v>45689.340439814812</v>
      </c>
      <c r="B759" t="s">
        <v>69</v>
      </c>
      <c r="C759" s="3">
        <v>45689.340624999997</v>
      </c>
      <c r="D759" t="s">
        <v>69</v>
      </c>
      <c r="E759" s="4">
        <v>3.0000000000000001E-3</v>
      </c>
      <c r="F759" s="4">
        <v>43112.37</v>
      </c>
      <c r="G759" s="4">
        <v>43112.373</v>
      </c>
      <c r="H759" s="5">
        <f>0 / 86400</f>
        <v>0</v>
      </c>
      <c r="I759" t="s">
        <v>37</v>
      </c>
      <c r="J759" t="s">
        <v>100</v>
      </c>
      <c r="K759" s="5">
        <f>15 / 86400</f>
        <v>1.7361111111111112E-4</v>
      </c>
      <c r="L759" s="5">
        <f>4120 / 86400</f>
        <v>4.7685185185185185E-2</v>
      </c>
    </row>
    <row r="760" spans="1:12" x14ac:dyDescent="0.25">
      <c r="A760" s="3">
        <v>45689.388310185182</v>
      </c>
      <c r="B760" t="s">
        <v>69</v>
      </c>
      <c r="C760" s="3">
        <v>45689.391898148147</v>
      </c>
      <c r="D760" t="s">
        <v>146</v>
      </c>
      <c r="E760" s="4">
        <v>0.14699999999999999</v>
      </c>
      <c r="F760" s="4">
        <v>43112.373</v>
      </c>
      <c r="G760" s="4">
        <v>43112.52</v>
      </c>
      <c r="H760" s="5">
        <f>219 / 86400</f>
        <v>2.5347222222222221E-3</v>
      </c>
      <c r="I760" t="s">
        <v>43</v>
      </c>
      <c r="J760" t="s">
        <v>133</v>
      </c>
      <c r="K760" s="5">
        <f>310 / 86400</f>
        <v>3.5879629629629629E-3</v>
      </c>
      <c r="L760" s="5">
        <f>33 / 86400</f>
        <v>3.8194444444444446E-4</v>
      </c>
    </row>
    <row r="761" spans="1:12" x14ac:dyDescent="0.25">
      <c r="A761" s="3">
        <v>45689.392280092594</v>
      </c>
      <c r="B761" t="s">
        <v>69</v>
      </c>
      <c r="C761" s="3">
        <v>45689.639965277776</v>
      </c>
      <c r="D761" t="s">
        <v>146</v>
      </c>
      <c r="E761" s="4">
        <v>107.179</v>
      </c>
      <c r="F761" s="4">
        <v>43112.52</v>
      </c>
      <c r="G761" s="4">
        <v>43219.699000000001</v>
      </c>
      <c r="H761" s="5">
        <f>6902 / 86400</f>
        <v>7.9884259259259266E-2</v>
      </c>
      <c r="I761" t="s">
        <v>140</v>
      </c>
      <c r="J761" t="s">
        <v>23</v>
      </c>
      <c r="K761" s="5">
        <f>21399 / 86400</f>
        <v>0.24767361111111111</v>
      </c>
      <c r="L761" s="5">
        <f>253 / 86400</f>
        <v>2.9282407407407408E-3</v>
      </c>
    </row>
    <row r="762" spans="1:12" x14ac:dyDescent="0.25">
      <c r="A762" s="3">
        <v>45689.642893518518</v>
      </c>
      <c r="B762" t="s">
        <v>146</v>
      </c>
      <c r="C762" s="3">
        <v>45689.643807870365</v>
      </c>
      <c r="D762" t="s">
        <v>69</v>
      </c>
      <c r="E762" s="4">
        <v>0.158</v>
      </c>
      <c r="F762" s="4">
        <v>43219.699000000001</v>
      </c>
      <c r="G762" s="4">
        <v>43219.857000000004</v>
      </c>
      <c r="H762" s="5">
        <f>0 / 86400</f>
        <v>0</v>
      </c>
      <c r="I762" t="s">
        <v>99</v>
      </c>
      <c r="J762" t="s">
        <v>126</v>
      </c>
      <c r="K762" s="5">
        <f>79 / 86400</f>
        <v>9.1435185185185185E-4</v>
      </c>
      <c r="L762" s="5">
        <f>1300 / 86400</f>
        <v>1.5046296296296295E-2</v>
      </c>
    </row>
    <row r="763" spans="1:12" x14ac:dyDescent="0.25">
      <c r="A763" s="3">
        <v>45689.658854166672</v>
      </c>
      <c r="B763" t="s">
        <v>69</v>
      </c>
      <c r="C763" s="3">
        <v>45689.703125</v>
      </c>
      <c r="D763" t="s">
        <v>36</v>
      </c>
      <c r="E763" s="4">
        <v>21.576000000000001</v>
      </c>
      <c r="F763" s="4">
        <v>43219.857000000004</v>
      </c>
      <c r="G763" s="4">
        <v>43241.432999999997</v>
      </c>
      <c r="H763" s="5">
        <f>1180 / 86400</f>
        <v>1.3657407407407408E-2</v>
      </c>
      <c r="I763" t="s">
        <v>58</v>
      </c>
      <c r="J763" t="s">
        <v>62</v>
      </c>
      <c r="K763" s="5">
        <f>3825 / 86400</f>
        <v>4.4270833333333336E-2</v>
      </c>
      <c r="L763" s="5">
        <f>399 / 86400</f>
        <v>4.6180555555555558E-3</v>
      </c>
    </row>
    <row r="764" spans="1:12" x14ac:dyDescent="0.25">
      <c r="A764" s="3">
        <v>45689.707743055551</v>
      </c>
      <c r="B764" t="s">
        <v>36</v>
      </c>
      <c r="C764" s="3">
        <v>45689.711840277778</v>
      </c>
      <c r="D764" t="s">
        <v>36</v>
      </c>
      <c r="E764" s="4">
        <v>1.337</v>
      </c>
      <c r="F764" s="4">
        <v>43241.432999999997</v>
      </c>
      <c r="G764" s="4">
        <v>43242.77</v>
      </c>
      <c r="H764" s="5">
        <f>140 / 86400</f>
        <v>1.6203703703703703E-3</v>
      </c>
      <c r="I764" t="s">
        <v>254</v>
      </c>
      <c r="J764" t="s">
        <v>51</v>
      </c>
      <c r="K764" s="5">
        <f>354 / 86400</f>
        <v>4.0972222222222226E-3</v>
      </c>
      <c r="L764" s="5">
        <f>832 / 86400</f>
        <v>9.6296296296296303E-3</v>
      </c>
    </row>
    <row r="765" spans="1:12" x14ac:dyDescent="0.25">
      <c r="A765" s="3">
        <v>45689.72146990741</v>
      </c>
      <c r="B765" t="s">
        <v>36</v>
      </c>
      <c r="C765" s="3">
        <v>45689.722013888888</v>
      </c>
      <c r="D765" t="s">
        <v>36</v>
      </c>
      <c r="E765" s="4">
        <v>2.4E-2</v>
      </c>
      <c r="F765" s="4">
        <v>43242.77</v>
      </c>
      <c r="G765" s="4">
        <v>43242.794000000002</v>
      </c>
      <c r="H765" s="5">
        <f>0 / 86400</f>
        <v>0</v>
      </c>
      <c r="I765" t="s">
        <v>126</v>
      </c>
      <c r="J765" t="s">
        <v>133</v>
      </c>
      <c r="K765" s="5">
        <f>47 / 86400</f>
        <v>5.4398148148148144E-4</v>
      </c>
      <c r="L765" s="5">
        <f>13298 / 86400</f>
        <v>0.15391203703703704</v>
      </c>
    </row>
    <row r="766" spans="1:12" x14ac:dyDescent="0.25">
      <c r="A766" s="3">
        <v>45689.875925925924</v>
      </c>
      <c r="B766" t="s">
        <v>36</v>
      </c>
      <c r="C766" s="3">
        <v>45689.88685185185</v>
      </c>
      <c r="D766" t="s">
        <v>128</v>
      </c>
      <c r="E766" s="4">
        <v>8.1000000000000003E-2</v>
      </c>
      <c r="F766" s="4">
        <v>43242.794000000002</v>
      </c>
      <c r="G766" s="4">
        <v>43242.875</v>
      </c>
      <c r="H766" s="5">
        <f>879 / 86400</f>
        <v>1.0173611111111111E-2</v>
      </c>
      <c r="I766" t="s">
        <v>51</v>
      </c>
      <c r="J766" t="s">
        <v>37</v>
      </c>
      <c r="K766" s="5">
        <f>943 / 86400</f>
        <v>1.0914351851851852E-2</v>
      </c>
      <c r="L766" s="5">
        <f>637 / 86400</f>
        <v>7.3726851851851852E-3</v>
      </c>
    </row>
    <row r="767" spans="1:12" x14ac:dyDescent="0.25">
      <c r="A767" s="3">
        <v>45689.894224537042</v>
      </c>
      <c r="B767" t="s">
        <v>128</v>
      </c>
      <c r="C767" s="3">
        <v>45689.905335648145</v>
      </c>
      <c r="D767" t="s">
        <v>390</v>
      </c>
      <c r="E767" s="4">
        <v>2.7610000000000001</v>
      </c>
      <c r="F767" s="4">
        <v>43242.875</v>
      </c>
      <c r="G767" s="4">
        <v>43245.635999999999</v>
      </c>
      <c r="H767" s="5">
        <f>320 / 86400</f>
        <v>3.7037037037037038E-3</v>
      </c>
      <c r="I767" t="s">
        <v>178</v>
      </c>
      <c r="J767" t="s">
        <v>116</v>
      </c>
      <c r="K767" s="5">
        <f>960 / 86400</f>
        <v>1.1111111111111112E-2</v>
      </c>
      <c r="L767" s="5">
        <f>92 / 86400</f>
        <v>1.0648148148148149E-3</v>
      </c>
    </row>
    <row r="768" spans="1:12" x14ac:dyDescent="0.25">
      <c r="A768" s="3">
        <v>45689.906400462962</v>
      </c>
      <c r="B768" t="s">
        <v>390</v>
      </c>
      <c r="C768" s="3">
        <v>45689.906631944439</v>
      </c>
      <c r="D768" t="s">
        <v>390</v>
      </c>
      <c r="E768" s="4">
        <v>2E-3</v>
      </c>
      <c r="F768" s="4">
        <v>43245.635999999999</v>
      </c>
      <c r="G768" s="4">
        <v>43245.637999999999</v>
      </c>
      <c r="H768" s="5">
        <f>0 / 86400</f>
        <v>0</v>
      </c>
      <c r="I768" t="s">
        <v>37</v>
      </c>
      <c r="J768" t="s">
        <v>37</v>
      </c>
      <c r="K768" s="5">
        <f>19 / 86400</f>
        <v>2.199074074074074E-4</v>
      </c>
      <c r="L768" s="5">
        <f>1016 / 86400</f>
        <v>1.1759259259259259E-2</v>
      </c>
    </row>
    <row r="769" spans="1:12" x14ac:dyDescent="0.25">
      <c r="A769" s="3">
        <v>45689.918391203704</v>
      </c>
      <c r="B769" t="s">
        <v>390</v>
      </c>
      <c r="C769" s="3">
        <v>45689.924675925926</v>
      </c>
      <c r="D769" t="s">
        <v>391</v>
      </c>
      <c r="E769" s="4">
        <v>2.6509999999999998</v>
      </c>
      <c r="F769" s="4">
        <v>43245.637999999999</v>
      </c>
      <c r="G769" s="4">
        <v>43248.288999999997</v>
      </c>
      <c r="H769" s="5">
        <f>139 / 86400</f>
        <v>1.6087962962962963E-3</v>
      </c>
      <c r="I769" t="s">
        <v>170</v>
      </c>
      <c r="J769" t="s">
        <v>23</v>
      </c>
      <c r="K769" s="5">
        <f>543 / 86400</f>
        <v>6.2847222222222219E-3</v>
      </c>
      <c r="L769" s="5">
        <f>85 / 86400</f>
        <v>9.837962962962962E-4</v>
      </c>
    </row>
    <row r="770" spans="1:12" x14ac:dyDescent="0.25">
      <c r="A770" s="3">
        <v>45689.925659722227</v>
      </c>
      <c r="B770" t="s">
        <v>391</v>
      </c>
      <c r="C770" s="3">
        <v>45689.931643518517</v>
      </c>
      <c r="D770" t="s">
        <v>150</v>
      </c>
      <c r="E770" s="4">
        <v>2.0619999999999998</v>
      </c>
      <c r="F770" s="4">
        <v>43248.288999999997</v>
      </c>
      <c r="G770" s="4">
        <v>43250.351000000002</v>
      </c>
      <c r="H770" s="5">
        <f>160 / 86400</f>
        <v>1.8518518518518519E-3</v>
      </c>
      <c r="I770" t="s">
        <v>254</v>
      </c>
      <c r="J770" t="s">
        <v>51</v>
      </c>
      <c r="K770" s="5">
        <f>517 / 86400</f>
        <v>5.9837962962962961E-3</v>
      </c>
      <c r="L770" s="5">
        <f>474 / 86400</f>
        <v>5.4861111111111109E-3</v>
      </c>
    </row>
    <row r="771" spans="1:12" x14ac:dyDescent="0.25">
      <c r="A771" s="3">
        <v>45689.93712962963</v>
      </c>
      <c r="B771" t="s">
        <v>150</v>
      </c>
      <c r="C771" s="3">
        <v>45689.99998842593</v>
      </c>
      <c r="D771" t="s">
        <v>76</v>
      </c>
      <c r="E771" s="4">
        <v>61.131999999999998</v>
      </c>
      <c r="F771" s="4">
        <v>43250.351000000002</v>
      </c>
      <c r="G771" s="4">
        <v>43311.483</v>
      </c>
      <c r="H771" s="5">
        <f>960 / 86400</f>
        <v>1.1111111111111112E-2</v>
      </c>
      <c r="I771" t="s">
        <v>77</v>
      </c>
      <c r="J771" t="s">
        <v>254</v>
      </c>
      <c r="K771" s="5">
        <f>5431 / 86400</f>
        <v>6.2858796296296301E-2</v>
      </c>
      <c r="L771" s="5">
        <f>0 / 86400</f>
        <v>0</v>
      </c>
    </row>
    <row r="772" spans="1:1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</row>
    <row r="773" spans="1:1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</row>
    <row r="774" spans="1:12" s="10" customFormat="1" ht="20.100000000000001" customHeight="1" x14ac:dyDescent="0.35">
      <c r="A774" s="15" t="s">
        <v>452</v>
      </c>
      <c r="B774" s="15"/>
      <c r="C774" s="15"/>
      <c r="D774" s="15"/>
      <c r="E774" s="15"/>
      <c r="F774" s="15"/>
      <c r="G774" s="15"/>
      <c r="H774" s="15"/>
      <c r="I774" s="15"/>
      <c r="J774" s="15"/>
    </row>
    <row r="775" spans="1:1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</row>
    <row r="776" spans="1:12" ht="30" x14ac:dyDescent="0.25">
      <c r="A776" s="2" t="s">
        <v>6</v>
      </c>
      <c r="B776" s="2" t="s">
        <v>7</v>
      </c>
      <c r="C776" s="2" t="s">
        <v>8</v>
      </c>
      <c r="D776" s="2" t="s">
        <v>9</v>
      </c>
      <c r="E776" s="2" t="s">
        <v>10</v>
      </c>
      <c r="F776" s="2" t="s">
        <v>11</v>
      </c>
      <c r="G776" s="2" t="s">
        <v>12</v>
      </c>
      <c r="H776" s="2" t="s">
        <v>13</v>
      </c>
      <c r="I776" s="2" t="s">
        <v>14</v>
      </c>
      <c r="J776" s="2" t="s">
        <v>15</v>
      </c>
      <c r="K776" s="2" t="s">
        <v>16</v>
      </c>
      <c r="L776" s="2" t="s">
        <v>17</v>
      </c>
    </row>
    <row r="777" spans="1:12" x14ac:dyDescent="0.25">
      <c r="A777" s="3">
        <v>45689.289456018523</v>
      </c>
      <c r="B777" t="s">
        <v>78</v>
      </c>
      <c r="C777" s="3">
        <v>45689.289502314816</v>
      </c>
      <c r="D777" t="s">
        <v>78</v>
      </c>
      <c r="E777" s="4">
        <v>0</v>
      </c>
      <c r="F777" s="4">
        <v>524704.10199999996</v>
      </c>
      <c r="G777" s="4">
        <v>524704.10199999996</v>
      </c>
      <c r="H777" s="5">
        <f>0 / 86400</f>
        <v>0</v>
      </c>
      <c r="I777" t="s">
        <v>37</v>
      </c>
      <c r="J777" t="s">
        <v>37</v>
      </c>
      <c r="K777" s="5">
        <f>4 / 86400</f>
        <v>4.6296296296296294E-5</v>
      </c>
      <c r="L777" s="5">
        <f>25184 / 86400</f>
        <v>0.29148148148148151</v>
      </c>
    </row>
    <row r="778" spans="1:12" x14ac:dyDescent="0.25">
      <c r="A778" s="3">
        <v>45689.291527777779</v>
      </c>
      <c r="B778" t="s">
        <v>78</v>
      </c>
      <c r="C778" s="3">
        <v>45689.292118055557</v>
      </c>
      <c r="D778" t="s">
        <v>78</v>
      </c>
      <c r="E778" s="4">
        <v>0</v>
      </c>
      <c r="F778" s="4">
        <v>524704.10199999996</v>
      </c>
      <c r="G778" s="4">
        <v>524704.10199999996</v>
      </c>
      <c r="H778" s="5">
        <f>40 / 86400</f>
        <v>4.6296296296296298E-4</v>
      </c>
      <c r="I778" t="s">
        <v>37</v>
      </c>
      <c r="J778" t="s">
        <v>37</v>
      </c>
      <c r="K778" s="5">
        <f>51 / 86400</f>
        <v>5.9027777777777778E-4</v>
      </c>
      <c r="L778" s="5">
        <f>6 / 86400</f>
        <v>6.9444444444444444E-5</v>
      </c>
    </row>
    <row r="779" spans="1:12" x14ac:dyDescent="0.25">
      <c r="A779" s="3">
        <v>45689.292187500003</v>
      </c>
      <c r="B779" t="s">
        <v>78</v>
      </c>
      <c r="C779" s="3">
        <v>45689.294583333336</v>
      </c>
      <c r="D779" t="s">
        <v>392</v>
      </c>
      <c r="E779" s="4">
        <v>0.13200000011920929</v>
      </c>
      <c r="F779" s="4">
        <v>524704.10199999996</v>
      </c>
      <c r="G779" s="4">
        <v>524704.23400000005</v>
      </c>
      <c r="H779" s="5">
        <f>102 / 86400</f>
        <v>1.1805555555555556E-3</v>
      </c>
      <c r="I779" t="s">
        <v>126</v>
      </c>
      <c r="J779" t="s">
        <v>133</v>
      </c>
      <c r="K779" s="5">
        <f>207 / 86400</f>
        <v>2.3958333333333331E-3</v>
      </c>
      <c r="L779" s="5">
        <f>15 / 86400</f>
        <v>1.7361111111111112E-4</v>
      </c>
    </row>
    <row r="780" spans="1:12" x14ac:dyDescent="0.25">
      <c r="A780" s="3">
        <v>45689.294756944444</v>
      </c>
      <c r="B780" t="s">
        <v>392</v>
      </c>
      <c r="C780" s="3">
        <v>45689.295115740737</v>
      </c>
      <c r="D780" t="s">
        <v>392</v>
      </c>
      <c r="E780" s="4">
        <v>0</v>
      </c>
      <c r="F780" s="4">
        <v>524704.23400000005</v>
      </c>
      <c r="G780" s="4">
        <v>524704.23400000005</v>
      </c>
      <c r="H780" s="5">
        <f>20 / 86400</f>
        <v>2.3148148148148149E-4</v>
      </c>
      <c r="I780" t="s">
        <v>37</v>
      </c>
      <c r="J780" t="s">
        <v>37</v>
      </c>
      <c r="K780" s="5">
        <f>31 / 86400</f>
        <v>3.5879629629629629E-4</v>
      </c>
      <c r="L780" s="5">
        <f>55268 / 86400</f>
        <v>0.63967592592592593</v>
      </c>
    </row>
    <row r="781" spans="1:12" x14ac:dyDescent="0.25">
      <c r="A781" s="3">
        <v>45689.934791666667</v>
      </c>
      <c r="B781" t="s">
        <v>392</v>
      </c>
      <c r="C781" s="3">
        <v>45689.943101851852</v>
      </c>
      <c r="D781" t="s">
        <v>79</v>
      </c>
      <c r="E781" s="4">
        <v>0.89900000000000002</v>
      </c>
      <c r="F781" s="4">
        <v>524704.23400000005</v>
      </c>
      <c r="G781" s="4">
        <v>524705.13300000003</v>
      </c>
      <c r="H781" s="5">
        <f>279 / 86400</f>
        <v>3.2291666666666666E-3</v>
      </c>
      <c r="I781" t="s">
        <v>30</v>
      </c>
      <c r="J781" t="s">
        <v>56</v>
      </c>
      <c r="K781" s="5">
        <f>718 / 86400</f>
        <v>8.3101851851851843E-3</v>
      </c>
      <c r="L781" s="5">
        <f>4915 / 86400</f>
        <v>5.6886574074074076E-2</v>
      </c>
    </row>
    <row r="782" spans="1:12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</row>
    <row r="783" spans="1:12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</row>
    <row r="784" spans="1:12" s="10" customFormat="1" ht="20.100000000000001" customHeight="1" x14ac:dyDescent="0.35">
      <c r="A784" s="15" t="s">
        <v>453</v>
      </c>
      <c r="B784" s="15"/>
      <c r="C784" s="15"/>
      <c r="D784" s="15"/>
      <c r="E784" s="15"/>
      <c r="F784" s="15"/>
      <c r="G784" s="15"/>
      <c r="H784" s="15"/>
      <c r="I784" s="15"/>
      <c r="J784" s="15"/>
    </row>
    <row r="785" spans="1:12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</row>
    <row r="786" spans="1:12" ht="30" x14ac:dyDescent="0.25">
      <c r="A786" s="2" t="s">
        <v>6</v>
      </c>
      <c r="B786" s="2" t="s">
        <v>7</v>
      </c>
      <c r="C786" s="2" t="s">
        <v>8</v>
      </c>
      <c r="D786" s="2" t="s">
        <v>9</v>
      </c>
      <c r="E786" s="2" t="s">
        <v>10</v>
      </c>
      <c r="F786" s="2" t="s">
        <v>11</v>
      </c>
      <c r="G786" s="2" t="s">
        <v>12</v>
      </c>
      <c r="H786" s="2" t="s">
        <v>13</v>
      </c>
      <c r="I786" s="2" t="s">
        <v>14</v>
      </c>
      <c r="J786" s="2" t="s">
        <v>15</v>
      </c>
      <c r="K786" s="2" t="s">
        <v>16</v>
      </c>
      <c r="L786" s="2" t="s">
        <v>17</v>
      </c>
    </row>
    <row r="787" spans="1:12" x14ac:dyDescent="0.25">
      <c r="A787" s="3">
        <v>45689.203900462962</v>
      </c>
      <c r="B787" t="s">
        <v>36</v>
      </c>
      <c r="C787" s="3">
        <v>45689.204641203702</v>
      </c>
      <c r="D787" t="s">
        <v>36</v>
      </c>
      <c r="E787" s="4">
        <v>1.7999999999999999E-2</v>
      </c>
      <c r="F787" s="4">
        <v>565906.54099999997</v>
      </c>
      <c r="G787" s="4">
        <v>565906.55900000001</v>
      </c>
      <c r="H787" s="5">
        <f>59 / 86400</f>
        <v>6.8287037037037036E-4</v>
      </c>
      <c r="I787" t="s">
        <v>37</v>
      </c>
      <c r="J787" t="s">
        <v>100</v>
      </c>
      <c r="K787" s="5">
        <f>63 / 86400</f>
        <v>7.291666666666667E-4</v>
      </c>
      <c r="L787" s="5">
        <f>18322 / 86400</f>
        <v>0.21206018518518518</v>
      </c>
    </row>
    <row r="788" spans="1:12" x14ac:dyDescent="0.25">
      <c r="A788" s="3">
        <v>45689.212800925925</v>
      </c>
      <c r="B788" t="s">
        <v>36</v>
      </c>
      <c r="C788" s="3">
        <v>45689.315393518518</v>
      </c>
      <c r="D788" t="s">
        <v>162</v>
      </c>
      <c r="E788" s="4">
        <v>31.748000000000001</v>
      </c>
      <c r="F788" s="4">
        <v>565906.55900000001</v>
      </c>
      <c r="G788" s="4">
        <v>565938.30700000003</v>
      </c>
      <c r="H788" s="5">
        <f>4300 / 86400</f>
        <v>4.9768518518518517E-2</v>
      </c>
      <c r="I788" t="s">
        <v>325</v>
      </c>
      <c r="J788" t="s">
        <v>31</v>
      </c>
      <c r="K788" s="5">
        <f>8864 / 86400</f>
        <v>0.1025925925925926</v>
      </c>
      <c r="L788" s="5">
        <f>242 / 86400</f>
        <v>2.8009259259259259E-3</v>
      </c>
    </row>
    <row r="789" spans="1:12" x14ac:dyDescent="0.25">
      <c r="A789" s="3">
        <v>45689.318194444444</v>
      </c>
      <c r="B789" t="s">
        <v>162</v>
      </c>
      <c r="C789" s="3">
        <v>45689.457905092597</v>
      </c>
      <c r="D789" t="s">
        <v>45</v>
      </c>
      <c r="E789" s="4">
        <v>50.012</v>
      </c>
      <c r="F789" s="4">
        <v>565938.30700000003</v>
      </c>
      <c r="G789" s="4">
        <v>565988.31900000002</v>
      </c>
      <c r="H789" s="5">
        <f>4359 / 86400</f>
        <v>5.0451388888888886E-2</v>
      </c>
      <c r="I789" t="s">
        <v>65</v>
      </c>
      <c r="J789" t="s">
        <v>43</v>
      </c>
      <c r="K789" s="5">
        <f>12070 / 86400</f>
        <v>0.13969907407407409</v>
      </c>
      <c r="L789" s="5">
        <f>2107 / 86400</f>
        <v>2.4386574074074074E-2</v>
      </c>
    </row>
    <row r="790" spans="1:12" x14ac:dyDescent="0.25">
      <c r="A790" s="3">
        <v>45689.482291666667</v>
      </c>
      <c r="B790" t="s">
        <v>45</v>
      </c>
      <c r="C790" s="3">
        <v>45689.66606481481</v>
      </c>
      <c r="D790" t="s">
        <v>307</v>
      </c>
      <c r="E790" s="4">
        <v>92.983000000000004</v>
      </c>
      <c r="F790" s="4">
        <v>565988.31900000002</v>
      </c>
      <c r="G790" s="4">
        <v>566081.30200000003</v>
      </c>
      <c r="H790" s="5">
        <f>4620 / 86400</f>
        <v>5.347222222222222E-2</v>
      </c>
      <c r="I790" t="s">
        <v>32</v>
      </c>
      <c r="J790" t="s">
        <v>20</v>
      </c>
      <c r="K790" s="5">
        <f>15877 / 86400</f>
        <v>0.18376157407407406</v>
      </c>
      <c r="L790" s="5">
        <f>128 / 86400</f>
        <v>1.4814814814814814E-3</v>
      </c>
    </row>
    <row r="791" spans="1:12" x14ac:dyDescent="0.25">
      <c r="A791" s="3">
        <v>45689.667546296296</v>
      </c>
      <c r="B791" t="s">
        <v>393</v>
      </c>
      <c r="C791" s="3">
        <v>45689.668657407412</v>
      </c>
      <c r="D791" t="s">
        <v>307</v>
      </c>
      <c r="E791" s="4">
        <v>0.114</v>
      </c>
      <c r="F791" s="4">
        <v>566081.30200000003</v>
      </c>
      <c r="G791" s="4">
        <v>566081.41599999997</v>
      </c>
      <c r="H791" s="5">
        <f>40 / 86400</f>
        <v>4.6296296296296298E-4</v>
      </c>
      <c r="I791" t="s">
        <v>51</v>
      </c>
      <c r="J791" t="s">
        <v>80</v>
      </c>
      <c r="K791" s="5">
        <f>95 / 86400</f>
        <v>1.0995370370370371E-3</v>
      </c>
      <c r="L791" s="5">
        <f>383 / 86400</f>
        <v>4.43287037037037E-3</v>
      </c>
    </row>
    <row r="792" spans="1:12" x14ac:dyDescent="0.25">
      <c r="A792" s="3">
        <v>45689.673090277778</v>
      </c>
      <c r="B792" t="s">
        <v>307</v>
      </c>
      <c r="C792" s="3">
        <v>45689.816412037035</v>
      </c>
      <c r="D792" t="s">
        <v>153</v>
      </c>
      <c r="E792" s="4">
        <v>50.530999999999999</v>
      </c>
      <c r="F792" s="4">
        <v>566081.41599999997</v>
      </c>
      <c r="G792" s="4">
        <v>566131.94700000004</v>
      </c>
      <c r="H792" s="5">
        <f>5338 / 86400</f>
        <v>6.1782407407407404E-2</v>
      </c>
      <c r="I792" t="s">
        <v>88</v>
      </c>
      <c r="J792" t="s">
        <v>43</v>
      </c>
      <c r="K792" s="5">
        <f>12382 / 86400</f>
        <v>0.14331018518518518</v>
      </c>
      <c r="L792" s="5">
        <f>129 / 86400</f>
        <v>1.4930555555555556E-3</v>
      </c>
    </row>
    <row r="793" spans="1:12" x14ac:dyDescent="0.25">
      <c r="A793" s="3">
        <v>45689.817905092597</v>
      </c>
      <c r="B793" t="s">
        <v>153</v>
      </c>
      <c r="C793" s="3">
        <v>45689.81831018519</v>
      </c>
      <c r="D793" t="s">
        <v>153</v>
      </c>
      <c r="E793" s="4">
        <v>2.9000000000000001E-2</v>
      </c>
      <c r="F793" s="4">
        <v>566131.94700000004</v>
      </c>
      <c r="G793" s="4">
        <v>566131.97600000002</v>
      </c>
      <c r="H793" s="5">
        <f>0 / 86400</f>
        <v>0</v>
      </c>
      <c r="I793" t="s">
        <v>56</v>
      </c>
      <c r="J793" t="s">
        <v>121</v>
      </c>
      <c r="K793" s="5">
        <f>35 / 86400</f>
        <v>4.0509259259259258E-4</v>
      </c>
      <c r="L793" s="5">
        <f>1246 / 86400</f>
        <v>1.4421296296296297E-2</v>
      </c>
    </row>
    <row r="794" spans="1:12" x14ac:dyDescent="0.25">
      <c r="A794" s="3">
        <v>45689.832731481481</v>
      </c>
      <c r="B794" t="s">
        <v>153</v>
      </c>
      <c r="C794" s="3">
        <v>45689.840138888889</v>
      </c>
      <c r="D794" t="s">
        <v>24</v>
      </c>
      <c r="E794" s="4">
        <v>2.3849999999999998</v>
      </c>
      <c r="F794" s="4">
        <v>566131.97600000002</v>
      </c>
      <c r="G794" s="4">
        <v>566134.36100000003</v>
      </c>
      <c r="H794" s="5">
        <f>199 / 86400</f>
        <v>2.3032407407407407E-3</v>
      </c>
      <c r="I794" t="s">
        <v>167</v>
      </c>
      <c r="J794" t="s">
        <v>31</v>
      </c>
      <c r="K794" s="5">
        <f>640 / 86400</f>
        <v>7.4074074074074077E-3</v>
      </c>
      <c r="L794" s="5">
        <f>147 / 86400</f>
        <v>1.7013888888888888E-3</v>
      </c>
    </row>
    <row r="795" spans="1:12" x14ac:dyDescent="0.25">
      <c r="A795" s="3">
        <v>45689.841840277775</v>
      </c>
      <c r="B795" t="s">
        <v>24</v>
      </c>
      <c r="C795" s="3">
        <v>45689.843541666662</v>
      </c>
      <c r="D795" t="s">
        <v>24</v>
      </c>
      <c r="E795" s="4">
        <v>0.442</v>
      </c>
      <c r="F795" s="4">
        <v>566134.36100000003</v>
      </c>
      <c r="G795" s="4">
        <v>566134.80299999996</v>
      </c>
      <c r="H795" s="5">
        <f>20 / 86400</f>
        <v>2.3148148148148149E-4</v>
      </c>
      <c r="I795" t="s">
        <v>49</v>
      </c>
      <c r="J795" t="s">
        <v>71</v>
      </c>
      <c r="K795" s="5">
        <f>146 / 86400</f>
        <v>1.6898148148148148E-3</v>
      </c>
      <c r="L795" s="5">
        <f>1241 / 86400</f>
        <v>1.4363425925925925E-2</v>
      </c>
    </row>
    <row r="796" spans="1:12" x14ac:dyDescent="0.25">
      <c r="A796" s="3">
        <v>45689.857905092591</v>
      </c>
      <c r="B796" t="s">
        <v>24</v>
      </c>
      <c r="C796" s="3">
        <v>45689.858900462961</v>
      </c>
      <c r="D796" t="s">
        <v>24</v>
      </c>
      <c r="E796" s="4">
        <v>3.2000000000000001E-2</v>
      </c>
      <c r="F796" s="4">
        <v>566134.80299999996</v>
      </c>
      <c r="G796" s="4">
        <v>566134.83499999996</v>
      </c>
      <c r="H796" s="5">
        <f>39 / 86400</f>
        <v>4.5138888888888887E-4</v>
      </c>
      <c r="I796" t="s">
        <v>56</v>
      </c>
      <c r="J796" t="s">
        <v>100</v>
      </c>
      <c r="K796" s="5">
        <f>86 / 86400</f>
        <v>9.9537037037037042E-4</v>
      </c>
      <c r="L796" s="5">
        <f>12190 / 86400</f>
        <v>0.14108796296296297</v>
      </c>
    </row>
    <row r="797" spans="1:12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</row>
    <row r="798" spans="1:1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</row>
    <row r="799" spans="1:12" s="10" customFormat="1" ht="20.100000000000001" customHeight="1" x14ac:dyDescent="0.35">
      <c r="A799" s="15" t="s">
        <v>454</v>
      </c>
      <c r="B799" s="15"/>
      <c r="C799" s="15"/>
      <c r="D799" s="15"/>
      <c r="E799" s="15"/>
      <c r="F799" s="15"/>
      <c r="G799" s="15"/>
      <c r="H799" s="15"/>
      <c r="I799" s="15"/>
      <c r="J799" s="15"/>
    </row>
    <row r="800" spans="1:12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</row>
    <row r="801" spans="1:12" ht="30" x14ac:dyDescent="0.25">
      <c r="A801" s="2" t="s">
        <v>6</v>
      </c>
      <c r="B801" s="2" t="s">
        <v>7</v>
      </c>
      <c r="C801" s="2" t="s">
        <v>8</v>
      </c>
      <c r="D801" s="2" t="s">
        <v>9</v>
      </c>
      <c r="E801" s="2" t="s">
        <v>10</v>
      </c>
      <c r="F801" s="2" t="s">
        <v>11</v>
      </c>
      <c r="G801" s="2" t="s">
        <v>12</v>
      </c>
      <c r="H801" s="2" t="s">
        <v>13</v>
      </c>
      <c r="I801" s="2" t="s">
        <v>14</v>
      </c>
      <c r="J801" s="2" t="s">
        <v>15</v>
      </c>
      <c r="K801" s="2" t="s">
        <v>16</v>
      </c>
      <c r="L801" s="2" t="s">
        <v>17</v>
      </c>
    </row>
    <row r="802" spans="1:12" x14ac:dyDescent="0.25">
      <c r="A802" s="3">
        <v>45689.244432870371</v>
      </c>
      <c r="B802" t="s">
        <v>81</v>
      </c>
      <c r="C802" s="3">
        <v>45689.316006944442</v>
      </c>
      <c r="D802" t="s">
        <v>139</v>
      </c>
      <c r="E802" s="4">
        <v>38.008000000000003</v>
      </c>
      <c r="F802" s="4">
        <v>433553.13699999999</v>
      </c>
      <c r="G802" s="4">
        <v>433591.14500000002</v>
      </c>
      <c r="H802" s="5">
        <f>1119 / 86400</f>
        <v>1.2951388888888889E-2</v>
      </c>
      <c r="I802" t="s">
        <v>145</v>
      </c>
      <c r="J802" t="s">
        <v>119</v>
      </c>
      <c r="K802" s="5">
        <f>6183 / 86400</f>
        <v>7.1562500000000001E-2</v>
      </c>
      <c r="L802" s="5">
        <f>22525 / 86400</f>
        <v>0.26070601851851855</v>
      </c>
    </row>
    <row r="803" spans="1:12" x14ac:dyDescent="0.25">
      <c r="A803" s="3">
        <v>45689.332280092596</v>
      </c>
      <c r="B803" t="s">
        <v>139</v>
      </c>
      <c r="C803" s="3">
        <v>45689.334016203706</v>
      </c>
      <c r="D803" t="s">
        <v>394</v>
      </c>
      <c r="E803" s="4">
        <v>0.41499999999999998</v>
      </c>
      <c r="F803" s="4">
        <v>433591.14500000002</v>
      </c>
      <c r="G803" s="4">
        <v>433591.56</v>
      </c>
      <c r="H803" s="5">
        <f>0 / 86400</f>
        <v>0</v>
      </c>
      <c r="I803" t="s">
        <v>123</v>
      </c>
      <c r="J803" t="s">
        <v>116</v>
      </c>
      <c r="K803" s="5">
        <f>150 / 86400</f>
        <v>1.736111111111111E-3</v>
      </c>
      <c r="L803" s="5">
        <f>3376 / 86400</f>
        <v>3.9074074074074074E-2</v>
      </c>
    </row>
    <row r="804" spans="1:12" x14ac:dyDescent="0.25">
      <c r="A804" s="3">
        <v>45689.373090277775</v>
      </c>
      <c r="B804" t="s">
        <v>394</v>
      </c>
      <c r="C804" s="3">
        <v>45689.375520833331</v>
      </c>
      <c r="D804" t="s">
        <v>139</v>
      </c>
      <c r="E804" s="4">
        <v>0.48599999999999999</v>
      </c>
      <c r="F804" s="4">
        <v>433591.56</v>
      </c>
      <c r="G804" s="4">
        <v>433592.04599999997</v>
      </c>
      <c r="H804" s="5">
        <f>19 / 86400</f>
        <v>2.199074074074074E-4</v>
      </c>
      <c r="I804" t="s">
        <v>35</v>
      </c>
      <c r="J804" t="s">
        <v>120</v>
      </c>
      <c r="K804" s="5">
        <f>209 / 86400</f>
        <v>2.4189814814814816E-3</v>
      </c>
      <c r="L804" s="5">
        <f>811 / 86400</f>
        <v>9.3865740740740732E-3</v>
      </c>
    </row>
    <row r="805" spans="1:12" x14ac:dyDescent="0.25">
      <c r="A805" s="3">
        <v>45689.38490740741</v>
      </c>
      <c r="B805" t="s">
        <v>139</v>
      </c>
      <c r="C805" s="3">
        <v>45689.388182870374</v>
      </c>
      <c r="D805" t="s">
        <v>69</v>
      </c>
      <c r="E805" s="4">
        <v>1.296</v>
      </c>
      <c r="F805" s="4">
        <v>433592.04599999997</v>
      </c>
      <c r="G805" s="4">
        <v>433593.342</v>
      </c>
      <c r="H805" s="5">
        <f>0 / 86400</f>
        <v>0</v>
      </c>
      <c r="I805" t="s">
        <v>206</v>
      </c>
      <c r="J805" t="s">
        <v>26</v>
      </c>
      <c r="K805" s="5">
        <f>283 / 86400</f>
        <v>3.2754629629629631E-3</v>
      </c>
      <c r="L805" s="5">
        <f>2630 / 86400</f>
        <v>3.0439814814814815E-2</v>
      </c>
    </row>
    <row r="806" spans="1:12" x14ac:dyDescent="0.25">
      <c r="A806" s="3">
        <v>45689.418622685189</v>
      </c>
      <c r="B806" t="s">
        <v>69</v>
      </c>
      <c r="C806" s="3">
        <v>45689.690405092595</v>
      </c>
      <c r="D806" t="s">
        <v>69</v>
      </c>
      <c r="E806" s="4">
        <v>99.88</v>
      </c>
      <c r="F806" s="4">
        <v>433593.342</v>
      </c>
      <c r="G806" s="4">
        <v>433693.22200000001</v>
      </c>
      <c r="H806" s="5">
        <f>7880 / 86400</f>
        <v>9.1203703703703703E-2</v>
      </c>
      <c r="I806" t="s">
        <v>77</v>
      </c>
      <c r="J806" t="s">
        <v>43</v>
      </c>
      <c r="K806" s="5">
        <f>23481 / 86400</f>
        <v>0.27177083333333335</v>
      </c>
      <c r="L806" s="5">
        <f>5359 / 86400</f>
        <v>6.2025462962962963E-2</v>
      </c>
    </row>
    <row r="807" spans="1:12" x14ac:dyDescent="0.25">
      <c r="A807" s="3">
        <v>45689.752430555556</v>
      </c>
      <c r="B807" t="s">
        <v>69</v>
      </c>
      <c r="C807" s="3">
        <v>45689.75399305555</v>
      </c>
      <c r="D807" t="s">
        <v>69</v>
      </c>
      <c r="E807" s="4">
        <v>3.1E-2</v>
      </c>
      <c r="F807" s="4">
        <v>433693.22200000001</v>
      </c>
      <c r="G807" s="4">
        <v>433693.25300000003</v>
      </c>
      <c r="H807" s="5">
        <f>79 / 86400</f>
        <v>9.1435185185185185E-4</v>
      </c>
      <c r="I807" t="s">
        <v>85</v>
      </c>
      <c r="J807" t="s">
        <v>100</v>
      </c>
      <c r="K807" s="5">
        <f>135 / 86400</f>
        <v>1.5625000000000001E-3</v>
      </c>
      <c r="L807" s="5">
        <f>412 / 86400</f>
        <v>4.7685185185185183E-3</v>
      </c>
    </row>
    <row r="808" spans="1:12" x14ac:dyDescent="0.25">
      <c r="A808" s="3">
        <v>45689.758761574078</v>
      </c>
      <c r="B808" t="s">
        <v>69</v>
      </c>
      <c r="C808" s="3">
        <v>45689.75986111111</v>
      </c>
      <c r="D808" t="s">
        <v>117</v>
      </c>
      <c r="E808" s="4">
        <v>0.20200000000000001</v>
      </c>
      <c r="F808" s="4">
        <v>433693.25300000003</v>
      </c>
      <c r="G808" s="4">
        <v>433693.45500000002</v>
      </c>
      <c r="H808" s="5">
        <f>20 / 86400</f>
        <v>2.3148148148148149E-4</v>
      </c>
      <c r="I808" t="s">
        <v>49</v>
      </c>
      <c r="J808" t="s">
        <v>120</v>
      </c>
      <c r="K808" s="5">
        <f>95 / 86400</f>
        <v>1.0995370370370371E-3</v>
      </c>
      <c r="L808" s="5">
        <f>450 / 86400</f>
        <v>5.208333333333333E-3</v>
      </c>
    </row>
    <row r="809" spans="1:12" x14ac:dyDescent="0.25">
      <c r="A809" s="3">
        <v>45689.765069444446</v>
      </c>
      <c r="B809" t="s">
        <v>117</v>
      </c>
      <c r="C809" s="3">
        <v>45689.766342592593</v>
      </c>
      <c r="D809" t="s">
        <v>117</v>
      </c>
      <c r="E809" s="4">
        <v>8.1000000000000003E-2</v>
      </c>
      <c r="F809" s="4">
        <v>433693.45500000002</v>
      </c>
      <c r="G809" s="4">
        <v>433693.53600000002</v>
      </c>
      <c r="H809" s="5">
        <f>60 / 86400</f>
        <v>6.9444444444444447E-4</v>
      </c>
      <c r="I809" t="s">
        <v>120</v>
      </c>
      <c r="J809" t="s">
        <v>121</v>
      </c>
      <c r="K809" s="5">
        <f>109 / 86400</f>
        <v>1.261574074074074E-3</v>
      </c>
      <c r="L809" s="5">
        <f>1138 / 86400</f>
        <v>1.3171296296296296E-2</v>
      </c>
    </row>
    <row r="810" spans="1:12" x14ac:dyDescent="0.25">
      <c r="A810" s="3">
        <v>45689.779513888891</v>
      </c>
      <c r="B810" t="s">
        <v>117</v>
      </c>
      <c r="C810" s="3">
        <v>45689.891006944439</v>
      </c>
      <c r="D810" t="s">
        <v>395</v>
      </c>
      <c r="E810" s="4">
        <v>48.360999999999997</v>
      </c>
      <c r="F810" s="4">
        <v>433693.53600000002</v>
      </c>
      <c r="G810" s="4">
        <v>433741.897</v>
      </c>
      <c r="H810" s="5">
        <f>2839 / 86400</f>
        <v>3.2858796296296296E-2</v>
      </c>
      <c r="I810" t="s">
        <v>65</v>
      </c>
      <c r="J810" t="s">
        <v>23</v>
      </c>
      <c r="K810" s="5">
        <f>9633 / 86400</f>
        <v>0.11149305555555555</v>
      </c>
      <c r="L810" s="5">
        <f>110 / 86400</f>
        <v>1.2731481481481483E-3</v>
      </c>
    </row>
    <row r="811" spans="1:12" x14ac:dyDescent="0.25">
      <c r="A811" s="3">
        <v>45689.892280092594</v>
      </c>
      <c r="B811" t="s">
        <v>395</v>
      </c>
      <c r="C811" s="3">
        <v>45689.892500000002</v>
      </c>
      <c r="D811" t="s">
        <v>395</v>
      </c>
      <c r="E811" s="4">
        <v>0.02</v>
      </c>
      <c r="F811" s="4">
        <v>433741.897</v>
      </c>
      <c r="G811" s="4">
        <v>433741.91700000002</v>
      </c>
      <c r="H811" s="5">
        <f>0 / 86400</f>
        <v>0</v>
      </c>
      <c r="I811" t="s">
        <v>92</v>
      </c>
      <c r="J811" t="s">
        <v>80</v>
      </c>
      <c r="K811" s="5">
        <f>19 / 86400</f>
        <v>2.199074074074074E-4</v>
      </c>
      <c r="L811" s="5">
        <f>481 / 86400</f>
        <v>5.5671296296296293E-3</v>
      </c>
    </row>
    <row r="812" spans="1:12" x14ac:dyDescent="0.25">
      <c r="A812" s="3">
        <v>45689.89806712963</v>
      </c>
      <c r="B812" t="s">
        <v>395</v>
      </c>
      <c r="C812" s="3">
        <v>45689.901597222226</v>
      </c>
      <c r="D812" t="s">
        <v>81</v>
      </c>
      <c r="E812" s="4">
        <v>0.83899999999999997</v>
      </c>
      <c r="F812" s="4">
        <v>433741.91700000002</v>
      </c>
      <c r="G812" s="4">
        <v>433742.75599999999</v>
      </c>
      <c r="H812" s="5">
        <f>120 / 86400</f>
        <v>1.3888888888888889E-3</v>
      </c>
      <c r="I812" t="s">
        <v>147</v>
      </c>
      <c r="J812" t="s">
        <v>116</v>
      </c>
      <c r="K812" s="5">
        <f>304 / 86400</f>
        <v>3.5185185185185185E-3</v>
      </c>
      <c r="L812" s="5">
        <f>147 / 86400</f>
        <v>1.7013888888888888E-3</v>
      </c>
    </row>
    <row r="813" spans="1:12" x14ac:dyDescent="0.25">
      <c r="A813" s="3">
        <v>45689.903298611112</v>
      </c>
      <c r="B813" t="s">
        <v>81</v>
      </c>
      <c r="C813" s="3">
        <v>45689.903414351851</v>
      </c>
      <c r="D813" t="s">
        <v>81</v>
      </c>
      <c r="E813" s="4">
        <v>0</v>
      </c>
      <c r="F813" s="4">
        <v>433742.75599999999</v>
      </c>
      <c r="G813" s="4">
        <v>433742.75599999999</v>
      </c>
      <c r="H813" s="5">
        <f>0 / 86400</f>
        <v>0</v>
      </c>
      <c r="I813" t="s">
        <v>37</v>
      </c>
      <c r="J813" t="s">
        <v>37</v>
      </c>
      <c r="K813" s="5">
        <f>9 / 86400</f>
        <v>1.0416666666666667E-4</v>
      </c>
      <c r="L813" s="5">
        <f>8344 / 86400</f>
        <v>9.6574074074074076E-2</v>
      </c>
    </row>
    <row r="814" spans="1:12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</row>
    <row r="815" spans="1:12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</row>
    <row r="816" spans="1:12" s="10" customFormat="1" ht="20.100000000000001" customHeight="1" x14ac:dyDescent="0.35">
      <c r="A816" s="15" t="s">
        <v>455</v>
      </c>
      <c r="B816" s="15"/>
      <c r="C816" s="15"/>
      <c r="D816" s="15"/>
      <c r="E816" s="15"/>
      <c r="F816" s="15"/>
      <c r="G816" s="15"/>
      <c r="H816" s="15"/>
      <c r="I816" s="15"/>
      <c r="J816" s="15"/>
    </row>
    <row r="817" spans="1:12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</row>
    <row r="818" spans="1:12" ht="30" x14ac:dyDescent="0.25">
      <c r="A818" s="2" t="s">
        <v>6</v>
      </c>
      <c r="B818" s="2" t="s">
        <v>7</v>
      </c>
      <c r="C818" s="2" t="s">
        <v>8</v>
      </c>
      <c r="D818" s="2" t="s">
        <v>9</v>
      </c>
      <c r="E818" s="2" t="s">
        <v>10</v>
      </c>
      <c r="F818" s="2" t="s">
        <v>11</v>
      </c>
      <c r="G818" s="2" t="s">
        <v>12</v>
      </c>
      <c r="H818" s="2" t="s">
        <v>13</v>
      </c>
      <c r="I818" s="2" t="s">
        <v>14</v>
      </c>
      <c r="J818" s="2" t="s">
        <v>15</v>
      </c>
      <c r="K818" s="2" t="s">
        <v>16</v>
      </c>
      <c r="L818" s="2" t="s">
        <v>17</v>
      </c>
    </row>
    <row r="819" spans="1:12" x14ac:dyDescent="0.25">
      <c r="A819" s="3">
        <v>45689.241423611107</v>
      </c>
      <c r="B819" t="s">
        <v>50</v>
      </c>
      <c r="C819" s="3">
        <v>45689.323703703703</v>
      </c>
      <c r="D819" t="s">
        <v>204</v>
      </c>
      <c r="E819" s="4">
        <v>41.661999999999999</v>
      </c>
      <c r="F819" s="4">
        <v>512825.68400000001</v>
      </c>
      <c r="G819" s="4">
        <v>512867.34600000002</v>
      </c>
      <c r="H819" s="5">
        <f>2281 / 86400</f>
        <v>2.6400462962962962E-2</v>
      </c>
      <c r="I819" t="s">
        <v>29</v>
      </c>
      <c r="J819" t="s">
        <v>20</v>
      </c>
      <c r="K819" s="5">
        <f>7109 / 86400</f>
        <v>8.2280092592592599E-2</v>
      </c>
      <c r="L819" s="5">
        <f>20889 / 86400</f>
        <v>0.24177083333333332</v>
      </c>
    </row>
    <row r="820" spans="1:12" x14ac:dyDescent="0.25">
      <c r="A820" s="3">
        <v>45689.324050925927</v>
      </c>
      <c r="B820" t="s">
        <v>204</v>
      </c>
      <c r="C820" s="3">
        <v>45689.504710648151</v>
      </c>
      <c r="D820" t="s">
        <v>50</v>
      </c>
      <c r="E820" s="4">
        <v>63.594999999999999</v>
      </c>
      <c r="F820" s="4">
        <v>512867.424</v>
      </c>
      <c r="G820" s="4">
        <v>512931.01899999997</v>
      </c>
      <c r="H820" s="5">
        <f>5940 / 86400</f>
        <v>6.8750000000000006E-2</v>
      </c>
      <c r="I820" t="s">
        <v>140</v>
      </c>
      <c r="J820" t="s">
        <v>43</v>
      </c>
      <c r="K820" s="5">
        <f>15609 / 86400</f>
        <v>0.18065972222222224</v>
      </c>
      <c r="L820" s="5">
        <f>2500 / 86400</f>
        <v>2.8935185185185185E-2</v>
      </c>
    </row>
    <row r="821" spans="1:12" x14ac:dyDescent="0.25">
      <c r="A821" s="3">
        <v>45689.533645833333</v>
      </c>
      <c r="B821" t="s">
        <v>50</v>
      </c>
      <c r="C821" s="3">
        <v>45689.537442129629</v>
      </c>
      <c r="D821" t="s">
        <v>146</v>
      </c>
      <c r="E821" s="4">
        <v>1.01</v>
      </c>
      <c r="F821" s="4">
        <v>512931.01899999997</v>
      </c>
      <c r="G821" s="4">
        <v>512932.02899999998</v>
      </c>
      <c r="H821" s="5">
        <f>0 / 86400</f>
        <v>0</v>
      </c>
      <c r="I821" t="s">
        <v>206</v>
      </c>
      <c r="J821" t="s">
        <v>71</v>
      </c>
      <c r="K821" s="5">
        <f>328 / 86400</f>
        <v>3.7962962962962963E-3</v>
      </c>
      <c r="L821" s="5">
        <f>963 / 86400</f>
        <v>1.1145833333333334E-2</v>
      </c>
    </row>
    <row r="822" spans="1:12" x14ac:dyDescent="0.25">
      <c r="A822" s="3">
        <v>45689.548587962963</v>
      </c>
      <c r="B822" t="s">
        <v>146</v>
      </c>
      <c r="C822" s="3">
        <v>45689.555497685185</v>
      </c>
      <c r="D822" t="s">
        <v>143</v>
      </c>
      <c r="E822" s="4">
        <v>2.0390000000000001</v>
      </c>
      <c r="F822" s="4">
        <v>512932.02899999998</v>
      </c>
      <c r="G822" s="4">
        <v>512934.06800000003</v>
      </c>
      <c r="H822" s="5">
        <f>179 / 86400</f>
        <v>2.0717592592592593E-3</v>
      </c>
      <c r="I822" t="s">
        <v>206</v>
      </c>
      <c r="J822" t="s">
        <v>99</v>
      </c>
      <c r="K822" s="5">
        <f>597 / 86400</f>
        <v>6.9097222222222225E-3</v>
      </c>
      <c r="L822" s="5">
        <f>3 / 86400</f>
        <v>3.4722222222222222E-5</v>
      </c>
    </row>
    <row r="823" spans="1:12" x14ac:dyDescent="0.25">
      <c r="A823" s="3">
        <v>45689.555532407408</v>
      </c>
      <c r="B823" t="s">
        <v>143</v>
      </c>
      <c r="C823" s="3">
        <v>45689.571354166663</v>
      </c>
      <c r="D823" t="s">
        <v>248</v>
      </c>
      <c r="E823" s="4">
        <v>3.8580000000000001</v>
      </c>
      <c r="F823" s="4">
        <v>512934.06800000003</v>
      </c>
      <c r="G823" s="4">
        <v>512937.92599999998</v>
      </c>
      <c r="H823" s="5">
        <f>780 / 86400</f>
        <v>9.0277777777777769E-3</v>
      </c>
      <c r="I823" t="s">
        <v>167</v>
      </c>
      <c r="J823" t="s">
        <v>116</v>
      </c>
      <c r="K823" s="5">
        <f>1367 / 86400</f>
        <v>1.5821759259259258E-2</v>
      </c>
      <c r="L823" s="5">
        <f>12 / 86400</f>
        <v>1.3888888888888889E-4</v>
      </c>
    </row>
    <row r="824" spans="1:12" x14ac:dyDescent="0.25">
      <c r="A824" s="3">
        <v>45689.571493055555</v>
      </c>
      <c r="B824" t="s">
        <v>248</v>
      </c>
      <c r="C824" s="3">
        <v>45689.575937500005</v>
      </c>
      <c r="D824" t="s">
        <v>319</v>
      </c>
      <c r="E824" s="4">
        <v>1.861</v>
      </c>
      <c r="F824" s="4">
        <v>512937.93300000002</v>
      </c>
      <c r="G824" s="4">
        <v>512939.79399999999</v>
      </c>
      <c r="H824" s="5">
        <f>90 / 86400</f>
        <v>1.0416666666666667E-3</v>
      </c>
      <c r="I824" t="s">
        <v>206</v>
      </c>
      <c r="J824" t="s">
        <v>30</v>
      </c>
      <c r="K824" s="5">
        <f>384 / 86400</f>
        <v>4.4444444444444444E-3</v>
      </c>
      <c r="L824" s="5">
        <f>2 / 86400</f>
        <v>2.3148148148148147E-5</v>
      </c>
    </row>
    <row r="825" spans="1:12" x14ac:dyDescent="0.25">
      <c r="A825" s="3">
        <v>45689.575960648144</v>
      </c>
      <c r="B825" t="s">
        <v>319</v>
      </c>
      <c r="C825" s="3">
        <v>45689.586284722223</v>
      </c>
      <c r="D825" t="s">
        <v>396</v>
      </c>
      <c r="E825" s="4">
        <v>1.738</v>
      </c>
      <c r="F825" s="4">
        <v>512939.79700000002</v>
      </c>
      <c r="G825" s="4">
        <v>512941.53499999997</v>
      </c>
      <c r="H825" s="5">
        <f>570 / 86400</f>
        <v>6.5972222222222222E-3</v>
      </c>
      <c r="I825" t="s">
        <v>154</v>
      </c>
      <c r="J825" t="s">
        <v>126</v>
      </c>
      <c r="K825" s="5">
        <f>892 / 86400</f>
        <v>1.0324074074074074E-2</v>
      </c>
      <c r="L825" s="5">
        <f>7 / 86400</f>
        <v>8.1018518518518516E-5</v>
      </c>
    </row>
    <row r="826" spans="1:12" x14ac:dyDescent="0.25">
      <c r="A826" s="3">
        <v>45689.586365740739</v>
      </c>
      <c r="B826" t="s">
        <v>397</v>
      </c>
      <c r="C826" s="3">
        <v>45689.586597222224</v>
      </c>
      <c r="D826" t="s">
        <v>398</v>
      </c>
      <c r="E826" s="4">
        <v>4.7E-2</v>
      </c>
      <c r="F826" s="4">
        <v>512941.53600000002</v>
      </c>
      <c r="G826" s="4">
        <v>512941.58299999998</v>
      </c>
      <c r="H826" s="5">
        <f>0 / 86400</f>
        <v>0</v>
      </c>
      <c r="I826" t="s">
        <v>23</v>
      </c>
      <c r="J826" t="s">
        <v>120</v>
      </c>
      <c r="K826" s="5">
        <f>20 / 86400</f>
        <v>2.3148148148148149E-4</v>
      </c>
      <c r="L826" s="5">
        <f>8 / 86400</f>
        <v>9.2592592592592588E-5</v>
      </c>
    </row>
    <row r="827" spans="1:12" x14ac:dyDescent="0.25">
      <c r="A827" s="3">
        <v>45689.586689814816</v>
      </c>
      <c r="B827" t="s">
        <v>398</v>
      </c>
      <c r="C827" s="3">
        <v>45689.588414351849</v>
      </c>
      <c r="D827" t="s">
        <v>237</v>
      </c>
      <c r="E827" s="4">
        <v>0.79300000000000004</v>
      </c>
      <c r="F827" s="4">
        <v>512941.58299999998</v>
      </c>
      <c r="G827" s="4">
        <v>512942.37599999999</v>
      </c>
      <c r="H827" s="5">
        <f>30 / 86400</f>
        <v>3.4722222222222224E-4</v>
      </c>
      <c r="I827" t="s">
        <v>181</v>
      </c>
      <c r="J827" t="s">
        <v>49</v>
      </c>
      <c r="K827" s="5">
        <f>149 / 86400</f>
        <v>1.724537037037037E-3</v>
      </c>
      <c r="L827" s="5">
        <f>3 / 86400</f>
        <v>3.4722222222222222E-5</v>
      </c>
    </row>
    <row r="828" spans="1:12" x14ac:dyDescent="0.25">
      <c r="A828" s="3">
        <v>45689.588449074072</v>
      </c>
      <c r="B828" t="s">
        <v>237</v>
      </c>
      <c r="C828" s="3">
        <v>45689.650462962964</v>
      </c>
      <c r="D828" t="s">
        <v>204</v>
      </c>
      <c r="E828" s="4">
        <v>34.569000000000003</v>
      </c>
      <c r="F828" s="4">
        <v>512942.40399999998</v>
      </c>
      <c r="G828" s="4">
        <v>512976.973</v>
      </c>
      <c r="H828" s="5">
        <f>1778 / 86400</f>
        <v>2.0578703703703703E-2</v>
      </c>
      <c r="I828" t="s">
        <v>73</v>
      </c>
      <c r="J828" t="s">
        <v>35</v>
      </c>
      <c r="K828" s="5">
        <f>5358 / 86400</f>
        <v>6.2013888888888889E-2</v>
      </c>
      <c r="L828" s="5">
        <f>2 / 86400</f>
        <v>2.3148148148148147E-5</v>
      </c>
    </row>
    <row r="829" spans="1:12" x14ac:dyDescent="0.25">
      <c r="A829" s="3">
        <v>45689.65048611111</v>
      </c>
      <c r="B829" t="s">
        <v>204</v>
      </c>
      <c r="C829" s="3">
        <v>45689.766736111109</v>
      </c>
      <c r="D829" t="s">
        <v>208</v>
      </c>
      <c r="E829" s="4">
        <v>25.216999999999999</v>
      </c>
      <c r="F829" s="4">
        <v>512976.984</v>
      </c>
      <c r="G829" s="4">
        <v>513002.201</v>
      </c>
      <c r="H829" s="5">
        <f>5591 / 86400</f>
        <v>6.4710648148148142E-2</v>
      </c>
      <c r="I829" t="s">
        <v>83</v>
      </c>
      <c r="J829" t="s">
        <v>85</v>
      </c>
      <c r="K829" s="5">
        <f>10044 / 86400</f>
        <v>0.11625000000000001</v>
      </c>
      <c r="L829" s="5">
        <f>2 / 86400</f>
        <v>2.3148148148148147E-5</v>
      </c>
    </row>
    <row r="830" spans="1:12" x14ac:dyDescent="0.25">
      <c r="A830" s="3">
        <v>45689.766759259262</v>
      </c>
      <c r="B830" t="s">
        <v>208</v>
      </c>
      <c r="C830" s="3">
        <v>45689.792442129634</v>
      </c>
      <c r="D830" t="s">
        <v>213</v>
      </c>
      <c r="E830" s="4">
        <v>7.3710000000000004</v>
      </c>
      <c r="F830" s="4">
        <v>513002.201</v>
      </c>
      <c r="G830" s="4">
        <v>513009.57199999999</v>
      </c>
      <c r="H830" s="5">
        <f>870 / 86400</f>
        <v>1.0069444444444445E-2</v>
      </c>
      <c r="I830" t="s">
        <v>261</v>
      </c>
      <c r="J830" t="s">
        <v>99</v>
      </c>
      <c r="K830" s="5">
        <f>2219 / 86400</f>
        <v>2.568287037037037E-2</v>
      </c>
      <c r="L830" s="5">
        <f>9 / 86400</f>
        <v>1.0416666666666667E-4</v>
      </c>
    </row>
    <row r="831" spans="1:12" x14ac:dyDescent="0.25">
      <c r="A831" s="3">
        <v>45689.792546296296</v>
      </c>
      <c r="B831" t="s">
        <v>213</v>
      </c>
      <c r="C831" s="3">
        <v>45689.861145833333</v>
      </c>
      <c r="D831" t="s">
        <v>69</v>
      </c>
      <c r="E831" s="4">
        <v>31.135000000000002</v>
      </c>
      <c r="F831" s="4">
        <v>513009.57799999998</v>
      </c>
      <c r="G831" s="4">
        <v>513040.71299999999</v>
      </c>
      <c r="H831" s="5">
        <f>1800 / 86400</f>
        <v>2.0833333333333332E-2</v>
      </c>
      <c r="I831" t="s">
        <v>70</v>
      </c>
      <c r="J831" t="s">
        <v>49</v>
      </c>
      <c r="K831" s="5">
        <f>5927 / 86400</f>
        <v>6.8599537037037042E-2</v>
      </c>
      <c r="L831" s="5">
        <f>862 / 86400</f>
        <v>9.9768518518518513E-3</v>
      </c>
    </row>
    <row r="832" spans="1:12" x14ac:dyDescent="0.25">
      <c r="A832" s="3">
        <v>45689.871122685188</v>
      </c>
      <c r="B832" t="s">
        <v>69</v>
      </c>
      <c r="C832" s="3">
        <v>45689.874155092592</v>
      </c>
      <c r="D832" t="s">
        <v>142</v>
      </c>
      <c r="E832" s="4">
        <v>1.159</v>
      </c>
      <c r="F832" s="4">
        <v>513040.71299999999</v>
      </c>
      <c r="G832" s="4">
        <v>513041.87199999997</v>
      </c>
      <c r="H832" s="5">
        <f>40 / 86400</f>
        <v>4.6296296296296298E-4</v>
      </c>
      <c r="I832" t="s">
        <v>245</v>
      </c>
      <c r="J832" t="s">
        <v>26</v>
      </c>
      <c r="K832" s="5">
        <f>262 / 86400</f>
        <v>3.0324074074074073E-3</v>
      </c>
      <c r="L832" s="5">
        <f>2220 / 86400</f>
        <v>2.5694444444444443E-2</v>
      </c>
    </row>
    <row r="833" spans="1:12" x14ac:dyDescent="0.25">
      <c r="A833" s="3">
        <v>45689.899849537032</v>
      </c>
      <c r="B833" t="s">
        <v>142</v>
      </c>
      <c r="C833" s="3">
        <v>45689.912557870368</v>
      </c>
      <c r="D833" t="s">
        <v>399</v>
      </c>
      <c r="E833" s="4">
        <v>4.0460000000000003</v>
      </c>
      <c r="F833" s="4">
        <v>513041.87199999997</v>
      </c>
      <c r="G833" s="4">
        <v>513045.91800000001</v>
      </c>
      <c r="H833" s="5">
        <f>571 / 86400</f>
        <v>6.6087962962962966E-3</v>
      </c>
      <c r="I833" t="s">
        <v>189</v>
      </c>
      <c r="J833" t="s">
        <v>31</v>
      </c>
      <c r="K833" s="5">
        <f>1098 / 86400</f>
        <v>1.2708333333333334E-2</v>
      </c>
      <c r="L833" s="5">
        <f>1 / 86400</f>
        <v>1.1574074074074073E-5</v>
      </c>
    </row>
    <row r="834" spans="1:12" x14ac:dyDescent="0.25">
      <c r="A834" s="3">
        <v>45689.912569444445</v>
      </c>
      <c r="B834" t="s">
        <v>400</v>
      </c>
      <c r="C834" s="3">
        <v>45689.986979166672</v>
      </c>
      <c r="D834" t="s">
        <v>401</v>
      </c>
      <c r="E834" s="4">
        <v>39.923000000000002</v>
      </c>
      <c r="F834" s="4">
        <v>513045.94699999999</v>
      </c>
      <c r="G834" s="4">
        <v>513085.87</v>
      </c>
      <c r="H834" s="5">
        <f>1709 / 86400</f>
        <v>1.9780092592592592E-2</v>
      </c>
      <c r="I834" t="s">
        <v>34</v>
      </c>
      <c r="J834" t="s">
        <v>119</v>
      </c>
      <c r="K834" s="5">
        <f>6429 / 86400</f>
        <v>7.4409722222222224E-2</v>
      </c>
      <c r="L834" s="5">
        <f>6 / 86400</f>
        <v>6.9444444444444444E-5</v>
      </c>
    </row>
    <row r="835" spans="1:12" x14ac:dyDescent="0.25">
      <c r="A835" s="3">
        <v>45689.98704861111</v>
      </c>
      <c r="B835" t="s">
        <v>273</v>
      </c>
      <c r="C835" s="3">
        <v>45689.995335648149</v>
      </c>
      <c r="D835" t="s">
        <v>348</v>
      </c>
      <c r="E835" s="4">
        <v>3.9460000000000002</v>
      </c>
      <c r="F835" s="4">
        <v>513085.87300000002</v>
      </c>
      <c r="G835" s="4">
        <v>513089.81900000002</v>
      </c>
      <c r="H835" s="5">
        <f>26 / 86400</f>
        <v>3.0092592592592595E-4</v>
      </c>
      <c r="I835" t="s">
        <v>154</v>
      </c>
      <c r="J835" t="s">
        <v>62</v>
      </c>
      <c r="K835" s="5">
        <f>716 / 86400</f>
        <v>8.2870370370370372E-3</v>
      </c>
      <c r="L835" s="5">
        <f>30 / 86400</f>
        <v>3.4722222222222224E-4</v>
      </c>
    </row>
    <row r="836" spans="1:12" x14ac:dyDescent="0.25">
      <c r="A836" s="3">
        <v>45689.995682870373</v>
      </c>
      <c r="B836" t="s">
        <v>402</v>
      </c>
      <c r="C836" s="3">
        <v>45689.99998842593</v>
      </c>
      <c r="D836" t="s">
        <v>82</v>
      </c>
      <c r="E836" s="4">
        <v>2.363</v>
      </c>
      <c r="F836" s="4">
        <v>513090.26899999997</v>
      </c>
      <c r="G836" s="4">
        <v>513092.63199999998</v>
      </c>
      <c r="H836" s="5">
        <f>60 / 86400</f>
        <v>6.9444444444444447E-4</v>
      </c>
      <c r="I836" t="s">
        <v>136</v>
      </c>
      <c r="J836" t="s">
        <v>35</v>
      </c>
      <c r="K836" s="5">
        <f>372 / 86400</f>
        <v>4.3055555555555555E-3</v>
      </c>
      <c r="L836" s="5">
        <f>0 / 86400</f>
        <v>0</v>
      </c>
    </row>
    <row r="837" spans="1:12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</row>
    <row r="838" spans="1:12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</row>
    <row r="839" spans="1:12" s="10" customFormat="1" ht="20.100000000000001" customHeight="1" x14ac:dyDescent="0.35">
      <c r="A839" s="15" t="s">
        <v>456</v>
      </c>
      <c r="B839" s="15"/>
      <c r="C839" s="15"/>
      <c r="D839" s="15"/>
      <c r="E839" s="15"/>
      <c r="F839" s="15"/>
      <c r="G839" s="15"/>
      <c r="H839" s="15"/>
      <c r="I839" s="15"/>
      <c r="J839" s="15"/>
    </row>
    <row r="840" spans="1:12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</row>
    <row r="841" spans="1:12" ht="30" x14ac:dyDescent="0.25">
      <c r="A841" s="2" t="s">
        <v>6</v>
      </c>
      <c r="B841" s="2" t="s">
        <v>7</v>
      </c>
      <c r="C841" s="2" t="s">
        <v>8</v>
      </c>
      <c r="D841" s="2" t="s">
        <v>9</v>
      </c>
      <c r="E841" s="2" t="s">
        <v>10</v>
      </c>
      <c r="F841" s="2" t="s">
        <v>11</v>
      </c>
      <c r="G841" s="2" t="s">
        <v>12</v>
      </c>
      <c r="H841" s="2" t="s">
        <v>13</v>
      </c>
      <c r="I841" s="2" t="s">
        <v>14</v>
      </c>
      <c r="J841" s="2" t="s">
        <v>15</v>
      </c>
      <c r="K841" s="2" t="s">
        <v>16</v>
      </c>
      <c r="L841" s="2" t="s">
        <v>17</v>
      </c>
    </row>
    <row r="842" spans="1:12" x14ac:dyDescent="0.25">
      <c r="A842" s="3">
        <v>45689</v>
      </c>
      <c r="B842" t="s">
        <v>84</v>
      </c>
      <c r="C842" s="3">
        <v>45689.958333333328</v>
      </c>
      <c r="D842" t="s">
        <v>84</v>
      </c>
      <c r="E842" s="4">
        <v>202.45400000000001</v>
      </c>
      <c r="F842" s="4">
        <v>503361.603</v>
      </c>
      <c r="G842" s="4">
        <v>503564.05699999997</v>
      </c>
      <c r="H842" s="5">
        <f>51930 / 86400</f>
        <v>0.6010416666666667</v>
      </c>
      <c r="I842" t="s">
        <v>57</v>
      </c>
      <c r="J842" t="s">
        <v>85</v>
      </c>
      <c r="K842" s="5">
        <f>82800 / 86400</f>
        <v>0.95833333333333337</v>
      </c>
      <c r="L842" s="5">
        <f>0 / 86400</f>
        <v>0</v>
      </c>
    </row>
    <row r="843" spans="1:1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</row>
    <row r="844" spans="1:1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</row>
    <row r="845" spans="1:12" s="10" customFormat="1" ht="20.100000000000001" customHeight="1" x14ac:dyDescent="0.35">
      <c r="A845" s="15" t="s">
        <v>457</v>
      </c>
      <c r="B845" s="15"/>
      <c r="C845" s="15"/>
      <c r="D845" s="15"/>
      <c r="E845" s="15"/>
      <c r="F845" s="15"/>
      <c r="G845" s="15"/>
      <c r="H845" s="15"/>
      <c r="I845" s="15"/>
      <c r="J845" s="15"/>
    </row>
    <row r="846" spans="1:1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</row>
    <row r="847" spans="1:12" ht="30" x14ac:dyDescent="0.25">
      <c r="A847" s="2" t="s">
        <v>6</v>
      </c>
      <c r="B847" s="2" t="s">
        <v>7</v>
      </c>
      <c r="C847" s="2" t="s">
        <v>8</v>
      </c>
      <c r="D847" s="2" t="s">
        <v>9</v>
      </c>
      <c r="E847" s="2" t="s">
        <v>10</v>
      </c>
      <c r="F847" s="2" t="s">
        <v>11</v>
      </c>
      <c r="G847" s="2" t="s">
        <v>12</v>
      </c>
      <c r="H847" s="2" t="s">
        <v>13</v>
      </c>
      <c r="I847" s="2" t="s">
        <v>14</v>
      </c>
      <c r="J847" s="2" t="s">
        <v>15</v>
      </c>
      <c r="K847" s="2" t="s">
        <v>16</v>
      </c>
      <c r="L847" s="2" t="s">
        <v>17</v>
      </c>
    </row>
    <row r="848" spans="1:12" x14ac:dyDescent="0.25">
      <c r="A848" s="3">
        <v>45689.208506944444</v>
      </c>
      <c r="B848" t="s">
        <v>86</v>
      </c>
      <c r="C848" s="3">
        <v>45689.213807870372</v>
      </c>
      <c r="D848" t="s">
        <v>50</v>
      </c>
      <c r="E848" s="4">
        <v>0.20300000000000001</v>
      </c>
      <c r="F848" s="4">
        <v>349950.848</v>
      </c>
      <c r="G848" s="4">
        <v>349951.05099999998</v>
      </c>
      <c r="H848" s="5">
        <f>360 / 86400</f>
        <v>4.1666666666666666E-3</v>
      </c>
      <c r="I848" t="s">
        <v>116</v>
      </c>
      <c r="J848" t="s">
        <v>133</v>
      </c>
      <c r="K848" s="5">
        <f>458 / 86400</f>
        <v>5.3009259259259259E-3</v>
      </c>
      <c r="L848" s="5">
        <f>18280 / 86400</f>
        <v>0.21157407407407408</v>
      </c>
    </row>
    <row r="849" spans="1:12" x14ac:dyDescent="0.25">
      <c r="A849" s="3">
        <v>45689.216874999998</v>
      </c>
      <c r="B849" t="s">
        <v>50</v>
      </c>
      <c r="C849" s="3">
        <v>45689.36005787037</v>
      </c>
      <c r="D849" t="s">
        <v>50</v>
      </c>
      <c r="E849" s="4">
        <v>76.683999999999997</v>
      </c>
      <c r="F849" s="4">
        <v>349951.05099999998</v>
      </c>
      <c r="G849" s="4">
        <v>350027.73499999999</v>
      </c>
      <c r="H849" s="5">
        <f>3500 / 86400</f>
        <v>4.0509259259259259E-2</v>
      </c>
      <c r="I849" t="s">
        <v>88</v>
      </c>
      <c r="J849" t="s">
        <v>119</v>
      </c>
      <c r="K849" s="5">
        <f>12371 / 86400</f>
        <v>0.14318287037037036</v>
      </c>
      <c r="L849" s="5">
        <f>1633 / 86400</f>
        <v>1.8900462962962963E-2</v>
      </c>
    </row>
    <row r="850" spans="1:12" x14ac:dyDescent="0.25">
      <c r="A850" s="3">
        <v>45689.378958333335</v>
      </c>
      <c r="B850" t="s">
        <v>50</v>
      </c>
      <c r="C850" s="3">
        <v>45689.383148148147</v>
      </c>
      <c r="D850" t="s">
        <v>139</v>
      </c>
      <c r="E850" s="4">
        <v>0.94499999999999995</v>
      </c>
      <c r="F850" s="4">
        <v>350027.73499999999</v>
      </c>
      <c r="G850" s="4">
        <v>350028.68</v>
      </c>
      <c r="H850" s="5">
        <f>80 / 86400</f>
        <v>9.2592592592592596E-4</v>
      </c>
      <c r="I850" t="s">
        <v>62</v>
      </c>
      <c r="J850" t="s">
        <v>85</v>
      </c>
      <c r="K850" s="5">
        <f>362 / 86400</f>
        <v>4.1898148148148146E-3</v>
      </c>
      <c r="L850" s="5">
        <f>243 / 86400</f>
        <v>2.8124999999999999E-3</v>
      </c>
    </row>
    <row r="851" spans="1:12" x14ac:dyDescent="0.25">
      <c r="A851" s="3">
        <v>45689.385960648149</v>
      </c>
      <c r="B851" t="s">
        <v>139</v>
      </c>
      <c r="C851" s="3">
        <v>45689.388078703705</v>
      </c>
      <c r="D851" t="s">
        <v>143</v>
      </c>
      <c r="E851" s="4">
        <v>0.76800000000000002</v>
      </c>
      <c r="F851" s="4">
        <v>350028.68</v>
      </c>
      <c r="G851" s="4">
        <v>350029.44799999997</v>
      </c>
      <c r="H851" s="5">
        <f>0 / 86400</f>
        <v>0</v>
      </c>
      <c r="I851" t="s">
        <v>62</v>
      </c>
      <c r="J851" t="s">
        <v>43</v>
      </c>
      <c r="K851" s="5">
        <f>183 / 86400</f>
        <v>2.1180555555555558E-3</v>
      </c>
      <c r="L851" s="5">
        <f>243 / 86400</f>
        <v>2.8124999999999999E-3</v>
      </c>
    </row>
    <row r="852" spans="1:12" x14ac:dyDescent="0.25">
      <c r="A852" s="3">
        <v>45689.3908912037</v>
      </c>
      <c r="B852" t="s">
        <v>143</v>
      </c>
      <c r="C852" s="3">
        <v>45689.502453703702</v>
      </c>
      <c r="D852" t="s">
        <v>403</v>
      </c>
      <c r="E852" s="4">
        <v>47.661999999999999</v>
      </c>
      <c r="F852" s="4">
        <v>350029.44799999997</v>
      </c>
      <c r="G852" s="4">
        <v>350077.11</v>
      </c>
      <c r="H852" s="5">
        <f>3059 / 86400</f>
        <v>3.5405092592592592E-2</v>
      </c>
      <c r="I852" t="s">
        <v>404</v>
      </c>
      <c r="J852" t="s">
        <v>23</v>
      </c>
      <c r="K852" s="5">
        <f>9639 / 86400</f>
        <v>0.1115625</v>
      </c>
      <c r="L852" s="5">
        <f>8002 / 86400</f>
        <v>9.2615740740740735E-2</v>
      </c>
    </row>
    <row r="853" spans="1:12" x14ac:dyDescent="0.25">
      <c r="A853" s="3">
        <v>45689.595069444447</v>
      </c>
      <c r="B853" t="s">
        <v>403</v>
      </c>
      <c r="C853" s="3">
        <v>45689.732581018514</v>
      </c>
      <c r="D853" t="s">
        <v>69</v>
      </c>
      <c r="E853" s="4">
        <v>46.430999999999997</v>
      </c>
      <c r="F853" s="4">
        <v>350077.11</v>
      </c>
      <c r="G853" s="4">
        <v>350123.54100000003</v>
      </c>
      <c r="H853" s="5">
        <f>4521 / 86400</f>
        <v>5.2326388888888888E-2</v>
      </c>
      <c r="I853" t="s">
        <v>57</v>
      </c>
      <c r="J853" t="s">
        <v>51</v>
      </c>
      <c r="K853" s="5">
        <f>11881 / 86400</f>
        <v>0.13751157407407408</v>
      </c>
      <c r="L853" s="5">
        <f>549 / 86400</f>
        <v>6.3541666666666668E-3</v>
      </c>
    </row>
    <row r="854" spans="1:12" x14ac:dyDescent="0.25">
      <c r="A854" s="3">
        <v>45689.738935185189</v>
      </c>
      <c r="B854" t="s">
        <v>69</v>
      </c>
      <c r="C854" s="3">
        <v>45689.740601851852</v>
      </c>
      <c r="D854" t="s">
        <v>146</v>
      </c>
      <c r="E854" s="4">
        <v>0.11</v>
      </c>
      <c r="F854" s="4">
        <v>350123.54100000003</v>
      </c>
      <c r="G854" s="4">
        <v>350123.65100000001</v>
      </c>
      <c r="H854" s="5">
        <f>80 / 86400</f>
        <v>9.2592592592592596E-4</v>
      </c>
      <c r="I854" t="s">
        <v>116</v>
      </c>
      <c r="J854" t="s">
        <v>121</v>
      </c>
      <c r="K854" s="5">
        <f>144 / 86400</f>
        <v>1.6666666666666668E-3</v>
      </c>
      <c r="L854" s="5">
        <f>805 / 86400</f>
        <v>9.3171296296296301E-3</v>
      </c>
    </row>
    <row r="855" spans="1:12" x14ac:dyDescent="0.25">
      <c r="A855" s="3">
        <v>45689.749918981484</v>
      </c>
      <c r="B855" t="s">
        <v>146</v>
      </c>
      <c r="C855" s="3">
        <v>45689.838020833333</v>
      </c>
      <c r="D855" t="s">
        <v>297</v>
      </c>
      <c r="E855" s="4">
        <v>38.997</v>
      </c>
      <c r="F855" s="4">
        <v>350123.65100000001</v>
      </c>
      <c r="G855" s="4">
        <v>350162.64799999999</v>
      </c>
      <c r="H855" s="5">
        <f>2360 / 86400</f>
        <v>2.7314814814814816E-2</v>
      </c>
      <c r="I855" t="s">
        <v>58</v>
      </c>
      <c r="J855" t="s">
        <v>23</v>
      </c>
      <c r="K855" s="5">
        <f>7612 / 86400</f>
        <v>8.8101851851851848E-2</v>
      </c>
      <c r="L855" s="5">
        <f>1432 / 86400</f>
        <v>1.6574074074074074E-2</v>
      </c>
    </row>
    <row r="856" spans="1:12" x14ac:dyDescent="0.25">
      <c r="A856" s="3">
        <v>45689.854594907403</v>
      </c>
      <c r="B856" t="s">
        <v>297</v>
      </c>
      <c r="C856" s="3">
        <v>45689.940034722225</v>
      </c>
      <c r="D856" t="s">
        <v>400</v>
      </c>
      <c r="E856" s="4">
        <v>35.424999999999997</v>
      </c>
      <c r="F856" s="4">
        <v>350162.64799999999</v>
      </c>
      <c r="G856" s="4">
        <v>350198.07299999997</v>
      </c>
      <c r="H856" s="5">
        <f>2100 / 86400</f>
        <v>2.4305555555555556E-2</v>
      </c>
      <c r="I856" t="s">
        <v>188</v>
      </c>
      <c r="J856" t="s">
        <v>30</v>
      </c>
      <c r="K856" s="5">
        <f>7382 / 86400</f>
        <v>8.5439814814814816E-2</v>
      </c>
      <c r="L856" s="5">
        <f>757 / 86400</f>
        <v>8.7615740740740744E-3</v>
      </c>
    </row>
    <row r="857" spans="1:12" x14ac:dyDescent="0.25">
      <c r="A857" s="3">
        <v>45689.948796296296</v>
      </c>
      <c r="B857" t="s">
        <v>400</v>
      </c>
      <c r="C857" s="3">
        <v>45689.954236111109</v>
      </c>
      <c r="D857" t="s">
        <v>87</v>
      </c>
      <c r="E857" s="4">
        <v>0.79100000000000004</v>
      </c>
      <c r="F857" s="4">
        <v>350198.07299999997</v>
      </c>
      <c r="G857" s="4">
        <v>350198.864</v>
      </c>
      <c r="H857" s="5">
        <f>119 / 86400</f>
        <v>1.3773148148148147E-3</v>
      </c>
      <c r="I857" t="s">
        <v>99</v>
      </c>
      <c r="J857" t="s">
        <v>92</v>
      </c>
      <c r="K857" s="5">
        <f>470 / 86400</f>
        <v>5.4398148148148149E-3</v>
      </c>
      <c r="L857" s="5">
        <f>181 / 86400</f>
        <v>2.0949074074074073E-3</v>
      </c>
    </row>
    <row r="858" spans="1:12" x14ac:dyDescent="0.25">
      <c r="A858" s="3">
        <v>45689.956331018519</v>
      </c>
      <c r="B858" t="s">
        <v>87</v>
      </c>
      <c r="C858" s="3">
        <v>45689.957615740743</v>
      </c>
      <c r="D858" t="s">
        <v>87</v>
      </c>
      <c r="E858" s="4">
        <v>1.4E-2</v>
      </c>
      <c r="F858" s="4">
        <v>350198.864</v>
      </c>
      <c r="G858" s="4">
        <v>350198.87800000003</v>
      </c>
      <c r="H858" s="5">
        <f>81 / 86400</f>
        <v>9.3749999999999997E-4</v>
      </c>
      <c r="I858" t="s">
        <v>100</v>
      </c>
      <c r="J858" t="s">
        <v>37</v>
      </c>
      <c r="K858" s="5">
        <f>111 / 86400</f>
        <v>1.2847222222222223E-3</v>
      </c>
      <c r="L858" s="5">
        <f>3661 / 86400</f>
        <v>4.2372685185185187E-2</v>
      </c>
    </row>
    <row r="859" spans="1:12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</row>
    <row r="860" spans="1:12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</row>
    <row r="861" spans="1:12" s="10" customFormat="1" ht="20.100000000000001" customHeight="1" x14ac:dyDescent="0.35">
      <c r="A861" s="15" t="s">
        <v>458</v>
      </c>
      <c r="B861" s="15"/>
      <c r="C861" s="15"/>
      <c r="D861" s="15"/>
      <c r="E861" s="15"/>
      <c r="F861" s="15"/>
      <c r="G861" s="15"/>
      <c r="H861" s="15"/>
      <c r="I861" s="15"/>
      <c r="J861" s="15"/>
    </row>
    <row r="862" spans="1:1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</row>
    <row r="863" spans="1:12" ht="30" x14ac:dyDescent="0.25">
      <c r="A863" s="2" t="s">
        <v>6</v>
      </c>
      <c r="B863" s="2" t="s">
        <v>7</v>
      </c>
      <c r="C863" s="2" t="s">
        <v>8</v>
      </c>
      <c r="D863" s="2" t="s">
        <v>9</v>
      </c>
      <c r="E863" s="2" t="s">
        <v>10</v>
      </c>
      <c r="F863" s="2" t="s">
        <v>11</v>
      </c>
      <c r="G863" s="2" t="s">
        <v>12</v>
      </c>
      <c r="H863" s="2" t="s">
        <v>13</v>
      </c>
      <c r="I863" s="2" t="s">
        <v>14</v>
      </c>
      <c r="J863" s="2" t="s">
        <v>15</v>
      </c>
      <c r="K863" s="2" t="s">
        <v>16</v>
      </c>
      <c r="L863" s="2" t="s">
        <v>17</v>
      </c>
    </row>
    <row r="864" spans="1:12" x14ac:dyDescent="0.25">
      <c r="A864" s="3">
        <v>45689.225266203706</v>
      </c>
      <c r="B864" t="s">
        <v>89</v>
      </c>
      <c r="C864" s="3">
        <v>45689.22550925926</v>
      </c>
      <c r="D864" t="s">
        <v>89</v>
      </c>
      <c r="E864" s="4">
        <v>2E-3</v>
      </c>
      <c r="F864" s="4">
        <v>409251.962</v>
      </c>
      <c r="G864" s="4">
        <v>409251.96399999998</v>
      </c>
      <c r="H864" s="5">
        <f>19 / 86400</f>
        <v>2.199074074074074E-4</v>
      </c>
      <c r="I864" t="s">
        <v>37</v>
      </c>
      <c r="J864" t="s">
        <v>37</v>
      </c>
      <c r="K864" s="5">
        <f>21 / 86400</f>
        <v>2.4305555555555555E-4</v>
      </c>
      <c r="L864" s="5">
        <f>19499 / 86400</f>
        <v>0.22568287037037038</v>
      </c>
    </row>
    <row r="865" spans="1:12" x14ac:dyDescent="0.25">
      <c r="A865" s="3">
        <v>45689.22592592593</v>
      </c>
      <c r="B865" t="s">
        <v>89</v>
      </c>
      <c r="C865" s="3">
        <v>45689.444097222222</v>
      </c>
      <c r="D865" t="s">
        <v>114</v>
      </c>
      <c r="E865" s="4">
        <v>87.323999999999998</v>
      </c>
      <c r="F865" s="4">
        <v>409251.96399999998</v>
      </c>
      <c r="G865" s="4">
        <v>409339.288</v>
      </c>
      <c r="H865" s="5">
        <f>6257 / 86400</f>
        <v>7.2418981481481487E-2</v>
      </c>
      <c r="I865" t="s">
        <v>22</v>
      </c>
      <c r="J865" t="s">
        <v>30</v>
      </c>
      <c r="K865" s="5">
        <f>18850 / 86400</f>
        <v>0.21817129629629631</v>
      </c>
      <c r="L865" s="5">
        <f>2223 / 86400</f>
        <v>2.5729166666666668E-2</v>
      </c>
    </row>
    <row r="866" spans="1:12" x14ac:dyDescent="0.25">
      <c r="A866" s="3">
        <v>45689.469826388886</v>
      </c>
      <c r="B866" t="s">
        <v>114</v>
      </c>
      <c r="C866" s="3">
        <v>45689.473263888889</v>
      </c>
      <c r="D866" t="s">
        <v>139</v>
      </c>
      <c r="E866" s="4">
        <v>0.871</v>
      </c>
      <c r="F866" s="4">
        <v>409339.288</v>
      </c>
      <c r="G866" s="4">
        <v>409340.15899999999</v>
      </c>
      <c r="H866" s="5">
        <f>0 / 86400</f>
        <v>0</v>
      </c>
      <c r="I866" t="s">
        <v>123</v>
      </c>
      <c r="J866" t="s">
        <v>71</v>
      </c>
      <c r="K866" s="5">
        <f>297 / 86400</f>
        <v>3.4375E-3</v>
      </c>
      <c r="L866" s="5">
        <f>1564 / 86400</f>
        <v>1.8101851851851852E-2</v>
      </c>
    </row>
    <row r="867" spans="1:12" x14ac:dyDescent="0.25">
      <c r="A867" s="3">
        <v>45689.491365740745</v>
      </c>
      <c r="B867" t="s">
        <v>139</v>
      </c>
      <c r="C867" s="3">
        <v>45689.720555555556</v>
      </c>
      <c r="D867" t="s">
        <v>250</v>
      </c>
      <c r="E867" s="4">
        <v>90.906999999999996</v>
      </c>
      <c r="F867" s="4">
        <v>409340.15899999999</v>
      </c>
      <c r="G867" s="4">
        <v>409431.06599999999</v>
      </c>
      <c r="H867" s="5">
        <f>6820 / 86400</f>
        <v>7.8935185185185192E-2</v>
      </c>
      <c r="I867" t="s">
        <v>34</v>
      </c>
      <c r="J867" t="s">
        <v>30</v>
      </c>
      <c r="K867" s="5">
        <f>19802 / 86400</f>
        <v>0.22918981481481482</v>
      </c>
      <c r="L867" s="5">
        <f>84 / 86400</f>
        <v>9.7222222222222219E-4</v>
      </c>
    </row>
    <row r="868" spans="1:12" x14ac:dyDescent="0.25">
      <c r="A868" s="3">
        <v>45689.72152777778</v>
      </c>
      <c r="B868" t="s">
        <v>250</v>
      </c>
      <c r="C868" s="3">
        <v>45689.757314814815</v>
      </c>
      <c r="D868" t="s">
        <v>90</v>
      </c>
      <c r="E868" s="4">
        <v>19.885000000000002</v>
      </c>
      <c r="F868" s="4">
        <v>409431.06599999999</v>
      </c>
      <c r="G868" s="4">
        <v>409450.951</v>
      </c>
      <c r="H868" s="5">
        <f>800 / 86400</f>
        <v>9.2592592592592587E-3</v>
      </c>
      <c r="I868" t="s">
        <v>224</v>
      </c>
      <c r="J868" t="s">
        <v>35</v>
      </c>
      <c r="K868" s="5">
        <f>3091 / 86400</f>
        <v>3.577546296296296E-2</v>
      </c>
      <c r="L868" s="5">
        <f>20967 / 86400</f>
        <v>0.2426736111111111</v>
      </c>
    </row>
    <row r="869" spans="1:12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</row>
    <row r="870" spans="1:1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</row>
    <row r="871" spans="1:12" s="10" customFormat="1" ht="20.100000000000001" customHeight="1" x14ac:dyDescent="0.35">
      <c r="A871" s="15" t="s">
        <v>459</v>
      </c>
      <c r="B871" s="15"/>
      <c r="C871" s="15"/>
      <c r="D871" s="15"/>
      <c r="E871" s="15"/>
      <c r="F871" s="15"/>
      <c r="G871" s="15"/>
      <c r="H871" s="15"/>
      <c r="I871" s="15"/>
      <c r="J871" s="15"/>
    </row>
    <row r="872" spans="1:12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</row>
    <row r="873" spans="1:12" ht="30" x14ac:dyDescent="0.25">
      <c r="A873" s="2" t="s">
        <v>6</v>
      </c>
      <c r="B873" s="2" t="s">
        <v>7</v>
      </c>
      <c r="C873" s="2" t="s">
        <v>8</v>
      </c>
      <c r="D873" s="2" t="s">
        <v>9</v>
      </c>
      <c r="E873" s="2" t="s">
        <v>10</v>
      </c>
      <c r="F873" s="2" t="s">
        <v>11</v>
      </c>
      <c r="G873" s="2" t="s">
        <v>12</v>
      </c>
      <c r="H873" s="2" t="s">
        <v>13</v>
      </c>
      <c r="I873" s="2" t="s">
        <v>14</v>
      </c>
      <c r="J873" s="2" t="s">
        <v>15</v>
      </c>
      <c r="K873" s="2" t="s">
        <v>16</v>
      </c>
      <c r="L873" s="2" t="s">
        <v>17</v>
      </c>
    </row>
    <row r="874" spans="1:12" x14ac:dyDescent="0.25">
      <c r="A874" s="3">
        <v>45689.744062500002</v>
      </c>
      <c r="B874" t="s">
        <v>24</v>
      </c>
      <c r="C874" s="3">
        <v>45689.745590277773</v>
      </c>
      <c r="D874" t="s">
        <v>24</v>
      </c>
      <c r="E874" s="4">
        <v>0</v>
      </c>
      <c r="F874" s="4">
        <v>440090.4</v>
      </c>
      <c r="G874" s="4">
        <v>440090.4</v>
      </c>
      <c r="H874" s="5">
        <f>119 / 86400</f>
        <v>1.3773148148148147E-3</v>
      </c>
      <c r="I874" t="s">
        <v>37</v>
      </c>
      <c r="J874" t="s">
        <v>37</v>
      </c>
      <c r="K874" s="5">
        <f>132 / 86400</f>
        <v>1.5277777777777779E-3</v>
      </c>
      <c r="L874" s="5">
        <f>64291 / 86400</f>
        <v>0.74410879629629634</v>
      </c>
    </row>
    <row r="875" spans="1:12" x14ac:dyDescent="0.25">
      <c r="A875" s="3">
        <v>45689.745636574073</v>
      </c>
      <c r="B875" t="s">
        <v>24</v>
      </c>
      <c r="C875" s="3">
        <v>45689.745671296296</v>
      </c>
      <c r="D875" t="s">
        <v>24</v>
      </c>
      <c r="E875" s="4">
        <v>0</v>
      </c>
      <c r="F875" s="4">
        <v>440090.4</v>
      </c>
      <c r="G875" s="4">
        <v>440090.4</v>
      </c>
      <c r="H875" s="5">
        <f>0 / 86400</f>
        <v>0</v>
      </c>
      <c r="I875" t="s">
        <v>37</v>
      </c>
      <c r="J875" t="s">
        <v>37</v>
      </c>
      <c r="K875" s="5">
        <f>3 / 86400</f>
        <v>3.4722222222222222E-5</v>
      </c>
      <c r="L875" s="5">
        <f>956 / 86400</f>
        <v>1.1064814814814816E-2</v>
      </c>
    </row>
    <row r="876" spans="1:12" x14ac:dyDescent="0.25">
      <c r="A876" s="3">
        <v>45689.756736111114</v>
      </c>
      <c r="B876" t="s">
        <v>24</v>
      </c>
      <c r="C876" s="3">
        <v>45689.756747685184</v>
      </c>
      <c r="D876" t="s">
        <v>24</v>
      </c>
      <c r="E876" s="4">
        <v>0</v>
      </c>
      <c r="F876" s="4">
        <v>440090.4</v>
      </c>
      <c r="G876" s="4">
        <v>440090.4</v>
      </c>
      <c r="H876" s="5">
        <f>0 / 86400</f>
        <v>0</v>
      </c>
      <c r="I876" t="s">
        <v>37</v>
      </c>
      <c r="J876" t="s">
        <v>37</v>
      </c>
      <c r="K876" s="5">
        <f>1 / 86400</f>
        <v>1.1574074074074073E-5</v>
      </c>
      <c r="L876" s="5">
        <f>10935 / 86400</f>
        <v>0.12656249999999999</v>
      </c>
    </row>
    <row r="877" spans="1:12" x14ac:dyDescent="0.25">
      <c r="A877" s="3">
        <v>45689.883310185185</v>
      </c>
      <c r="B877" t="s">
        <v>24</v>
      </c>
      <c r="C877" s="3">
        <v>45689.888888888891</v>
      </c>
      <c r="D877" t="s">
        <v>24</v>
      </c>
      <c r="E877" s="4">
        <v>9.0999999999999998E-2</v>
      </c>
      <c r="F877" s="4">
        <v>440090.4</v>
      </c>
      <c r="G877" s="4">
        <v>440090.49099999998</v>
      </c>
      <c r="H877" s="5">
        <f>419 / 86400</f>
        <v>4.8495370370370368E-3</v>
      </c>
      <c r="I877" t="s">
        <v>56</v>
      </c>
      <c r="J877" t="s">
        <v>100</v>
      </c>
      <c r="K877" s="5">
        <f>481 / 86400</f>
        <v>5.5671296296296293E-3</v>
      </c>
      <c r="L877" s="5">
        <f>394 / 86400</f>
        <v>4.5601851851851853E-3</v>
      </c>
    </row>
    <row r="878" spans="1:12" x14ac:dyDescent="0.25">
      <c r="A878" s="3">
        <v>45689.893449074079</v>
      </c>
      <c r="B878" t="s">
        <v>24</v>
      </c>
      <c r="C878" s="3">
        <v>45689.905023148152</v>
      </c>
      <c r="D878" t="s">
        <v>24</v>
      </c>
      <c r="E878" s="4">
        <v>2.6589999999999998</v>
      </c>
      <c r="F878" s="4">
        <v>440090.49099999998</v>
      </c>
      <c r="G878" s="4">
        <v>440093.15</v>
      </c>
      <c r="H878" s="5">
        <f>399 / 86400</f>
        <v>4.6180555555555558E-3</v>
      </c>
      <c r="I878" t="s">
        <v>91</v>
      </c>
      <c r="J878" t="s">
        <v>116</v>
      </c>
      <c r="K878" s="5">
        <f>999 / 86400</f>
        <v>1.15625E-2</v>
      </c>
      <c r="L878" s="5">
        <f>21 / 86400</f>
        <v>2.4305555555555555E-4</v>
      </c>
    </row>
    <row r="879" spans="1:12" x14ac:dyDescent="0.25">
      <c r="A879" s="3">
        <v>45689.905266203699</v>
      </c>
      <c r="B879" t="s">
        <v>24</v>
      </c>
      <c r="C879" s="3">
        <v>45689.905590277776</v>
      </c>
      <c r="D879" t="s">
        <v>24</v>
      </c>
      <c r="E879" s="4">
        <v>0</v>
      </c>
      <c r="F879" s="4">
        <v>440093.15</v>
      </c>
      <c r="G879" s="4">
        <v>440093.15</v>
      </c>
      <c r="H879" s="5">
        <f>19 / 86400</f>
        <v>2.199074074074074E-4</v>
      </c>
      <c r="I879" t="s">
        <v>37</v>
      </c>
      <c r="J879" t="s">
        <v>37</v>
      </c>
      <c r="K879" s="5">
        <f>27 / 86400</f>
        <v>3.1250000000000001E-4</v>
      </c>
      <c r="L879" s="5">
        <f>8156 / 86400</f>
        <v>9.4398148148148148E-2</v>
      </c>
    </row>
    <row r="880" spans="1:1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 spans="1:1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</row>
    <row r="882" spans="1:12" s="10" customFormat="1" ht="20.100000000000001" customHeight="1" x14ac:dyDescent="0.35">
      <c r="A882" s="15" t="s">
        <v>460</v>
      </c>
      <c r="B882" s="15"/>
      <c r="C882" s="15"/>
      <c r="D882" s="15"/>
      <c r="E882" s="15"/>
      <c r="F882" s="15"/>
      <c r="G882" s="15"/>
      <c r="H882" s="15"/>
      <c r="I882" s="15"/>
      <c r="J882" s="15"/>
    </row>
    <row r="883" spans="1:1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2" ht="30" x14ac:dyDescent="0.25">
      <c r="A884" s="2" t="s">
        <v>6</v>
      </c>
      <c r="B884" s="2" t="s">
        <v>7</v>
      </c>
      <c r="C884" s="2" t="s">
        <v>8</v>
      </c>
      <c r="D884" s="2" t="s">
        <v>9</v>
      </c>
      <c r="E884" s="2" t="s">
        <v>10</v>
      </c>
      <c r="F884" s="2" t="s">
        <v>11</v>
      </c>
      <c r="G884" s="2" t="s">
        <v>12</v>
      </c>
      <c r="H884" s="2" t="s">
        <v>13</v>
      </c>
      <c r="I884" s="2" t="s">
        <v>14</v>
      </c>
      <c r="J884" s="2" t="s">
        <v>15</v>
      </c>
      <c r="K884" s="2" t="s">
        <v>16</v>
      </c>
      <c r="L884" s="2" t="s">
        <v>17</v>
      </c>
    </row>
    <row r="885" spans="1:12" x14ac:dyDescent="0.25">
      <c r="A885" s="3">
        <v>45689.306909722218</v>
      </c>
      <c r="B885" t="s">
        <v>84</v>
      </c>
      <c r="C885" s="3">
        <v>45689.312037037038</v>
      </c>
      <c r="D885" t="s">
        <v>366</v>
      </c>
      <c r="E885" s="4">
        <v>1.512</v>
      </c>
      <c r="F885" s="4">
        <v>411350.99</v>
      </c>
      <c r="G885" s="4">
        <v>411352.50199999998</v>
      </c>
      <c r="H885" s="5">
        <f>139 / 86400</f>
        <v>1.6087962962962963E-3</v>
      </c>
      <c r="I885" t="s">
        <v>70</v>
      </c>
      <c r="J885" t="s">
        <v>99</v>
      </c>
      <c r="K885" s="5">
        <f>443 / 86400</f>
        <v>5.1273148148148146E-3</v>
      </c>
      <c r="L885" s="5">
        <f>26575 / 86400</f>
        <v>0.30758101851851855</v>
      </c>
    </row>
    <row r="886" spans="1:12" x14ac:dyDescent="0.25">
      <c r="A886" s="3">
        <v>45689.312708333338</v>
      </c>
      <c r="B886" t="s">
        <v>366</v>
      </c>
      <c r="C886" s="3">
        <v>45689.536990740744</v>
      </c>
      <c r="D886" t="s">
        <v>50</v>
      </c>
      <c r="E886" s="4">
        <v>93.914000000000001</v>
      </c>
      <c r="F886" s="4">
        <v>411352.50199999998</v>
      </c>
      <c r="G886" s="4">
        <v>411446.41600000003</v>
      </c>
      <c r="H886" s="5">
        <f>6561 / 86400</f>
        <v>7.5937500000000005E-2</v>
      </c>
      <c r="I886" t="s">
        <v>67</v>
      </c>
      <c r="J886" t="s">
        <v>30</v>
      </c>
      <c r="K886" s="5">
        <f>19377 / 86400</f>
        <v>0.22427083333333334</v>
      </c>
      <c r="L886" s="5">
        <f>2470 / 86400</f>
        <v>2.8587962962962964E-2</v>
      </c>
    </row>
    <row r="887" spans="1:12" x14ac:dyDescent="0.25">
      <c r="A887" s="3">
        <v>45689.565578703703</v>
      </c>
      <c r="B887" t="s">
        <v>50</v>
      </c>
      <c r="C887" s="3">
        <v>45689.570185185185</v>
      </c>
      <c r="D887" t="s">
        <v>139</v>
      </c>
      <c r="E887" s="4">
        <v>1.23</v>
      </c>
      <c r="F887" s="4">
        <v>411446.41600000003</v>
      </c>
      <c r="G887" s="4">
        <v>411447.64600000001</v>
      </c>
      <c r="H887" s="5">
        <f>59 / 86400</f>
        <v>6.8287037037037036E-4</v>
      </c>
      <c r="I887" t="s">
        <v>91</v>
      </c>
      <c r="J887" t="s">
        <v>71</v>
      </c>
      <c r="K887" s="5">
        <f>398 / 86400</f>
        <v>4.6064814814814814E-3</v>
      </c>
      <c r="L887" s="5">
        <f>401 / 86400</f>
        <v>4.6412037037037038E-3</v>
      </c>
    </row>
    <row r="888" spans="1:12" x14ac:dyDescent="0.25">
      <c r="A888" s="3">
        <v>45689.574826388889</v>
      </c>
      <c r="B888" t="s">
        <v>139</v>
      </c>
      <c r="C888" s="3">
        <v>45689.57711805556</v>
      </c>
      <c r="D888" t="s">
        <v>143</v>
      </c>
      <c r="E888" s="4">
        <v>0.73099999999999998</v>
      </c>
      <c r="F888" s="4">
        <v>411447.64600000001</v>
      </c>
      <c r="G888" s="4">
        <v>411448.37699999998</v>
      </c>
      <c r="H888" s="5">
        <f>21 / 86400</f>
        <v>2.4305555555555555E-4</v>
      </c>
      <c r="I888" t="s">
        <v>184</v>
      </c>
      <c r="J888" t="s">
        <v>31</v>
      </c>
      <c r="K888" s="5">
        <f>198 / 86400</f>
        <v>2.2916666666666667E-3</v>
      </c>
      <c r="L888" s="5">
        <f>172 / 86400</f>
        <v>1.9907407407407408E-3</v>
      </c>
    </row>
    <row r="889" spans="1:12" x14ac:dyDescent="0.25">
      <c r="A889" s="3">
        <v>45689.579108796301</v>
      </c>
      <c r="B889" t="s">
        <v>143</v>
      </c>
      <c r="C889" s="3">
        <v>45689.579259259262</v>
      </c>
      <c r="D889" t="s">
        <v>143</v>
      </c>
      <c r="E889" s="4">
        <v>0.01</v>
      </c>
      <c r="F889" s="4">
        <v>411448.37699999998</v>
      </c>
      <c r="G889" s="4">
        <v>411448.38699999999</v>
      </c>
      <c r="H889" s="5">
        <f>0 / 86400</f>
        <v>0</v>
      </c>
      <c r="I889" t="s">
        <v>37</v>
      </c>
      <c r="J889" t="s">
        <v>121</v>
      </c>
      <c r="K889" s="5">
        <f>12 / 86400</f>
        <v>1.3888888888888889E-4</v>
      </c>
      <c r="L889" s="5">
        <f>450 / 86400</f>
        <v>5.208333333333333E-3</v>
      </c>
    </row>
    <row r="890" spans="1:12" x14ac:dyDescent="0.25">
      <c r="A890" s="3">
        <v>45689.584467592591</v>
      </c>
      <c r="B890" t="s">
        <v>143</v>
      </c>
      <c r="C890" s="3">
        <v>45689.818912037037</v>
      </c>
      <c r="D890" t="s">
        <v>250</v>
      </c>
      <c r="E890" s="4">
        <v>97.043999999999997</v>
      </c>
      <c r="F890" s="4">
        <v>411448.38699999999</v>
      </c>
      <c r="G890" s="4">
        <v>411545.43099999998</v>
      </c>
      <c r="H890" s="5">
        <f>7098 / 86400</f>
        <v>8.2152777777777783E-2</v>
      </c>
      <c r="I890" t="s">
        <v>404</v>
      </c>
      <c r="J890" t="s">
        <v>30</v>
      </c>
      <c r="K890" s="5">
        <f>20255 / 86400</f>
        <v>0.23443287037037036</v>
      </c>
      <c r="L890" s="5">
        <f>1404 / 86400</f>
        <v>1.6250000000000001E-2</v>
      </c>
    </row>
    <row r="891" spans="1:12" x14ac:dyDescent="0.25">
      <c r="A891" s="3">
        <v>45689.835162037038</v>
      </c>
      <c r="B891" t="s">
        <v>250</v>
      </c>
      <c r="C891" s="3">
        <v>45689.83520833333</v>
      </c>
      <c r="D891" t="s">
        <v>322</v>
      </c>
      <c r="E891" s="4">
        <v>0</v>
      </c>
      <c r="F891" s="4">
        <v>411545.43099999998</v>
      </c>
      <c r="G891" s="4">
        <v>411545.43099999998</v>
      </c>
      <c r="H891" s="5">
        <f>0 / 86400</f>
        <v>0</v>
      </c>
      <c r="I891" t="s">
        <v>37</v>
      </c>
      <c r="J891" t="s">
        <v>37</v>
      </c>
      <c r="K891" s="5">
        <f>3 / 86400</f>
        <v>3.4722222222222222E-5</v>
      </c>
      <c r="L891" s="5">
        <f>4 / 86400</f>
        <v>4.6296296296296294E-5</v>
      </c>
    </row>
    <row r="892" spans="1:12" x14ac:dyDescent="0.25">
      <c r="A892" s="3">
        <v>45689.83525462963</v>
      </c>
      <c r="B892" t="s">
        <v>322</v>
      </c>
      <c r="C892" s="3">
        <v>45689.872499999998</v>
      </c>
      <c r="D892" t="s">
        <v>366</v>
      </c>
      <c r="E892" s="4">
        <v>17.850999999999999</v>
      </c>
      <c r="F892" s="4">
        <v>411545.43099999998</v>
      </c>
      <c r="G892" s="4">
        <v>411563.28200000001</v>
      </c>
      <c r="H892" s="5">
        <f>1192 / 86400</f>
        <v>1.3796296296296296E-2</v>
      </c>
      <c r="I892" t="s">
        <v>73</v>
      </c>
      <c r="J892" t="s">
        <v>62</v>
      </c>
      <c r="K892" s="5">
        <f>3218 / 86400</f>
        <v>3.7245370370370373E-2</v>
      </c>
      <c r="L892" s="5">
        <f>1103 / 86400</f>
        <v>1.2766203703703703E-2</v>
      </c>
    </row>
    <row r="893" spans="1:12" x14ac:dyDescent="0.25">
      <c r="A893" s="3">
        <v>45689.885266203702</v>
      </c>
      <c r="B893" t="s">
        <v>366</v>
      </c>
      <c r="C893" s="3">
        <v>45689.88762731482</v>
      </c>
      <c r="D893" t="s">
        <v>405</v>
      </c>
      <c r="E893" s="4">
        <v>0.96299999999999997</v>
      </c>
      <c r="F893" s="4">
        <v>411563.28200000001</v>
      </c>
      <c r="G893" s="4">
        <v>411564.245</v>
      </c>
      <c r="H893" s="5">
        <f>59 / 86400</f>
        <v>6.8287037037037036E-4</v>
      </c>
      <c r="I893" t="s">
        <v>406</v>
      </c>
      <c r="J893" t="s">
        <v>30</v>
      </c>
      <c r="K893" s="5">
        <f>204 / 86400</f>
        <v>2.3611111111111111E-3</v>
      </c>
      <c r="L893" s="5">
        <f>118 / 86400</f>
        <v>1.3657407407407407E-3</v>
      </c>
    </row>
    <row r="894" spans="1:12" x14ac:dyDescent="0.25">
      <c r="A894" s="3">
        <v>45689.88899305556</v>
      </c>
      <c r="B894" t="s">
        <v>405</v>
      </c>
      <c r="C894" s="3">
        <v>45689.889016203699</v>
      </c>
      <c r="D894" t="s">
        <v>405</v>
      </c>
      <c r="E894" s="4">
        <v>0</v>
      </c>
      <c r="F894" s="4">
        <v>411564.245</v>
      </c>
      <c r="G894" s="4">
        <v>411564.245</v>
      </c>
      <c r="H894" s="5">
        <f>0 / 86400</f>
        <v>0</v>
      </c>
      <c r="I894" t="s">
        <v>37</v>
      </c>
      <c r="J894" t="s">
        <v>37</v>
      </c>
      <c r="K894" s="5">
        <f>2 / 86400</f>
        <v>2.3148148148148147E-5</v>
      </c>
      <c r="L894" s="5">
        <f>161 / 86400</f>
        <v>1.8634259259259259E-3</v>
      </c>
    </row>
    <row r="895" spans="1:12" x14ac:dyDescent="0.25">
      <c r="A895" s="3">
        <v>45689.890879629631</v>
      </c>
      <c r="B895" t="s">
        <v>405</v>
      </c>
      <c r="C895" s="3">
        <v>45689.893692129626</v>
      </c>
      <c r="D895" t="s">
        <v>385</v>
      </c>
      <c r="E895" s="4">
        <v>0.16500000000000001</v>
      </c>
      <c r="F895" s="4">
        <v>411564.245</v>
      </c>
      <c r="G895" s="4">
        <v>411564.41</v>
      </c>
      <c r="H895" s="5">
        <f>159 / 86400</f>
        <v>1.8402777777777777E-3</v>
      </c>
      <c r="I895" t="s">
        <v>99</v>
      </c>
      <c r="J895" t="s">
        <v>133</v>
      </c>
      <c r="K895" s="5">
        <f>243 / 86400</f>
        <v>2.8124999999999999E-3</v>
      </c>
      <c r="L895" s="5">
        <f>1848 / 86400</f>
        <v>2.1388888888888888E-2</v>
      </c>
    </row>
    <row r="896" spans="1:12" x14ac:dyDescent="0.25">
      <c r="A896" s="3">
        <v>45689.915081018524</v>
      </c>
      <c r="B896" t="s">
        <v>385</v>
      </c>
      <c r="C896" s="3">
        <v>45689.929062499999</v>
      </c>
      <c r="D896" t="s">
        <v>64</v>
      </c>
      <c r="E896" s="4">
        <v>3.621</v>
      </c>
      <c r="F896" s="4">
        <v>411564.41</v>
      </c>
      <c r="G896" s="4">
        <v>411568.03100000002</v>
      </c>
      <c r="H896" s="5">
        <f>379 / 86400</f>
        <v>4.386574074074074E-3</v>
      </c>
      <c r="I896" t="s">
        <v>245</v>
      </c>
      <c r="J896" t="s">
        <v>71</v>
      </c>
      <c r="K896" s="5">
        <f>1207 / 86400</f>
        <v>1.3969907407407407E-2</v>
      </c>
      <c r="L896" s="5">
        <f>456 / 86400</f>
        <v>5.2777777777777779E-3</v>
      </c>
    </row>
    <row r="897" spans="1:12" x14ac:dyDescent="0.25">
      <c r="A897" s="3">
        <v>45689.934340277774</v>
      </c>
      <c r="B897" t="s">
        <v>64</v>
      </c>
      <c r="C897" s="3">
        <v>45689.939629629633</v>
      </c>
      <c r="D897" t="s">
        <v>84</v>
      </c>
      <c r="E897" s="4">
        <v>2.2589999999999999</v>
      </c>
      <c r="F897" s="4">
        <v>411568.03100000002</v>
      </c>
      <c r="G897" s="4">
        <v>411570.29</v>
      </c>
      <c r="H897" s="5">
        <f>119 / 86400</f>
        <v>1.3773148148148147E-3</v>
      </c>
      <c r="I897" t="s">
        <v>170</v>
      </c>
      <c r="J897" t="s">
        <v>23</v>
      </c>
      <c r="K897" s="5">
        <f>457 / 86400</f>
        <v>5.2893518518518515E-3</v>
      </c>
      <c r="L897" s="5">
        <f>65 / 86400</f>
        <v>7.5231481481481482E-4</v>
      </c>
    </row>
    <row r="898" spans="1:12" x14ac:dyDescent="0.25">
      <c r="A898" s="3">
        <v>45689.940381944441</v>
      </c>
      <c r="B898" t="s">
        <v>84</v>
      </c>
      <c r="C898" s="3">
        <v>45689.940625000003</v>
      </c>
      <c r="D898" t="s">
        <v>84</v>
      </c>
      <c r="E898" s="4">
        <v>1.7000000000000001E-2</v>
      </c>
      <c r="F898" s="4">
        <v>411570.29</v>
      </c>
      <c r="G898" s="4">
        <v>411570.30699999997</v>
      </c>
      <c r="H898" s="5">
        <f>0 / 86400</f>
        <v>0</v>
      </c>
      <c r="I898" t="s">
        <v>37</v>
      </c>
      <c r="J898" t="s">
        <v>121</v>
      </c>
      <c r="K898" s="5">
        <f>20 / 86400</f>
        <v>2.3148148148148149E-4</v>
      </c>
      <c r="L898" s="5">
        <f>5129 / 86400</f>
        <v>5.9363425925925924E-2</v>
      </c>
    </row>
    <row r="899" spans="1:12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</row>
    <row r="900" spans="1:1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</row>
    <row r="901" spans="1:12" s="10" customFormat="1" ht="20.100000000000001" customHeight="1" x14ac:dyDescent="0.35">
      <c r="A901" s="15" t="s">
        <v>461</v>
      </c>
      <c r="B901" s="15"/>
      <c r="C901" s="15"/>
      <c r="D901" s="15"/>
      <c r="E901" s="15"/>
      <c r="F901" s="15"/>
      <c r="G901" s="15"/>
      <c r="H901" s="15"/>
      <c r="I901" s="15"/>
      <c r="J901" s="15"/>
    </row>
    <row r="902" spans="1:12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</row>
    <row r="903" spans="1:12" ht="30" x14ac:dyDescent="0.25">
      <c r="A903" s="2" t="s">
        <v>6</v>
      </c>
      <c r="B903" s="2" t="s">
        <v>7</v>
      </c>
      <c r="C903" s="2" t="s">
        <v>8</v>
      </c>
      <c r="D903" s="2" t="s">
        <v>9</v>
      </c>
      <c r="E903" s="2" t="s">
        <v>10</v>
      </c>
      <c r="F903" s="2" t="s">
        <v>11</v>
      </c>
      <c r="G903" s="2" t="s">
        <v>12</v>
      </c>
      <c r="H903" s="2" t="s">
        <v>13</v>
      </c>
      <c r="I903" s="2" t="s">
        <v>14</v>
      </c>
      <c r="J903" s="2" t="s">
        <v>15</v>
      </c>
      <c r="K903" s="2" t="s">
        <v>16</v>
      </c>
      <c r="L903" s="2" t="s">
        <v>17</v>
      </c>
    </row>
    <row r="904" spans="1:12" x14ac:dyDescent="0.25">
      <c r="A904" s="3">
        <v>45689</v>
      </c>
      <c r="B904" t="s">
        <v>93</v>
      </c>
      <c r="C904" s="3">
        <v>45689.019247685181</v>
      </c>
      <c r="D904" t="s">
        <v>127</v>
      </c>
      <c r="E904" s="4">
        <v>12.590999999999999</v>
      </c>
      <c r="F904" s="4">
        <v>325182.96500000003</v>
      </c>
      <c r="G904" s="4">
        <v>325195.55599999998</v>
      </c>
      <c r="H904" s="5">
        <f>440 / 86400</f>
        <v>5.092592592592593E-3</v>
      </c>
      <c r="I904" t="s">
        <v>95</v>
      </c>
      <c r="J904" t="s">
        <v>141</v>
      </c>
      <c r="K904" s="5">
        <f>1663 / 86400</f>
        <v>1.9247685185185184E-2</v>
      </c>
      <c r="L904" s="5">
        <f>415 / 86400</f>
        <v>4.8032407407407407E-3</v>
      </c>
    </row>
    <row r="905" spans="1:12" x14ac:dyDescent="0.25">
      <c r="A905" s="3">
        <v>45689.024050925931</v>
      </c>
      <c r="B905" t="s">
        <v>127</v>
      </c>
      <c r="C905" s="3">
        <v>45689.02443287037</v>
      </c>
      <c r="D905" t="s">
        <v>127</v>
      </c>
      <c r="E905" s="4">
        <v>9.7000000000000003E-2</v>
      </c>
      <c r="F905" s="4">
        <v>325195.55599999998</v>
      </c>
      <c r="G905" s="4">
        <v>325195.65299999999</v>
      </c>
      <c r="H905" s="5">
        <f>0 / 86400</f>
        <v>0</v>
      </c>
      <c r="I905" t="s">
        <v>20</v>
      </c>
      <c r="J905" t="s">
        <v>71</v>
      </c>
      <c r="K905" s="5">
        <f>32 / 86400</f>
        <v>3.7037037037037035E-4</v>
      </c>
      <c r="L905" s="5">
        <f>271 / 86400</f>
        <v>3.1365740740740742E-3</v>
      </c>
    </row>
    <row r="906" spans="1:12" x14ac:dyDescent="0.25">
      <c r="A906" s="3">
        <v>45689.027569444443</v>
      </c>
      <c r="B906" t="s">
        <v>127</v>
      </c>
      <c r="C906" s="3">
        <v>45689.029965277776</v>
      </c>
      <c r="D906" t="s">
        <v>24</v>
      </c>
      <c r="E906" s="4">
        <v>0.41899999999999998</v>
      </c>
      <c r="F906" s="4">
        <v>325195.65299999999</v>
      </c>
      <c r="G906" s="4">
        <v>325196.07199999999</v>
      </c>
      <c r="H906" s="5">
        <f>80 / 86400</f>
        <v>9.2592592592592596E-4</v>
      </c>
      <c r="I906" t="s">
        <v>30</v>
      </c>
      <c r="J906" t="s">
        <v>126</v>
      </c>
      <c r="K906" s="5">
        <f>207 / 86400</f>
        <v>2.3958333333333331E-3</v>
      </c>
      <c r="L906" s="5">
        <f>12313 / 86400</f>
        <v>0.14251157407407408</v>
      </c>
    </row>
    <row r="907" spans="1:12" x14ac:dyDescent="0.25">
      <c r="A907" s="3">
        <v>45689.172476851847</v>
      </c>
      <c r="B907" t="s">
        <v>24</v>
      </c>
      <c r="C907" s="3">
        <v>45689.173460648148</v>
      </c>
      <c r="D907" t="s">
        <v>24</v>
      </c>
      <c r="E907" s="4">
        <v>2.8000000000000001E-2</v>
      </c>
      <c r="F907" s="4">
        <v>325196.07199999999</v>
      </c>
      <c r="G907" s="4">
        <v>325196.09999999998</v>
      </c>
      <c r="H907" s="5">
        <f>19 / 86400</f>
        <v>2.199074074074074E-4</v>
      </c>
      <c r="I907" t="s">
        <v>56</v>
      </c>
      <c r="J907" t="s">
        <v>100</v>
      </c>
      <c r="K907" s="5">
        <f>85 / 86400</f>
        <v>9.837962962962962E-4</v>
      </c>
      <c r="L907" s="5">
        <f>54 / 86400</f>
        <v>6.2500000000000001E-4</v>
      </c>
    </row>
    <row r="908" spans="1:12" x14ac:dyDescent="0.25">
      <c r="A908" s="3">
        <v>45689.174085648148</v>
      </c>
      <c r="B908" t="s">
        <v>24</v>
      </c>
      <c r="C908" s="3">
        <v>45689.344618055555</v>
      </c>
      <c r="D908" t="s">
        <v>45</v>
      </c>
      <c r="E908" s="4">
        <v>81.790999999999997</v>
      </c>
      <c r="F908" s="4">
        <v>325196.09999999998</v>
      </c>
      <c r="G908" s="4">
        <v>325277.891</v>
      </c>
      <c r="H908" s="5">
        <f>3240 / 86400</f>
        <v>3.7499999999999999E-2</v>
      </c>
      <c r="I908" t="s">
        <v>140</v>
      </c>
      <c r="J908" t="s">
        <v>62</v>
      </c>
      <c r="K908" s="5">
        <f>14733 / 86400</f>
        <v>0.17052083333333334</v>
      </c>
      <c r="L908" s="5">
        <f>329 / 86400</f>
        <v>3.8078703703703703E-3</v>
      </c>
    </row>
    <row r="909" spans="1:12" x14ac:dyDescent="0.25">
      <c r="A909" s="3">
        <v>45689.348425925928</v>
      </c>
      <c r="B909" t="s">
        <v>45</v>
      </c>
      <c r="C909" s="3">
        <v>45689.349398148144</v>
      </c>
      <c r="D909" t="s">
        <v>45</v>
      </c>
      <c r="E909" s="4">
        <v>8.6999999999999994E-2</v>
      </c>
      <c r="F909" s="4">
        <v>325277.891</v>
      </c>
      <c r="G909" s="4">
        <v>325277.978</v>
      </c>
      <c r="H909" s="5">
        <f>39 / 86400</f>
        <v>4.5138888888888887E-4</v>
      </c>
      <c r="I909" t="s">
        <v>116</v>
      </c>
      <c r="J909" t="s">
        <v>80</v>
      </c>
      <c r="K909" s="5">
        <f>83 / 86400</f>
        <v>9.6064814814814819E-4</v>
      </c>
      <c r="L909" s="5">
        <f>6030 / 86400</f>
        <v>6.9791666666666669E-2</v>
      </c>
    </row>
    <row r="910" spans="1:12" x14ac:dyDescent="0.25">
      <c r="A910" s="3">
        <v>45689.419189814813</v>
      </c>
      <c r="B910" t="s">
        <v>45</v>
      </c>
      <c r="C910" s="3">
        <v>45689.42350694444</v>
      </c>
      <c r="D910" t="s">
        <v>139</v>
      </c>
      <c r="E910" s="4">
        <v>1.1639999999999999</v>
      </c>
      <c r="F910" s="4">
        <v>325277.978</v>
      </c>
      <c r="G910" s="4">
        <v>325279.14199999999</v>
      </c>
      <c r="H910" s="5">
        <f>20 / 86400</f>
        <v>2.3148148148148149E-4</v>
      </c>
      <c r="I910" t="s">
        <v>119</v>
      </c>
      <c r="J910" t="s">
        <v>71</v>
      </c>
      <c r="K910" s="5">
        <f>373 / 86400</f>
        <v>4.31712962962963E-3</v>
      </c>
      <c r="L910" s="5">
        <f>484 / 86400</f>
        <v>5.6018518518518518E-3</v>
      </c>
    </row>
    <row r="911" spans="1:12" x14ac:dyDescent="0.25">
      <c r="A911" s="3">
        <v>45689.429108796292</v>
      </c>
      <c r="B911" t="s">
        <v>139</v>
      </c>
      <c r="C911" s="3">
        <v>45689.668298611112</v>
      </c>
      <c r="D911" t="s">
        <v>407</v>
      </c>
      <c r="E911" s="4">
        <v>84.951999999999998</v>
      </c>
      <c r="F911" s="4">
        <v>325279.14199999999</v>
      </c>
      <c r="G911" s="4">
        <v>325364.09399999998</v>
      </c>
      <c r="H911" s="5">
        <f>6861 / 86400</f>
        <v>7.9409722222222229E-2</v>
      </c>
      <c r="I911" t="s">
        <v>95</v>
      </c>
      <c r="J911" t="s">
        <v>43</v>
      </c>
      <c r="K911" s="5">
        <f>20666 / 86400</f>
        <v>0.23918981481481483</v>
      </c>
      <c r="L911" s="5">
        <f>2122 / 86400</f>
        <v>2.4560185185185185E-2</v>
      </c>
    </row>
    <row r="912" spans="1:12" x14ac:dyDescent="0.25">
      <c r="A912" s="3">
        <v>45689.692858796298</v>
      </c>
      <c r="B912" t="s">
        <v>407</v>
      </c>
      <c r="C912" s="3">
        <v>45689.838865740741</v>
      </c>
      <c r="D912" t="s">
        <v>408</v>
      </c>
      <c r="E912" s="4">
        <v>60.384999999999998</v>
      </c>
      <c r="F912" s="4">
        <v>325364.09399999998</v>
      </c>
      <c r="G912" s="4">
        <v>325424.47899999999</v>
      </c>
      <c r="H912" s="5">
        <f>4559 / 86400</f>
        <v>5.2766203703703704E-2</v>
      </c>
      <c r="I912" t="s">
        <v>29</v>
      </c>
      <c r="J912" t="s">
        <v>30</v>
      </c>
      <c r="K912" s="5">
        <f>12614 / 86400</f>
        <v>0.14599537037037036</v>
      </c>
      <c r="L912" s="5">
        <f>308 / 86400</f>
        <v>3.5648148148148149E-3</v>
      </c>
    </row>
    <row r="913" spans="1:12" x14ac:dyDescent="0.25">
      <c r="A913" s="3">
        <v>45689.842430555553</v>
      </c>
      <c r="B913" t="s">
        <v>408</v>
      </c>
      <c r="C913" s="3">
        <v>45689.99998842593</v>
      </c>
      <c r="D913" t="s">
        <v>94</v>
      </c>
      <c r="E913" s="4">
        <v>59.429000000000002</v>
      </c>
      <c r="F913" s="4">
        <v>325424.47899999999</v>
      </c>
      <c r="G913" s="4">
        <v>325483.908</v>
      </c>
      <c r="H913" s="5">
        <f>5019 / 86400</f>
        <v>5.8090277777777775E-2</v>
      </c>
      <c r="I913" t="s">
        <v>42</v>
      </c>
      <c r="J913" t="s">
        <v>26</v>
      </c>
      <c r="K913" s="5">
        <f>13613 / 86400</f>
        <v>0.15755787037037036</v>
      </c>
      <c r="L913" s="5">
        <f>0 / 86400</f>
        <v>0</v>
      </c>
    </row>
    <row r="914" spans="1:12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</row>
    <row r="915" spans="1:12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</row>
    <row r="916" spans="1:12" s="10" customFormat="1" ht="20.100000000000001" customHeight="1" x14ac:dyDescent="0.35">
      <c r="A916" s="15" t="s">
        <v>462</v>
      </c>
      <c r="B916" s="15"/>
      <c r="C916" s="15"/>
      <c r="D916" s="15"/>
      <c r="E916" s="15"/>
      <c r="F916" s="15"/>
      <c r="G916" s="15"/>
      <c r="H916" s="15"/>
      <c r="I916" s="15"/>
      <c r="J916" s="15"/>
    </row>
    <row r="917" spans="1:12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</row>
    <row r="918" spans="1:12" ht="30" x14ac:dyDescent="0.25">
      <c r="A918" s="2" t="s">
        <v>6</v>
      </c>
      <c r="B918" s="2" t="s">
        <v>7</v>
      </c>
      <c r="C918" s="2" t="s">
        <v>8</v>
      </c>
      <c r="D918" s="2" t="s">
        <v>9</v>
      </c>
      <c r="E918" s="2" t="s">
        <v>10</v>
      </c>
      <c r="F918" s="2" t="s">
        <v>11</v>
      </c>
      <c r="G918" s="2" t="s">
        <v>12</v>
      </c>
      <c r="H918" s="2" t="s">
        <v>13</v>
      </c>
      <c r="I918" s="2" t="s">
        <v>14</v>
      </c>
      <c r="J918" s="2" t="s">
        <v>15</v>
      </c>
      <c r="K918" s="2" t="s">
        <v>16</v>
      </c>
      <c r="L918" s="2" t="s">
        <v>17</v>
      </c>
    </row>
    <row r="919" spans="1:12" x14ac:dyDescent="0.25">
      <c r="A919" s="3">
        <v>45689.675462962958</v>
      </c>
      <c r="B919" t="s">
        <v>24</v>
      </c>
      <c r="C919" s="3">
        <v>45689.688472222224</v>
      </c>
      <c r="D919" t="s">
        <v>366</v>
      </c>
      <c r="E919" s="4">
        <v>4.0819999999999999</v>
      </c>
      <c r="F919" s="4">
        <v>358755.864</v>
      </c>
      <c r="G919" s="4">
        <v>358759.946</v>
      </c>
      <c r="H919" s="5">
        <f>300 / 86400</f>
        <v>3.472222222222222E-3</v>
      </c>
      <c r="I919" t="s">
        <v>220</v>
      </c>
      <c r="J919" t="s">
        <v>31</v>
      </c>
      <c r="K919" s="5">
        <f>1124 / 86400</f>
        <v>1.3009259259259259E-2</v>
      </c>
      <c r="L919" s="5">
        <f>58934 / 86400</f>
        <v>0.68210648148148145</v>
      </c>
    </row>
    <row r="920" spans="1:12" x14ac:dyDescent="0.25">
      <c r="A920" s="3">
        <v>45689.695115740746</v>
      </c>
      <c r="B920" t="s">
        <v>366</v>
      </c>
      <c r="C920" s="3">
        <v>45689.699016203704</v>
      </c>
      <c r="D920" t="s">
        <v>366</v>
      </c>
      <c r="E920" s="4">
        <v>0.30199999999999999</v>
      </c>
      <c r="F920" s="4">
        <v>358759.946</v>
      </c>
      <c r="G920" s="4">
        <v>358760.24800000002</v>
      </c>
      <c r="H920" s="5">
        <f>259 / 86400</f>
        <v>2.9976851851851853E-3</v>
      </c>
      <c r="I920" t="s">
        <v>149</v>
      </c>
      <c r="J920" t="s">
        <v>121</v>
      </c>
      <c r="K920" s="5">
        <f>337 / 86400</f>
        <v>3.9004629629629628E-3</v>
      </c>
      <c r="L920" s="5">
        <f>247 / 86400</f>
        <v>2.8587962962962963E-3</v>
      </c>
    </row>
    <row r="921" spans="1:12" x14ac:dyDescent="0.25">
      <c r="A921" s="3">
        <v>45689.701874999999</v>
      </c>
      <c r="B921" t="s">
        <v>366</v>
      </c>
      <c r="C921" s="3">
        <v>45689.926817129628</v>
      </c>
      <c r="D921" t="s">
        <v>150</v>
      </c>
      <c r="E921" s="4">
        <v>89.656999999999996</v>
      </c>
      <c r="F921" s="4">
        <v>358760.24800000002</v>
      </c>
      <c r="G921" s="4">
        <v>358849.90500000003</v>
      </c>
      <c r="H921" s="5">
        <f>7091 / 86400</f>
        <v>8.2071759259259261E-2</v>
      </c>
      <c r="I921" t="s">
        <v>95</v>
      </c>
      <c r="J921" t="s">
        <v>30</v>
      </c>
      <c r="K921" s="5">
        <f>19435 / 86400</f>
        <v>0.22494212962962962</v>
      </c>
      <c r="L921" s="5">
        <f>404 / 86400</f>
        <v>4.6759259259259263E-3</v>
      </c>
    </row>
    <row r="922" spans="1:12" x14ac:dyDescent="0.25">
      <c r="A922" s="3">
        <v>45689.931504629625</v>
      </c>
      <c r="B922" t="s">
        <v>150</v>
      </c>
      <c r="C922" s="3">
        <v>45689.947222222225</v>
      </c>
      <c r="D922" t="s">
        <v>24</v>
      </c>
      <c r="E922" s="4">
        <v>5.7350000000000003</v>
      </c>
      <c r="F922" s="4">
        <v>358849.90500000003</v>
      </c>
      <c r="G922" s="4">
        <v>358855.64</v>
      </c>
      <c r="H922" s="5">
        <f>480 / 86400</f>
        <v>5.5555555555555558E-3</v>
      </c>
      <c r="I922" t="s">
        <v>70</v>
      </c>
      <c r="J922" t="s">
        <v>43</v>
      </c>
      <c r="K922" s="5">
        <f>1358 / 86400</f>
        <v>1.5717592592592592E-2</v>
      </c>
      <c r="L922" s="5">
        <f>4559 / 86400</f>
        <v>5.2766203703703704E-2</v>
      </c>
    </row>
    <row r="923" spans="1:12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</row>
    <row r="924" spans="1:12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</row>
    <row r="925" spans="1:12" s="10" customFormat="1" ht="20.100000000000001" customHeight="1" x14ac:dyDescent="0.35">
      <c r="A925" s="15" t="s">
        <v>463</v>
      </c>
      <c r="B925" s="15"/>
      <c r="C925" s="15"/>
      <c r="D925" s="15"/>
      <c r="E925" s="15"/>
      <c r="F925" s="15"/>
      <c r="G925" s="15"/>
      <c r="H925" s="15"/>
      <c r="I925" s="15"/>
      <c r="J925" s="15"/>
    </row>
    <row r="926" spans="1:12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</row>
    <row r="927" spans="1:12" ht="30" x14ac:dyDescent="0.25">
      <c r="A927" s="2" t="s">
        <v>6</v>
      </c>
      <c r="B927" s="2" t="s">
        <v>7</v>
      </c>
      <c r="C927" s="2" t="s">
        <v>8</v>
      </c>
      <c r="D927" s="2" t="s">
        <v>9</v>
      </c>
      <c r="E927" s="2" t="s">
        <v>10</v>
      </c>
      <c r="F927" s="2" t="s">
        <v>11</v>
      </c>
      <c r="G927" s="2" t="s">
        <v>12</v>
      </c>
      <c r="H927" s="2" t="s">
        <v>13</v>
      </c>
      <c r="I927" s="2" t="s">
        <v>14</v>
      </c>
      <c r="J927" s="2" t="s">
        <v>15</v>
      </c>
      <c r="K927" s="2" t="s">
        <v>16</v>
      </c>
      <c r="L927" s="2" t="s">
        <v>17</v>
      </c>
    </row>
    <row r="928" spans="1:12" x14ac:dyDescent="0.25">
      <c r="A928" s="3">
        <v>45689.279189814813</v>
      </c>
      <c r="B928" t="s">
        <v>96</v>
      </c>
      <c r="C928" s="3">
        <v>45689.400104166663</v>
      </c>
      <c r="D928" t="s">
        <v>409</v>
      </c>
      <c r="E928" s="4">
        <v>50.77</v>
      </c>
      <c r="F928" s="4">
        <v>80176.260999999999</v>
      </c>
      <c r="G928" s="4">
        <v>80227.031000000003</v>
      </c>
      <c r="H928" s="5">
        <f>3817 / 86400</f>
        <v>4.417824074074074E-2</v>
      </c>
      <c r="I928" t="s">
        <v>410</v>
      </c>
      <c r="J928" t="s">
        <v>30</v>
      </c>
      <c r="K928" s="5">
        <f>10447 / 86400</f>
        <v>0.12091435185185186</v>
      </c>
      <c r="L928" s="5">
        <f>24926 / 86400</f>
        <v>0.28849537037037037</v>
      </c>
    </row>
    <row r="929" spans="1:12" x14ac:dyDescent="0.25">
      <c r="A929" s="3">
        <v>45689.409409722226</v>
      </c>
      <c r="B929" t="s">
        <v>409</v>
      </c>
      <c r="C929" s="3">
        <v>45689.542499999996</v>
      </c>
      <c r="D929" t="s">
        <v>411</v>
      </c>
      <c r="E929" s="4">
        <v>53.302999999999997</v>
      </c>
      <c r="F929" s="4">
        <v>80227.031000000003</v>
      </c>
      <c r="G929" s="4">
        <v>80280.334000000003</v>
      </c>
      <c r="H929" s="5">
        <f>3181 / 86400</f>
        <v>3.681712962962963E-2</v>
      </c>
      <c r="I929" t="s">
        <v>34</v>
      </c>
      <c r="J929" t="s">
        <v>30</v>
      </c>
      <c r="K929" s="5">
        <f>11498 / 86400</f>
        <v>0.1330787037037037</v>
      </c>
      <c r="L929" s="5">
        <f>317 / 86400</f>
        <v>3.6689814814814814E-3</v>
      </c>
    </row>
    <row r="930" spans="1:12" x14ac:dyDescent="0.25">
      <c r="A930" s="3">
        <v>45689.546168981484</v>
      </c>
      <c r="B930" t="s">
        <v>317</v>
      </c>
      <c r="C930" s="3">
        <v>45689.549108796295</v>
      </c>
      <c r="D930" t="s">
        <v>96</v>
      </c>
      <c r="E930" s="4">
        <v>1.17</v>
      </c>
      <c r="F930" s="4">
        <v>80280.335000000006</v>
      </c>
      <c r="G930" s="4">
        <v>80281.505000000005</v>
      </c>
      <c r="H930" s="5">
        <f>40 / 86400</f>
        <v>4.6296296296296298E-4</v>
      </c>
      <c r="I930" t="s">
        <v>214</v>
      </c>
      <c r="J930" t="s">
        <v>30</v>
      </c>
      <c r="K930" s="5">
        <f>254 / 86400</f>
        <v>2.9398148148148148E-3</v>
      </c>
      <c r="L930" s="5">
        <f>6189 / 86400</f>
        <v>7.1631944444444443E-2</v>
      </c>
    </row>
    <row r="931" spans="1:12" x14ac:dyDescent="0.25">
      <c r="A931" s="3">
        <v>45689.620740740742</v>
      </c>
      <c r="B931" t="s">
        <v>96</v>
      </c>
      <c r="C931" s="3">
        <v>45689.843773148154</v>
      </c>
      <c r="D931" t="s">
        <v>411</v>
      </c>
      <c r="E931" s="4">
        <v>94.805999999999997</v>
      </c>
      <c r="F931" s="4">
        <v>80281.505000000005</v>
      </c>
      <c r="G931" s="4">
        <v>80376.311000000002</v>
      </c>
      <c r="H931" s="5">
        <f>6159 / 86400</f>
        <v>7.1284722222222222E-2</v>
      </c>
      <c r="I931" t="s">
        <v>97</v>
      </c>
      <c r="J931" t="s">
        <v>23</v>
      </c>
      <c r="K931" s="5">
        <f>19269 / 86400</f>
        <v>0.22302083333333333</v>
      </c>
      <c r="L931" s="5">
        <f>424 / 86400</f>
        <v>4.9074074074074072E-3</v>
      </c>
    </row>
    <row r="932" spans="1:12" x14ac:dyDescent="0.25">
      <c r="A932" s="3">
        <v>45689.848680555559</v>
      </c>
      <c r="B932" t="s">
        <v>411</v>
      </c>
      <c r="C932" s="3">
        <v>45689.854733796295</v>
      </c>
      <c r="D932" t="s">
        <v>96</v>
      </c>
      <c r="E932" s="4">
        <v>1.167</v>
      </c>
      <c r="F932" s="4">
        <v>80376.311000000002</v>
      </c>
      <c r="G932" s="4">
        <v>80377.478000000003</v>
      </c>
      <c r="H932" s="5">
        <f>259 / 86400</f>
        <v>2.9976851851851853E-3</v>
      </c>
      <c r="I932" t="s">
        <v>167</v>
      </c>
      <c r="J932" t="s">
        <v>120</v>
      </c>
      <c r="K932" s="5">
        <f>523 / 86400</f>
        <v>6.053240740740741E-3</v>
      </c>
      <c r="L932" s="5">
        <f>39 / 86400</f>
        <v>4.5138888888888887E-4</v>
      </c>
    </row>
    <row r="933" spans="1:12" x14ac:dyDescent="0.25">
      <c r="A933" s="3">
        <v>45689.855185185181</v>
      </c>
      <c r="B933" t="s">
        <v>96</v>
      </c>
      <c r="C933" s="3">
        <v>45689.855219907404</v>
      </c>
      <c r="D933" t="s">
        <v>96</v>
      </c>
      <c r="E933" s="4">
        <v>0</v>
      </c>
      <c r="F933" s="4">
        <v>80377.478000000003</v>
      </c>
      <c r="G933" s="4">
        <v>80377.478000000003</v>
      </c>
      <c r="H933" s="5">
        <f>0 / 86400</f>
        <v>0</v>
      </c>
      <c r="I933" t="s">
        <v>37</v>
      </c>
      <c r="J933" t="s">
        <v>37</v>
      </c>
      <c r="K933" s="5">
        <f>2 / 86400</f>
        <v>2.3148148148148147E-5</v>
      </c>
      <c r="L933" s="5">
        <f>6766 / 86400</f>
        <v>7.8310185185185191E-2</v>
      </c>
    </row>
    <row r="934" spans="1:12" x14ac:dyDescent="0.25">
      <c r="A934" s="3">
        <v>45689.933530092589</v>
      </c>
      <c r="B934" t="s">
        <v>96</v>
      </c>
      <c r="C934" s="3">
        <v>45689.935787037037</v>
      </c>
      <c r="D934" t="s">
        <v>96</v>
      </c>
      <c r="E934" s="4">
        <v>0.108</v>
      </c>
      <c r="F934" s="4">
        <v>80377.478000000003</v>
      </c>
      <c r="G934" s="4">
        <v>80377.585999999996</v>
      </c>
      <c r="H934" s="5">
        <f>100 / 86400</f>
        <v>1.1574074074074073E-3</v>
      </c>
      <c r="I934" t="s">
        <v>120</v>
      </c>
      <c r="J934" t="s">
        <v>133</v>
      </c>
      <c r="K934" s="5">
        <f>195 / 86400</f>
        <v>2.2569444444444442E-3</v>
      </c>
      <c r="L934" s="5">
        <f>5547 / 86400</f>
        <v>6.4201388888888891E-2</v>
      </c>
    </row>
    <row r="935" spans="1:12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</row>
    <row r="936" spans="1:12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</row>
    <row r="937" spans="1:12" s="10" customFormat="1" ht="20.100000000000001" customHeight="1" x14ac:dyDescent="0.35">
      <c r="A937" s="15" t="s">
        <v>464</v>
      </c>
      <c r="B937" s="15"/>
      <c r="C937" s="15"/>
      <c r="D937" s="15"/>
      <c r="E937" s="15"/>
      <c r="F937" s="15"/>
      <c r="G937" s="15"/>
      <c r="H937" s="15"/>
      <c r="I937" s="15"/>
      <c r="J937" s="15"/>
    </row>
    <row r="938" spans="1:12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</row>
    <row r="939" spans="1:12" ht="30" x14ac:dyDescent="0.25">
      <c r="A939" s="2" t="s">
        <v>6</v>
      </c>
      <c r="B939" s="2" t="s">
        <v>7</v>
      </c>
      <c r="C939" s="2" t="s">
        <v>8</v>
      </c>
      <c r="D939" s="2" t="s">
        <v>9</v>
      </c>
      <c r="E939" s="2" t="s">
        <v>10</v>
      </c>
      <c r="F939" s="2" t="s">
        <v>11</v>
      </c>
      <c r="G939" s="2" t="s">
        <v>12</v>
      </c>
      <c r="H939" s="2" t="s">
        <v>13</v>
      </c>
      <c r="I939" s="2" t="s">
        <v>14</v>
      </c>
      <c r="J939" s="2" t="s">
        <v>15</v>
      </c>
      <c r="K939" s="2" t="s">
        <v>16</v>
      </c>
      <c r="L939" s="2" t="s">
        <v>17</v>
      </c>
    </row>
    <row r="940" spans="1:12" x14ac:dyDescent="0.25">
      <c r="A940" s="3">
        <v>45689.263657407406</v>
      </c>
      <c r="B940" t="s">
        <v>98</v>
      </c>
      <c r="C940" s="3">
        <v>45689.266956018517</v>
      </c>
      <c r="D940" t="s">
        <v>24</v>
      </c>
      <c r="E940" s="4">
        <v>0.185</v>
      </c>
      <c r="F940" s="4">
        <v>468170.20199999999</v>
      </c>
      <c r="G940" s="4">
        <v>468170.38699999999</v>
      </c>
      <c r="H940" s="5">
        <f>160 / 86400</f>
        <v>1.8518518518518519E-3</v>
      </c>
      <c r="I940" t="s">
        <v>99</v>
      </c>
      <c r="J940" t="s">
        <v>133</v>
      </c>
      <c r="K940" s="5">
        <f>285 / 86400</f>
        <v>3.2986111111111111E-3</v>
      </c>
      <c r="L940" s="5">
        <f>67667 / 86400</f>
        <v>0.78318287037037038</v>
      </c>
    </row>
    <row r="941" spans="1:12" x14ac:dyDescent="0.25">
      <c r="A941" s="3">
        <v>45689.786481481482</v>
      </c>
      <c r="B941" t="s">
        <v>24</v>
      </c>
      <c r="C941" s="3">
        <v>45689.794108796297</v>
      </c>
      <c r="D941" t="s">
        <v>24</v>
      </c>
      <c r="E941" s="4">
        <v>0.16600000000000001</v>
      </c>
      <c r="F941" s="4">
        <v>468170.38699999999</v>
      </c>
      <c r="G941" s="4">
        <v>468170.55300000001</v>
      </c>
      <c r="H941" s="5">
        <f>539 / 86400</f>
        <v>6.2384259259259259E-3</v>
      </c>
      <c r="I941" t="s">
        <v>126</v>
      </c>
      <c r="J941" t="s">
        <v>100</v>
      </c>
      <c r="K941" s="5">
        <f>658 / 86400</f>
        <v>7.6157407407407406E-3</v>
      </c>
      <c r="L941" s="5">
        <f>17788 / 86400</f>
        <v>0.20587962962962963</v>
      </c>
    </row>
    <row r="942" spans="1:12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</row>
    <row r="943" spans="1:12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</row>
    <row r="944" spans="1:12" s="10" customFormat="1" ht="20.100000000000001" customHeight="1" x14ac:dyDescent="0.35">
      <c r="A944" s="15" t="s">
        <v>434</v>
      </c>
      <c r="B944" s="15"/>
      <c r="C944" s="15"/>
      <c r="D944" s="15"/>
      <c r="E944" s="15"/>
      <c r="F944" s="15"/>
      <c r="G944" s="15"/>
      <c r="H944" s="15"/>
      <c r="I944" s="15"/>
      <c r="J944" s="15"/>
    </row>
    <row r="945" spans="1:12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</row>
    <row r="946" spans="1:12" ht="30" x14ac:dyDescent="0.25">
      <c r="A946" s="2" t="s">
        <v>6</v>
      </c>
      <c r="B946" s="2" t="s">
        <v>7</v>
      </c>
      <c r="C946" s="2" t="s">
        <v>8</v>
      </c>
      <c r="D946" s="2" t="s">
        <v>9</v>
      </c>
      <c r="E946" s="2" t="s">
        <v>10</v>
      </c>
      <c r="F946" s="2" t="s">
        <v>11</v>
      </c>
      <c r="G946" s="2" t="s">
        <v>12</v>
      </c>
      <c r="H946" s="2" t="s">
        <v>13</v>
      </c>
      <c r="I946" s="2" t="s">
        <v>14</v>
      </c>
      <c r="J946" s="2" t="s">
        <v>15</v>
      </c>
      <c r="K946" s="2" t="s">
        <v>16</v>
      </c>
      <c r="L946" s="2" t="s">
        <v>17</v>
      </c>
    </row>
    <row r="947" spans="1:12" x14ac:dyDescent="0.25">
      <c r="A947" s="3">
        <v>45689.278194444443</v>
      </c>
      <c r="B947" t="s">
        <v>96</v>
      </c>
      <c r="C947" s="3">
        <v>45689.404756944445</v>
      </c>
      <c r="D947" t="s">
        <v>412</v>
      </c>
      <c r="E947" s="4">
        <v>51.073999999999998</v>
      </c>
      <c r="F947" s="4">
        <v>426750.75099999999</v>
      </c>
      <c r="G947" s="4">
        <v>426801.82500000001</v>
      </c>
      <c r="H947" s="5">
        <f>4278 / 86400</f>
        <v>4.9513888888888892E-2</v>
      </c>
      <c r="I947" t="s">
        <v>40</v>
      </c>
      <c r="J947" t="s">
        <v>30</v>
      </c>
      <c r="K947" s="5">
        <f>10935 / 86400</f>
        <v>0.12656249999999999</v>
      </c>
      <c r="L947" s="5">
        <f>24138 / 86400</f>
        <v>0.27937499999999998</v>
      </c>
    </row>
    <row r="948" spans="1:12" x14ac:dyDescent="0.25">
      <c r="A948" s="3">
        <v>45689.4059375</v>
      </c>
      <c r="B948" t="s">
        <v>413</v>
      </c>
      <c r="C948" s="3">
        <v>45689.432615740741</v>
      </c>
      <c r="D948" t="s">
        <v>291</v>
      </c>
      <c r="E948" s="4">
        <v>6.6920000000000002</v>
      </c>
      <c r="F948" s="4">
        <v>426801.82500000001</v>
      </c>
      <c r="G948" s="4">
        <v>426808.51699999999</v>
      </c>
      <c r="H948" s="5">
        <f>980 / 86400</f>
        <v>1.1342592592592593E-2</v>
      </c>
      <c r="I948" t="s">
        <v>233</v>
      </c>
      <c r="J948" t="s">
        <v>116</v>
      </c>
      <c r="K948" s="5">
        <f>2304 / 86400</f>
        <v>2.6666666666666668E-2</v>
      </c>
      <c r="L948" s="5">
        <f>11 / 86400</f>
        <v>1.273148148148148E-4</v>
      </c>
    </row>
    <row r="949" spans="1:12" x14ac:dyDescent="0.25">
      <c r="A949" s="3">
        <v>45689.432743055557</v>
      </c>
      <c r="B949" t="s">
        <v>291</v>
      </c>
      <c r="C949" s="3">
        <v>45689.462638888886</v>
      </c>
      <c r="D949" t="s">
        <v>307</v>
      </c>
      <c r="E949" s="4">
        <v>9.3859999999999992</v>
      </c>
      <c r="F949" s="4">
        <v>426808.51699999999</v>
      </c>
      <c r="G949" s="4">
        <v>426817.90299999999</v>
      </c>
      <c r="H949" s="5">
        <f>899 / 86400</f>
        <v>1.0405092592592593E-2</v>
      </c>
      <c r="I949" t="s">
        <v>414</v>
      </c>
      <c r="J949" t="s">
        <v>31</v>
      </c>
      <c r="K949" s="5">
        <f>2583 / 86400</f>
        <v>2.9895833333333333E-2</v>
      </c>
      <c r="L949" s="5">
        <f>3 / 86400</f>
        <v>3.4722222222222222E-5</v>
      </c>
    </row>
    <row r="950" spans="1:12" x14ac:dyDescent="0.25">
      <c r="A950" s="3">
        <v>45689.462673611109</v>
      </c>
      <c r="B950" t="s">
        <v>307</v>
      </c>
      <c r="C950" s="3">
        <v>45689.463645833333</v>
      </c>
      <c r="D950" t="s">
        <v>305</v>
      </c>
      <c r="E950" s="4">
        <v>0.44900000000000001</v>
      </c>
      <c r="F950" s="4">
        <v>426817.90299999999</v>
      </c>
      <c r="G950" s="4">
        <v>426818.35200000001</v>
      </c>
      <c r="H950" s="5">
        <f>20 / 86400</f>
        <v>2.3148148148148149E-4</v>
      </c>
      <c r="I950" t="s">
        <v>173</v>
      </c>
      <c r="J950" t="s">
        <v>49</v>
      </c>
      <c r="K950" s="5">
        <f>83 / 86400</f>
        <v>9.6064814814814819E-4</v>
      </c>
      <c r="L950" s="5">
        <f>3 / 86400</f>
        <v>3.4722222222222222E-5</v>
      </c>
    </row>
    <row r="951" spans="1:12" x14ac:dyDescent="0.25">
      <c r="A951" s="3">
        <v>45689.463680555556</v>
      </c>
      <c r="B951" t="s">
        <v>305</v>
      </c>
      <c r="C951" s="3">
        <v>45689.464606481481</v>
      </c>
      <c r="D951" t="s">
        <v>305</v>
      </c>
      <c r="E951" s="4">
        <v>0.15</v>
      </c>
      <c r="F951" s="4">
        <v>426818.35200000001</v>
      </c>
      <c r="G951" s="4">
        <v>426818.50199999998</v>
      </c>
      <c r="H951" s="5">
        <f>60 / 86400</f>
        <v>6.9444444444444447E-4</v>
      </c>
      <c r="I951" t="s">
        <v>119</v>
      </c>
      <c r="J951" t="s">
        <v>126</v>
      </c>
      <c r="K951" s="5">
        <f>80 / 86400</f>
        <v>9.2592592592592596E-4</v>
      </c>
      <c r="L951" s="5">
        <f>3 / 86400</f>
        <v>3.4722222222222222E-5</v>
      </c>
    </row>
    <row r="952" spans="1:12" x14ac:dyDescent="0.25">
      <c r="A952" s="3">
        <v>45689.464641203704</v>
      </c>
      <c r="B952" t="s">
        <v>305</v>
      </c>
      <c r="C952" s="3">
        <v>45689.467083333337</v>
      </c>
      <c r="D952" t="s">
        <v>305</v>
      </c>
      <c r="E952" s="4">
        <v>0.44600000000000001</v>
      </c>
      <c r="F952" s="4">
        <v>426818.50199999998</v>
      </c>
      <c r="G952" s="4">
        <v>426818.94799999997</v>
      </c>
      <c r="H952" s="5">
        <f>120 / 86400</f>
        <v>1.3888888888888889E-3</v>
      </c>
      <c r="I952" t="s">
        <v>147</v>
      </c>
      <c r="J952" t="s">
        <v>120</v>
      </c>
      <c r="K952" s="5">
        <f>211 / 86400</f>
        <v>2.4421296296296296E-3</v>
      </c>
      <c r="L952" s="5">
        <f>1 / 86400</f>
        <v>1.1574074074074073E-5</v>
      </c>
    </row>
    <row r="953" spans="1:12" x14ac:dyDescent="0.25">
      <c r="A953" s="3">
        <v>45689.467094907406</v>
      </c>
      <c r="B953" t="s">
        <v>305</v>
      </c>
      <c r="C953" s="3">
        <v>45689.468287037038</v>
      </c>
      <c r="D953" t="s">
        <v>305</v>
      </c>
      <c r="E953" s="4">
        <v>0.86799999999999999</v>
      </c>
      <c r="F953" s="4">
        <v>426818.94799999997</v>
      </c>
      <c r="G953" s="4">
        <v>426819.81599999999</v>
      </c>
      <c r="H953" s="5">
        <f>41 / 86400</f>
        <v>4.7453703703703704E-4</v>
      </c>
      <c r="I953" t="s">
        <v>118</v>
      </c>
      <c r="J953" t="s">
        <v>206</v>
      </c>
      <c r="K953" s="5">
        <f>103 / 86400</f>
        <v>1.1921296296296296E-3</v>
      </c>
      <c r="L953" s="5">
        <f>55 / 86400</f>
        <v>6.3657407407407413E-4</v>
      </c>
    </row>
    <row r="954" spans="1:12" x14ac:dyDescent="0.25">
      <c r="A954" s="3">
        <v>45689.468923611115</v>
      </c>
      <c r="B954" t="s">
        <v>305</v>
      </c>
      <c r="C954" s="3">
        <v>45689.470682870371</v>
      </c>
      <c r="D954" t="s">
        <v>262</v>
      </c>
      <c r="E954" s="4">
        <v>0.25</v>
      </c>
      <c r="F954" s="4">
        <v>426819.81599999999</v>
      </c>
      <c r="G954" s="4">
        <v>426820.06599999999</v>
      </c>
      <c r="H954" s="5">
        <f>39 / 86400</f>
        <v>4.5138888888888887E-4</v>
      </c>
      <c r="I954" t="s">
        <v>51</v>
      </c>
      <c r="J954" t="s">
        <v>92</v>
      </c>
      <c r="K954" s="5">
        <f>152 / 86400</f>
        <v>1.7592592592592592E-3</v>
      </c>
      <c r="L954" s="5">
        <f>2 / 86400</f>
        <v>2.3148148148148147E-5</v>
      </c>
    </row>
    <row r="955" spans="1:12" x14ac:dyDescent="0.25">
      <c r="A955" s="3">
        <v>45689.470706018517</v>
      </c>
      <c r="B955" t="s">
        <v>262</v>
      </c>
      <c r="C955" s="3">
        <v>45689.471250000002</v>
      </c>
      <c r="D955" t="s">
        <v>262</v>
      </c>
      <c r="E955" s="4">
        <v>3.7999999999999999E-2</v>
      </c>
      <c r="F955" s="4">
        <v>426820.06599999999</v>
      </c>
      <c r="G955" s="4">
        <v>426820.10399999999</v>
      </c>
      <c r="H955" s="5">
        <f>20 / 86400</f>
        <v>2.3148148148148149E-4</v>
      </c>
      <c r="I955" t="s">
        <v>121</v>
      </c>
      <c r="J955" t="s">
        <v>121</v>
      </c>
      <c r="K955" s="5">
        <f>47 / 86400</f>
        <v>5.4398148148148144E-4</v>
      </c>
      <c r="L955" s="5">
        <f>2 / 86400</f>
        <v>2.3148148148148147E-5</v>
      </c>
    </row>
    <row r="956" spans="1:12" x14ac:dyDescent="0.25">
      <c r="A956" s="3">
        <v>45689.471273148149</v>
      </c>
      <c r="B956" t="s">
        <v>262</v>
      </c>
      <c r="C956" s="3">
        <v>45689.48238425926</v>
      </c>
      <c r="D956" t="s">
        <v>103</v>
      </c>
      <c r="E956" s="4">
        <v>3.2389999999999999</v>
      </c>
      <c r="F956" s="4">
        <v>426820.10399999999</v>
      </c>
      <c r="G956" s="4">
        <v>426823.34299999999</v>
      </c>
      <c r="H956" s="5">
        <f>130 / 86400</f>
        <v>1.5046296296296296E-3</v>
      </c>
      <c r="I956" t="s">
        <v>123</v>
      </c>
      <c r="J956" t="s">
        <v>99</v>
      </c>
      <c r="K956" s="5">
        <f>960 / 86400</f>
        <v>1.1111111111111112E-2</v>
      </c>
      <c r="L956" s="5">
        <f>4 / 86400</f>
        <v>4.6296296296296294E-5</v>
      </c>
    </row>
    <row r="957" spans="1:12" x14ac:dyDescent="0.25">
      <c r="A957" s="3">
        <v>45689.482430555552</v>
      </c>
      <c r="B957" t="s">
        <v>103</v>
      </c>
      <c r="C957" s="3">
        <v>45689.482511574075</v>
      </c>
      <c r="D957" t="s">
        <v>103</v>
      </c>
      <c r="E957" s="4">
        <v>0</v>
      </c>
      <c r="F957" s="4">
        <v>426823.34299999999</v>
      </c>
      <c r="G957" s="4">
        <v>426823.34299999999</v>
      </c>
      <c r="H957" s="5">
        <f>1 / 86400</f>
        <v>1.1574074074074073E-5</v>
      </c>
      <c r="I957" t="s">
        <v>37</v>
      </c>
      <c r="J957" t="s">
        <v>37</v>
      </c>
      <c r="K957" s="5">
        <f>7 / 86400</f>
        <v>8.1018518518518516E-5</v>
      </c>
      <c r="L957" s="5">
        <f>5 / 86400</f>
        <v>5.7870370370370373E-5</v>
      </c>
    </row>
    <row r="958" spans="1:12" x14ac:dyDescent="0.25">
      <c r="A958" s="3">
        <v>45689.482569444444</v>
      </c>
      <c r="B958" t="s">
        <v>103</v>
      </c>
      <c r="C958" s="3">
        <v>45689.495671296296</v>
      </c>
      <c r="D958" t="s">
        <v>415</v>
      </c>
      <c r="E958" s="4">
        <v>3.782</v>
      </c>
      <c r="F958" s="4">
        <v>426823.34299999999</v>
      </c>
      <c r="G958" s="4">
        <v>426827.125</v>
      </c>
      <c r="H958" s="5">
        <f>40 / 86400</f>
        <v>4.6296296296296298E-4</v>
      </c>
      <c r="I958" t="s">
        <v>119</v>
      </c>
      <c r="J958" t="s">
        <v>99</v>
      </c>
      <c r="K958" s="5">
        <f>1132 / 86400</f>
        <v>1.3101851851851852E-2</v>
      </c>
      <c r="L958" s="5">
        <f>2 / 86400</f>
        <v>2.3148148148148147E-5</v>
      </c>
    </row>
    <row r="959" spans="1:12" x14ac:dyDescent="0.25">
      <c r="A959" s="3">
        <v>45689.495694444442</v>
      </c>
      <c r="B959" t="s">
        <v>415</v>
      </c>
      <c r="C959" s="3">
        <v>45689.498032407406</v>
      </c>
      <c r="D959" t="s">
        <v>75</v>
      </c>
      <c r="E959" s="4">
        <v>0.747</v>
      </c>
      <c r="F959" s="4">
        <v>426827.125</v>
      </c>
      <c r="G959" s="4">
        <v>426827.87199999997</v>
      </c>
      <c r="H959" s="5">
        <f>0 / 86400</f>
        <v>0</v>
      </c>
      <c r="I959" t="s">
        <v>43</v>
      </c>
      <c r="J959" t="s">
        <v>31</v>
      </c>
      <c r="K959" s="5">
        <f>202 / 86400</f>
        <v>2.3379629629629631E-3</v>
      </c>
      <c r="L959" s="5">
        <f>15 / 86400</f>
        <v>1.7361111111111112E-4</v>
      </c>
    </row>
    <row r="960" spans="1:12" x14ac:dyDescent="0.25">
      <c r="A960" s="3">
        <v>45689.498206018514</v>
      </c>
      <c r="B960" t="s">
        <v>75</v>
      </c>
      <c r="C960" s="3">
        <v>45689.501886574071</v>
      </c>
      <c r="D960" t="s">
        <v>75</v>
      </c>
      <c r="E960" s="4">
        <v>0.98299999999999998</v>
      </c>
      <c r="F960" s="4">
        <v>426827.87199999997</v>
      </c>
      <c r="G960" s="4">
        <v>426828.85499999998</v>
      </c>
      <c r="H960" s="5">
        <f>20 / 86400</f>
        <v>2.3148148148148149E-4</v>
      </c>
      <c r="I960" t="s">
        <v>51</v>
      </c>
      <c r="J960" t="s">
        <v>71</v>
      </c>
      <c r="K960" s="5">
        <f>318 / 86400</f>
        <v>3.6805555555555554E-3</v>
      </c>
      <c r="L960" s="5">
        <f>3 / 86400</f>
        <v>3.4722222222222222E-5</v>
      </c>
    </row>
    <row r="961" spans="1:12" x14ac:dyDescent="0.25">
      <c r="A961" s="3">
        <v>45689.501921296294</v>
      </c>
      <c r="B961" t="s">
        <v>75</v>
      </c>
      <c r="C961" s="3">
        <v>45689.502326388887</v>
      </c>
      <c r="D961" t="s">
        <v>416</v>
      </c>
      <c r="E961" s="4">
        <v>9.0999999999999998E-2</v>
      </c>
      <c r="F961" s="4">
        <v>426828.85499999998</v>
      </c>
      <c r="G961" s="4">
        <v>426828.946</v>
      </c>
      <c r="H961" s="5">
        <f>2 / 86400</f>
        <v>2.3148148148148147E-5</v>
      </c>
      <c r="I961" t="s">
        <v>43</v>
      </c>
      <c r="J961" t="s">
        <v>85</v>
      </c>
      <c r="K961" s="5">
        <f>35 / 86400</f>
        <v>4.0509259259259258E-4</v>
      </c>
      <c r="L961" s="5">
        <f>4 / 86400</f>
        <v>4.6296296296296294E-5</v>
      </c>
    </row>
    <row r="962" spans="1:12" x14ac:dyDescent="0.25">
      <c r="A962" s="3">
        <v>45689.502372685187</v>
      </c>
      <c r="B962" t="s">
        <v>416</v>
      </c>
      <c r="C962" s="3">
        <v>45689.50409722222</v>
      </c>
      <c r="D962" t="s">
        <v>75</v>
      </c>
      <c r="E962" s="4">
        <v>0.26900000000000002</v>
      </c>
      <c r="F962" s="4">
        <v>426828.946</v>
      </c>
      <c r="G962" s="4">
        <v>426829.21500000003</v>
      </c>
      <c r="H962" s="5">
        <f>43 / 86400</f>
        <v>4.9768518518518521E-4</v>
      </c>
      <c r="I962" t="s">
        <v>116</v>
      </c>
      <c r="J962" t="s">
        <v>92</v>
      </c>
      <c r="K962" s="5">
        <f>149 / 86400</f>
        <v>1.724537037037037E-3</v>
      </c>
      <c r="L962" s="5">
        <f>2 / 86400</f>
        <v>2.3148148148148147E-5</v>
      </c>
    </row>
    <row r="963" spans="1:12" x14ac:dyDescent="0.25">
      <c r="A963" s="3">
        <v>45689.504120370373</v>
      </c>
      <c r="B963" t="s">
        <v>75</v>
      </c>
      <c r="C963" s="3">
        <v>45689.504641203705</v>
      </c>
      <c r="D963" t="s">
        <v>75</v>
      </c>
      <c r="E963" s="4">
        <v>6.9000000000000006E-2</v>
      </c>
      <c r="F963" s="4">
        <v>426829.21500000003</v>
      </c>
      <c r="G963" s="4">
        <v>426829.28399999999</v>
      </c>
      <c r="H963" s="5">
        <f>0 / 86400</f>
        <v>0</v>
      </c>
      <c r="I963" t="s">
        <v>126</v>
      </c>
      <c r="J963" t="s">
        <v>92</v>
      </c>
      <c r="K963" s="5">
        <f>45 / 86400</f>
        <v>5.2083333333333333E-4</v>
      </c>
      <c r="L963" s="5">
        <f>3 / 86400</f>
        <v>3.4722222222222222E-5</v>
      </c>
    </row>
    <row r="964" spans="1:12" x14ac:dyDescent="0.25">
      <c r="A964" s="3">
        <v>45689.504675925928</v>
      </c>
      <c r="B964" t="s">
        <v>75</v>
      </c>
      <c r="C964" s="3">
        <v>45689.50680555556</v>
      </c>
      <c r="D964" t="s">
        <v>217</v>
      </c>
      <c r="E964" s="4">
        <v>1.038</v>
      </c>
      <c r="F964" s="4">
        <v>426829.28399999999</v>
      </c>
      <c r="G964" s="4">
        <v>426830.32199999999</v>
      </c>
      <c r="H964" s="5">
        <f>24 / 86400</f>
        <v>2.7777777777777778E-4</v>
      </c>
      <c r="I964" t="s">
        <v>206</v>
      </c>
      <c r="J964" t="s">
        <v>62</v>
      </c>
      <c r="K964" s="5">
        <f>184 / 86400</f>
        <v>2.1296296296296298E-3</v>
      </c>
      <c r="L964" s="5">
        <f>18 / 86400</f>
        <v>2.0833333333333335E-4</v>
      </c>
    </row>
    <row r="965" spans="1:12" x14ac:dyDescent="0.25">
      <c r="A965" s="3">
        <v>45689.507013888884</v>
      </c>
      <c r="B965" t="s">
        <v>217</v>
      </c>
      <c r="C965" s="3">
        <v>45689.508518518516</v>
      </c>
      <c r="D965" t="s">
        <v>310</v>
      </c>
      <c r="E965" s="4">
        <v>0.83499999999999996</v>
      </c>
      <c r="F965" s="4">
        <v>426830.32199999999</v>
      </c>
      <c r="G965" s="4">
        <v>426831.15700000001</v>
      </c>
      <c r="H965" s="5">
        <f>20 / 86400</f>
        <v>2.3148148148148149E-4</v>
      </c>
      <c r="I965" t="s">
        <v>147</v>
      </c>
      <c r="J965" t="s">
        <v>35</v>
      </c>
      <c r="K965" s="5">
        <f>129 / 86400</f>
        <v>1.4930555555555556E-3</v>
      </c>
      <c r="L965" s="5">
        <f>21 / 86400</f>
        <v>2.4305555555555555E-4</v>
      </c>
    </row>
    <row r="966" spans="1:12" x14ac:dyDescent="0.25">
      <c r="A966" s="3">
        <v>45689.508761574078</v>
      </c>
      <c r="B966" t="s">
        <v>310</v>
      </c>
      <c r="C966" s="3">
        <v>45689.509513888886</v>
      </c>
      <c r="D966" t="s">
        <v>222</v>
      </c>
      <c r="E966" s="4">
        <v>0.42899999999999999</v>
      </c>
      <c r="F966" s="4">
        <v>426831.15700000001</v>
      </c>
      <c r="G966" s="4">
        <v>426831.58600000001</v>
      </c>
      <c r="H966" s="5">
        <f>0 / 86400</f>
        <v>0</v>
      </c>
      <c r="I966" t="s">
        <v>141</v>
      </c>
      <c r="J966" t="s">
        <v>125</v>
      </c>
      <c r="K966" s="5">
        <f>65 / 86400</f>
        <v>7.5231481481481482E-4</v>
      </c>
      <c r="L966" s="5">
        <f>6 / 86400</f>
        <v>6.9444444444444444E-5</v>
      </c>
    </row>
    <row r="967" spans="1:12" x14ac:dyDescent="0.25">
      <c r="A967" s="3">
        <v>45689.509583333333</v>
      </c>
      <c r="B967" t="s">
        <v>222</v>
      </c>
      <c r="C967" s="3">
        <v>45689.510706018518</v>
      </c>
      <c r="D967" t="s">
        <v>222</v>
      </c>
      <c r="E967" s="4">
        <v>0.39600000000000002</v>
      </c>
      <c r="F967" s="4">
        <v>426831.58600000001</v>
      </c>
      <c r="G967" s="4">
        <v>426831.98200000002</v>
      </c>
      <c r="H967" s="5">
        <f>0 / 86400</f>
        <v>0</v>
      </c>
      <c r="I967" t="s">
        <v>125</v>
      </c>
      <c r="J967" t="s">
        <v>43</v>
      </c>
      <c r="K967" s="5">
        <f>97 / 86400</f>
        <v>1.1226851851851851E-3</v>
      </c>
      <c r="L967" s="5">
        <f>2 / 86400</f>
        <v>2.3148148148148147E-5</v>
      </c>
    </row>
    <row r="968" spans="1:12" x14ac:dyDescent="0.25">
      <c r="A968" s="3">
        <v>45689.510729166665</v>
      </c>
      <c r="B968" t="s">
        <v>222</v>
      </c>
      <c r="C968" s="3">
        <v>45689.513807870375</v>
      </c>
      <c r="D968" t="s">
        <v>64</v>
      </c>
      <c r="E968" s="4">
        <v>1.5620000000000001</v>
      </c>
      <c r="F968" s="4">
        <v>426831.98200000002</v>
      </c>
      <c r="G968" s="4">
        <v>426833.54399999999</v>
      </c>
      <c r="H968" s="5">
        <f>0 / 86400</f>
        <v>0</v>
      </c>
      <c r="I968" t="s">
        <v>149</v>
      </c>
      <c r="J968" t="s">
        <v>20</v>
      </c>
      <c r="K968" s="5">
        <f>266 / 86400</f>
        <v>3.0787037037037037E-3</v>
      </c>
      <c r="L968" s="5">
        <f>8 / 86400</f>
        <v>9.2592592592592588E-5</v>
      </c>
    </row>
    <row r="969" spans="1:12" x14ac:dyDescent="0.25">
      <c r="A969" s="3">
        <v>45689.51390046296</v>
      </c>
      <c r="B969" t="s">
        <v>64</v>
      </c>
      <c r="C969" s="3">
        <v>45689.518587962964</v>
      </c>
      <c r="D969" t="s">
        <v>128</v>
      </c>
      <c r="E969" s="4">
        <v>2.512</v>
      </c>
      <c r="F969" s="4">
        <v>426833.54399999999</v>
      </c>
      <c r="G969" s="4">
        <v>426836.05599999998</v>
      </c>
      <c r="H969" s="5">
        <f>20 / 86400</f>
        <v>2.3148148148148149E-4</v>
      </c>
      <c r="I969" t="s">
        <v>91</v>
      </c>
      <c r="J969" t="s">
        <v>119</v>
      </c>
      <c r="K969" s="5">
        <f>405 / 86400</f>
        <v>4.6874999999999998E-3</v>
      </c>
      <c r="L969" s="5">
        <f>4 / 86400</f>
        <v>4.6296296296296294E-5</v>
      </c>
    </row>
    <row r="970" spans="1:12" x14ac:dyDescent="0.25">
      <c r="A970" s="3">
        <v>45689.518634259264</v>
      </c>
      <c r="B970" t="s">
        <v>128</v>
      </c>
      <c r="C970" s="3">
        <v>45689.519027777773</v>
      </c>
      <c r="D970" t="s">
        <v>36</v>
      </c>
      <c r="E970" s="4">
        <v>7.0999999999999994E-2</v>
      </c>
      <c r="F970" s="4">
        <v>426836.05599999998</v>
      </c>
      <c r="G970" s="4">
        <v>426836.12699999998</v>
      </c>
      <c r="H970" s="5">
        <f>0 / 86400</f>
        <v>0</v>
      </c>
      <c r="I970" t="s">
        <v>85</v>
      </c>
      <c r="J970" t="s">
        <v>120</v>
      </c>
      <c r="K970" s="5">
        <f>34 / 86400</f>
        <v>3.9351851851851852E-4</v>
      </c>
      <c r="L970" s="5">
        <f>67 / 86400</f>
        <v>7.7546296296296293E-4</v>
      </c>
    </row>
    <row r="971" spans="1:12" x14ac:dyDescent="0.25">
      <c r="A971" s="3">
        <v>45689.519803240742</v>
      </c>
      <c r="B971" t="s">
        <v>36</v>
      </c>
      <c r="C971" s="3">
        <v>45689.522766203707</v>
      </c>
      <c r="D971" t="s">
        <v>128</v>
      </c>
      <c r="E971" s="4">
        <v>1.425</v>
      </c>
      <c r="F971" s="4">
        <v>426836.12699999998</v>
      </c>
      <c r="G971" s="4">
        <v>426837.55200000003</v>
      </c>
      <c r="H971" s="5">
        <f>0 / 86400</f>
        <v>0</v>
      </c>
      <c r="I971" t="s">
        <v>123</v>
      </c>
      <c r="J971" t="s">
        <v>62</v>
      </c>
      <c r="K971" s="5">
        <f>255 / 86400</f>
        <v>2.9513888888888888E-3</v>
      </c>
      <c r="L971" s="5">
        <f>30 / 86400</f>
        <v>3.4722222222222224E-4</v>
      </c>
    </row>
    <row r="972" spans="1:12" x14ac:dyDescent="0.25">
      <c r="A972" s="3">
        <v>45689.523113425923</v>
      </c>
      <c r="B972" t="s">
        <v>128</v>
      </c>
      <c r="C972" s="3">
        <v>45689.528912037036</v>
      </c>
      <c r="D972" t="s">
        <v>229</v>
      </c>
      <c r="E972" s="4">
        <v>2.62</v>
      </c>
      <c r="F972" s="4">
        <v>426837.55200000003</v>
      </c>
      <c r="G972" s="4">
        <v>426840.17200000002</v>
      </c>
      <c r="H972" s="5">
        <f>20 / 86400</f>
        <v>2.3148148148148149E-4</v>
      </c>
      <c r="I972" t="s">
        <v>125</v>
      </c>
      <c r="J972" t="s">
        <v>49</v>
      </c>
      <c r="K972" s="5">
        <f>501 / 86400</f>
        <v>5.7986111111111112E-3</v>
      </c>
      <c r="L972" s="5">
        <f>3 / 86400</f>
        <v>3.4722222222222222E-5</v>
      </c>
    </row>
    <row r="973" spans="1:12" x14ac:dyDescent="0.25">
      <c r="A973" s="3">
        <v>45689.528946759259</v>
      </c>
      <c r="B973" t="s">
        <v>229</v>
      </c>
      <c r="C973" s="3">
        <v>45689.529398148152</v>
      </c>
      <c r="D973" t="s">
        <v>229</v>
      </c>
      <c r="E973" s="4">
        <v>0.115</v>
      </c>
      <c r="F973" s="4">
        <v>426840.17200000002</v>
      </c>
      <c r="G973" s="4">
        <v>426840.28700000001</v>
      </c>
      <c r="H973" s="5">
        <f>0 / 86400</f>
        <v>0</v>
      </c>
      <c r="I973" t="s">
        <v>43</v>
      </c>
      <c r="J973" t="s">
        <v>71</v>
      </c>
      <c r="K973" s="5">
        <f>39 / 86400</f>
        <v>4.5138888888888887E-4</v>
      </c>
      <c r="L973" s="5">
        <f>1 / 86400</f>
        <v>1.1574074074074073E-5</v>
      </c>
    </row>
    <row r="974" spans="1:12" x14ac:dyDescent="0.25">
      <c r="A974" s="3">
        <v>45689.529409722221</v>
      </c>
      <c r="B974" t="s">
        <v>229</v>
      </c>
      <c r="C974" s="3">
        <v>45689.532442129625</v>
      </c>
      <c r="D974" t="s">
        <v>229</v>
      </c>
      <c r="E974" s="4">
        <v>1.4119999999999999</v>
      </c>
      <c r="F974" s="4">
        <v>426840.28700000001</v>
      </c>
      <c r="G974" s="4">
        <v>426841.69900000002</v>
      </c>
      <c r="H974" s="5">
        <f>20 / 86400</f>
        <v>2.3148148148148149E-4</v>
      </c>
      <c r="I974" t="s">
        <v>184</v>
      </c>
      <c r="J974" t="s">
        <v>49</v>
      </c>
      <c r="K974" s="5">
        <f>262 / 86400</f>
        <v>3.0324074074074073E-3</v>
      </c>
      <c r="L974" s="5">
        <f>2 / 86400</f>
        <v>2.3148148148148147E-5</v>
      </c>
    </row>
    <row r="975" spans="1:12" x14ac:dyDescent="0.25">
      <c r="A975" s="3">
        <v>45689.532465277778</v>
      </c>
      <c r="B975" t="s">
        <v>229</v>
      </c>
      <c r="C975" s="3">
        <v>45689.541412037041</v>
      </c>
      <c r="D975" t="s">
        <v>237</v>
      </c>
      <c r="E975" s="4">
        <v>5.1449999999999996</v>
      </c>
      <c r="F975" s="4">
        <v>426841.69900000002</v>
      </c>
      <c r="G975" s="4">
        <v>426846.84399999998</v>
      </c>
      <c r="H975" s="5">
        <f>0 / 86400</f>
        <v>0</v>
      </c>
      <c r="I975" t="s">
        <v>151</v>
      </c>
      <c r="J975" t="s">
        <v>125</v>
      </c>
      <c r="K975" s="5">
        <f>773 / 86400</f>
        <v>8.9467592592592585E-3</v>
      </c>
      <c r="L975" s="5">
        <f>4 / 86400</f>
        <v>4.6296296296296294E-5</v>
      </c>
    </row>
    <row r="976" spans="1:12" x14ac:dyDescent="0.25">
      <c r="A976" s="3">
        <v>45689.541458333333</v>
      </c>
      <c r="B976" t="s">
        <v>237</v>
      </c>
      <c r="C976" s="3">
        <v>45689.545358796298</v>
      </c>
      <c r="D976" t="s">
        <v>237</v>
      </c>
      <c r="E976" s="4">
        <v>1.5760000000000001</v>
      </c>
      <c r="F976" s="4">
        <v>426846.84399999998</v>
      </c>
      <c r="G976" s="4">
        <v>426848.42</v>
      </c>
      <c r="H976" s="5">
        <f>20 / 86400</f>
        <v>2.3148148148148149E-4</v>
      </c>
      <c r="I976" t="s">
        <v>119</v>
      </c>
      <c r="J976" t="s">
        <v>30</v>
      </c>
      <c r="K976" s="5">
        <f>337 / 86400</f>
        <v>3.9004629629629628E-3</v>
      </c>
      <c r="L976" s="5">
        <f>3 / 86400</f>
        <v>3.4722222222222222E-5</v>
      </c>
    </row>
    <row r="977" spans="1:12" x14ac:dyDescent="0.25">
      <c r="A977" s="3">
        <v>45689.545393518521</v>
      </c>
      <c r="B977" t="s">
        <v>237</v>
      </c>
      <c r="C977" s="3">
        <v>45689.546203703707</v>
      </c>
      <c r="D977" t="s">
        <v>314</v>
      </c>
      <c r="E977" s="4">
        <v>0.1</v>
      </c>
      <c r="F977" s="4">
        <v>426848.42</v>
      </c>
      <c r="G977" s="4">
        <v>426848.52</v>
      </c>
      <c r="H977" s="5">
        <f>20 / 86400</f>
        <v>2.3148148148148149E-4</v>
      </c>
      <c r="I977" t="s">
        <v>99</v>
      </c>
      <c r="J977" t="s">
        <v>56</v>
      </c>
      <c r="K977" s="5">
        <f>70 / 86400</f>
        <v>8.1018518518518516E-4</v>
      </c>
      <c r="L977" s="5">
        <f>3 / 86400</f>
        <v>3.4722222222222222E-5</v>
      </c>
    </row>
    <row r="978" spans="1:12" x14ac:dyDescent="0.25">
      <c r="A978" s="3">
        <v>45689.54623842593</v>
      </c>
      <c r="B978" t="s">
        <v>314</v>
      </c>
      <c r="C978" s="3">
        <v>45689.550092592588</v>
      </c>
      <c r="D978" t="s">
        <v>237</v>
      </c>
      <c r="E978" s="4">
        <v>0.23699999999999999</v>
      </c>
      <c r="F978" s="4">
        <v>426848.52</v>
      </c>
      <c r="G978" s="4">
        <v>426848.75699999998</v>
      </c>
      <c r="H978" s="5">
        <f>120 / 86400</f>
        <v>1.3888888888888889E-3</v>
      </c>
      <c r="I978" t="s">
        <v>92</v>
      </c>
      <c r="J978" t="s">
        <v>121</v>
      </c>
      <c r="K978" s="5">
        <f>333 / 86400</f>
        <v>3.8541666666666668E-3</v>
      </c>
      <c r="L978" s="5">
        <f>2 / 86400</f>
        <v>2.3148148148148147E-5</v>
      </c>
    </row>
    <row r="979" spans="1:12" x14ac:dyDescent="0.25">
      <c r="A979" s="3">
        <v>45689.550115740742</v>
      </c>
      <c r="B979" t="s">
        <v>237</v>
      </c>
      <c r="C979" s="3">
        <v>45689.550578703704</v>
      </c>
      <c r="D979" t="s">
        <v>237</v>
      </c>
      <c r="E979" s="4">
        <v>2.7E-2</v>
      </c>
      <c r="F979" s="4">
        <v>426848.75699999998</v>
      </c>
      <c r="G979" s="4">
        <v>426848.78399999999</v>
      </c>
      <c r="H979" s="5">
        <f>26 / 86400</f>
        <v>3.0092592592592595E-4</v>
      </c>
      <c r="I979" t="s">
        <v>37</v>
      </c>
      <c r="J979" t="s">
        <v>133</v>
      </c>
      <c r="K979" s="5">
        <f>40 / 86400</f>
        <v>4.6296296296296298E-4</v>
      </c>
      <c r="L979" s="5">
        <f>8 / 86400</f>
        <v>9.2592592592592588E-5</v>
      </c>
    </row>
    <row r="980" spans="1:12" x14ac:dyDescent="0.25">
      <c r="A980" s="3">
        <v>45689.550671296296</v>
      </c>
      <c r="B980" t="s">
        <v>237</v>
      </c>
      <c r="C980" s="3">
        <v>45689.551886574074</v>
      </c>
      <c r="D980" t="s">
        <v>237</v>
      </c>
      <c r="E980" s="4">
        <v>7.3999999999999996E-2</v>
      </c>
      <c r="F980" s="4">
        <v>426848.78399999999</v>
      </c>
      <c r="G980" s="4">
        <v>426848.85800000001</v>
      </c>
      <c r="H980" s="5">
        <f>39 / 86400</f>
        <v>4.5138888888888887E-4</v>
      </c>
      <c r="I980" t="s">
        <v>126</v>
      </c>
      <c r="J980" t="s">
        <v>121</v>
      </c>
      <c r="K980" s="5">
        <f>104 / 86400</f>
        <v>1.2037037037037038E-3</v>
      </c>
      <c r="L980" s="5">
        <f>43 / 86400</f>
        <v>4.9768518518518521E-4</v>
      </c>
    </row>
    <row r="981" spans="1:12" x14ac:dyDescent="0.25">
      <c r="A981" s="3">
        <v>45689.552384259259</v>
      </c>
      <c r="B981" t="s">
        <v>237</v>
      </c>
      <c r="C981" s="3">
        <v>45689.552916666667</v>
      </c>
      <c r="D981" t="s">
        <v>237</v>
      </c>
      <c r="E981" s="4">
        <v>0.08</v>
      </c>
      <c r="F981" s="4">
        <v>426848.85800000001</v>
      </c>
      <c r="G981" s="4">
        <v>426848.93800000002</v>
      </c>
      <c r="H981" s="5">
        <f>0 / 86400</f>
        <v>0</v>
      </c>
      <c r="I981" t="s">
        <v>120</v>
      </c>
      <c r="J981" t="s">
        <v>92</v>
      </c>
      <c r="K981" s="5">
        <f>46 / 86400</f>
        <v>5.3240740740740744E-4</v>
      </c>
      <c r="L981" s="5">
        <f>27 / 86400</f>
        <v>3.1250000000000001E-4</v>
      </c>
    </row>
    <row r="982" spans="1:12" x14ac:dyDescent="0.25">
      <c r="A982" s="3">
        <v>45689.553229166668</v>
      </c>
      <c r="B982" t="s">
        <v>237</v>
      </c>
      <c r="C982" s="3">
        <v>45689.559930555552</v>
      </c>
      <c r="D982" t="s">
        <v>101</v>
      </c>
      <c r="E982" s="4">
        <v>3.0049999999999999</v>
      </c>
      <c r="F982" s="4">
        <v>426848.93800000002</v>
      </c>
      <c r="G982" s="4">
        <v>426851.94300000003</v>
      </c>
      <c r="H982" s="5">
        <f>0 / 86400</f>
        <v>0</v>
      </c>
      <c r="I982" t="s">
        <v>141</v>
      </c>
      <c r="J982" t="s">
        <v>49</v>
      </c>
      <c r="K982" s="5">
        <f>579 / 86400</f>
        <v>6.7013888888888887E-3</v>
      </c>
      <c r="L982" s="5">
        <f>246 / 86400</f>
        <v>2.8472222222222223E-3</v>
      </c>
    </row>
    <row r="983" spans="1:12" x14ac:dyDescent="0.25">
      <c r="A983" s="3">
        <v>45689.562777777777</v>
      </c>
      <c r="B983" t="s">
        <v>101</v>
      </c>
      <c r="C983" s="3">
        <v>45689.56313657407</v>
      </c>
      <c r="D983" t="s">
        <v>46</v>
      </c>
      <c r="E983" s="4">
        <v>4.5999999999999999E-2</v>
      </c>
      <c r="F983" s="4">
        <v>426851.94300000003</v>
      </c>
      <c r="G983" s="4">
        <v>426851.989</v>
      </c>
      <c r="H983" s="5">
        <f>19 / 86400</f>
        <v>2.199074074074074E-4</v>
      </c>
      <c r="I983" t="s">
        <v>37</v>
      </c>
      <c r="J983" t="s">
        <v>92</v>
      </c>
      <c r="K983" s="5">
        <f>30 / 86400</f>
        <v>3.4722222222222224E-4</v>
      </c>
      <c r="L983" s="5">
        <f>44 / 86400</f>
        <v>5.0925925925925921E-4</v>
      </c>
    </row>
    <row r="984" spans="1:12" x14ac:dyDescent="0.25">
      <c r="A984" s="3">
        <v>45689.563645833332</v>
      </c>
      <c r="B984" t="s">
        <v>46</v>
      </c>
      <c r="C984" s="3">
        <v>45689.568333333329</v>
      </c>
      <c r="D984" t="s">
        <v>69</v>
      </c>
      <c r="E984" s="4">
        <v>0.623</v>
      </c>
      <c r="F984" s="4">
        <v>426851.989</v>
      </c>
      <c r="G984" s="4">
        <v>426852.61200000002</v>
      </c>
      <c r="H984" s="5">
        <f>180 / 86400</f>
        <v>2.0833333333333333E-3</v>
      </c>
      <c r="I984" t="s">
        <v>31</v>
      </c>
      <c r="J984" t="s">
        <v>92</v>
      </c>
      <c r="K984" s="5">
        <f>405 / 86400</f>
        <v>4.6874999999999998E-3</v>
      </c>
      <c r="L984" s="5">
        <f>1354 / 86400</f>
        <v>1.5671296296296298E-2</v>
      </c>
    </row>
    <row r="985" spans="1:12" x14ac:dyDescent="0.25">
      <c r="A985" s="3">
        <v>45689.584004629629</v>
      </c>
      <c r="B985" t="s">
        <v>69</v>
      </c>
      <c r="C985" s="3">
        <v>45689.584537037037</v>
      </c>
      <c r="D985" t="s">
        <v>146</v>
      </c>
      <c r="E985" s="4">
        <v>3.0000000000000001E-3</v>
      </c>
      <c r="F985" s="4">
        <v>426852.61200000002</v>
      </c>
      <c r="G985" s="4">
        <v>426852.61499999999</v>
      </c>
      <c r="H985" s="5">
        <f>20 / 86400</f>
        <v>2.3148148148148149E-4</v>
      </c>
      <c r="I985" t="s">
        <v>100</v>
      </c>
      <c r="J985" t="s">
        <v>37</v>
      </c>
      <c r="K985" s="5">
        <f>45 / 86400</f>
        <v>5.2083333333333333E-4</v>
      </c>
      <c r="L985" s="5">
        <f>306 / 86400</f>
        <v>3.5416666666666665E-3</v>
      </c>
    </row>
    <row r="986" spans="1:12" x14ac:dyDescent="0.25">
      <c r="A986" s="3">
        <v>45689.588078703702</v>
      </c>
      <c r="B986" t="s">
        <v>146</v>
      </c>
      <c r="C986" s="3">
        <v>45689.588865740741</v>
      </c>
      <c r="D986" t="s">
        <v>69</v>
      </c>
      <c r="E986" s="4">
        <v>1.2E-2</v>
      </c>
      <c r="F986" s="4">
        <v>426852.61499999999</v>
      </c>
      <c r="G986" s="4">
        <v>426852.62699999998</v>
      </c>
      <c r="H986" s="5">
        <f>39 / 86400</f>
        <v>4.5138888888888887E-4</v>
      </c>
      <c r="I986" t="s">
        <v>56</v>
      </c>
      <c r="J986" t="s">
        <v>100</v>
      </c>
      <c r="K986" s="5">
        <f>68 / 86400</f>
        <v>7.8703703703703705E-4</v>
      </c>
      <c r="L986" s="5">
        <f>13 / 86400</f>
        <v>1.5046296296296297E-4</v>
      </c>
    </row>
    <row r="987" spans="1:12" x14ac:dyDescent="0.25">
      <c r="A987" s="3">
        <v>45689.589016203703</v>
      </c>
      <c r="B987" t="s">
        <v>69</v>
      </c>
      <c r="C987" s="3">
        <v>45689.590370370366</v>
      </c>
      <c r="D987" t="s">
        <v>69</v>
      </c>
      <c r="E987" s="4">
        <v>2.5000000000000001E-2</v>
      </c>
      <c r="F987" s="4">
        <v>426852.62699999998</v>
      </c>
      <c r="G987" s="4">
        <v>426852.652</v>
      </c>
      <c r="H987" s="5">
        <f>79 / 86400</f>
        <v>9.1435185185185185E-4</v>
      </c>
      <c r="I987" t="s">
        <v>121</v>
      </c>
      <c r="J987" t="s">
        <v>100</v>
      </c>
      <c r="K987" s="5">
        <f>117 / 86400</f>
        <v>1.3541666666666667E-3</v>
      </c>
      <c r="L987" s="5">
        <f>4 / 86400</f>
        <v>4.6296296296296294E-5</v>
      </c>
    </row>
    <row r="988" spans="1:12" x14ac:dyDescent="0.25">
      <c r="A988" s="3">
        <v>45689.590416666666</v>
      </c>
      <c r="B988" t="s">
        <v>69</v>
      </c>
      <c r="C988" s="3">
        <v>45689.643761574072</v>
      </c>
      <c r="D988" t="s">
        <v>69</v>
      </c>
      <c r="E988" s="4">
        <v>0</v>
      </c>
      <c r="F988" s="4">
        <v>426852.652</v>
      </c>
      <c r="G988" s="4">
        <v>426852.652</v>
      </c>
      <c r="H988" s="5">
        <f>4599 / 86400</f>
        <v>5.3229166666666668E-2</v>
      </c>
      <c r="I988" t="s">
        <v>37</v>
      </c>
      <c r="J988" t="s">
        <v>37</v>
      </c>
      <c r="K988" s="5">
        <f>4608 / 86400</f>
        <v>5.3333333333333337E-2</v>
      </c>
      <c r="L988" s="5">
        <f>3825 / 86400</f>
        <v>4.4270833333333336E-2</v>
      </c>
    </row>
    <row r="989" spans="1:12" x14ac:dyDescent="0.25">
      <c r="A989" s="3">
        <v>45689.688032407408</v>
      </c>
      <c r="B989" t="s">
        <v>69</v>
      </c>
      <c r="C989" s="3">
        <v>45689.690011574072</v>
      </c>
      <c r="D989" t="s">
        <v>69</v>
      </c>
      <c r="E989" s="4">
        <v>0</v>
      </c>
      <c r="F989" s="4">
        <v>426852.652</v>
      </c>
      <c r="G989" s="4">
        <v>426852.652</v>
      </c>
      <c r="H989" s="5">
        <f>159 / 86400</f>
        <v>1.8402777777777777E-3</v>
      </c>
      <c r="I989" t="s">
        <v>37</v>
      </c>
      <c r="J989" t="s">
        <v>37</v>
      </c>
      <c r="K989" s="5">
        <f>170 / 86400</f>
        <v>1.9675925925925924E-3</v>
      </c>
      <c r="L989" s="5">
        <f>89 / 86400</f>
        <v>1.0300925925925926E-3</v>
      </c>
    </row>
    <row r="990" spans="1:12" x14ac:dyDescent="0.25">
      <c r="A990" s="3">
        <v>45689.691041666665</v>
      </c>
      <c r="B990" t="s">
        <v>69</v>
      </c>
      <c r="C990" s="3">
        <v>45689.691620370373</v>
      </c>
      <c r="D990" t="s">
        <v>69</v>
      </c>
      <c r="E990" s="4">
        <v>0</v>
      </c>
      <c r="F990" s="4">
        <v>426852.652</v>
      </c>
      <c r="G990" s="4">
        <v>426852.652</v>
      </c>
      <c r="H990" s="5">
        <f>39 / 86400</f>
        <v>4.5138888888888887E-4</v>
      </c>
      <c r="I990" t="s">
        <v>37</v>
      </c>
      <c r="J990" t="s">
        <v>37</v>
      </c>
      <c r="K990" s="5">
        <f>49 / 86400</f>
        <v>5.6712962962962967E-4</v>
      </c>
      <c r="L990" s="5">
        <f>315 / 86400</f>
        <v>3.6458333333333334E-3</v>
      </c>
    </row>
    <row r="991" spans="1:12" x14ac:dyDescent="0.25">
      <c r="A991" s="3">
        <v>45689.695266203707</v>
      </c>
      <c r="B991" t="s">
        <v>69</v>
      </c>
      <c r="C991" s="3">
        <v>45689.696354166663</v>
      </c>
      <c r="D991" t="s">
        <v>69</v>
      </c>
      <c r="E991" s="4">
        <v>0</v>
      </c>
      <c r="F991" s="4">
        <v>426852.652</v>
      </c>
      <c r="G991" s="4">
        <v>426852.652</v>
      </c>
      <c r="H991" s="5">
        <f>79 / 86400</f>
        <v>9.1435185185185185E-4</v>
      </c>
      <c r="I991" t="s">
        <v>37</v>
      </c>
      <c r="J991" t="s">
        <v>37</v>
      </c>
      <c r="K991" s="5">
        <f>93 / 86400</f>
        <v>1.0763888888888889E-3</v>
      </c>
      <c r="L991" s="5">
        <f>270 / 86400</f>
        <v>3.1250000000000002E-3</v>
      </c>
    </row>
    <row r="992" spans="1:12" x14ac:dyDescent="0.25">
      <c r="A992" s="3">
        <v>45689.699479166666</v>
      </c>
      <c r="B992" t="s">
        <v>69</v>
      </c>
      <c r="C992" s="3">
        <v>45689.701562499999</v>
      </c>
      <c r="D992" t="s">
        <v>69</v>
      </c>
      <c r="E992" s="4">
        <v>0</v>
      </c>
      <c r="F992" s="4">
        <v>426852.652</v>
      </c>
      <c r="G992" s="4">
        <v>426852.652</v>
      </c>
      <c r="H992" s="5">
        <f>159 / 86400</f>
        <v>1.8402777777777777E-3</v>
      </c>
      <c r="I992" t="s">
        <v>37</v>
      </c>
      <c r="J992" t="s">
        <v>37</v>
      </c>
      <c r="K992" s="5">
        <f>179 / 86400</f>
        <v>2.0717592592592593E-3</v>
      </c>
      <c r="L992" s="5">
        <f>178 / 86400</f>
        <v>2.0601851851851853E-3</v>
      </c>
    </row>
    <row r="993" spans="1:12" x14ac:dyDescent="0.25">
      <c r="A993" s="3">
        <v>45689.703622685185</v>
      </c>
      <c r="B993" t="s">
        <v>69</v>
      </c>
      <c r="C993" s="3">
        <v>45689.70590277778</v>
      </c>
      <c r="D993" t="s">
        <v>69</v>
      </c>
      <c r="E993" s="4">
        <v>0.06</v>
      </c>
      <c r="F993" s="4">
        <v>426852.652</v>
      </c>
      <c r="G993" s="4">
        <v>426852.712</v>
      </c>
      <c r="H993" s="5">
        <f>139 / 86400</f>
        <v>1.6087962962962963E-3</v>
      </c>
      <c r="I993" t="s">
        <v>120</v>
      </c>
      <c r="J993" t="s">
        <v>100</v>
      </c>
      <c r="K993" s="5">
        <f>197 / 86400</f>
        <v>2.2800925925925927E-3</v>
      </c>
      <c r="L993" s="5">
        <f>326 / 86400</f>
        <v>3.7731481481481483E-3</v>
      </c>
    </row>
    <row r="994" spans="1:12" x14ac:dyDescent="0.25">
      <c r="A994" s="3">
        <v>45689.709675925929</v>
      </c>
      <c r="B994" t="s">
        <v>69</v>
      </c>
      <c r="C994" s="3">
        <v>45689.709780092591</v>
      </c>
      <c r="D994" t="s">
        <v>69</v>
      </c>
      <c r="E994" s="4">
        <v>1E-3</v>
      </c>
      <c r="F994" s="4">
        <v>426852.712</v>
      </c>
      <c r="G994" s="4">
        <v>426852.71299999999</v>
      </c>
      <c r="H994" s="5">
        <f>0 / 86400</f>
        <v>0</v>
      </c>
      <c r="I994" t="s">
        <v>37</v>
      </c>
      <c r="J994" t="s">
        <v>37</v>
      </c>
      <c r="K994" s="5">
        <f>8 / 86400</f>
        <v>9.2592592592592588E-5</v>
      </c>
      <c r="L994" s="5">
        <f>2045 / 86400</f>
        <v>2.3668981481481482E-2</v>
      </c>
    </row>
    <row r="995" spans="1:12" x14ac:dyDescent="0.25">
      <c r="A995" s="3">
        <v>45689.733449074076</v>
      </c>
      <c r="B995" t="s">
        <v>69</v>
      </c>
      <c r="C995" s="3">
        <v>45689.964849537035</v>
      </c>
      <c r="D995" t="s">
        <v>101</v>
      </c>
      <c r="E995" s="4">
        <v>95.698999999999998</v>
      </c>
      <c r="F995" s="4">
        <v>426852.71299999999</v>
      </c>
      <c r="G995" s="4">
        <v>426948.41200000001</v>
      </c>
      <c r="H995" s="5">
        <f>6940 / 86400</f>
        <v>8.0324074074074076E-2</v>
      </c>
      <c r="I995" t="s">
        <v>60</v>
      </c>
      <c r="J995" t="s">
        <v>30</v>
      </c>
      <c r="K995" s="5">
        <f>19992 / 86400</f>
        <v>0.23138888888888889</v>
      </c>
      <c r="L995" s="5">
        <f>635 / 86400</f>
        <v>7.3495370370370372E-3</v>
      </c>
    </row>
    <row r="996" spans="1:12" x14ac:dyDescent="0.25">
      <c r="A996" s="3">
        <v>45689.972199074073</v>
      </c>
      <c r="B996" t="s">
        <v>101</v>
      </c>
      <c r="C996" s="3">
        <v>45689.973217592589</v>
      </c>
      <c r="D996" t="s">
        <v>101</v>
      </c>
      <c r="E996" s="4">
        <v>0.11799999999999999</v>
      </c>
      <c r="F996" s="4">
        <v>426948.41200000001</v>
      </c>
      <c r="G996" s="4">
        <v>426948.53</v>
      </c>
      <c r="H996" s="5">
        <f>0 / 86400</f>
        <v>0</v>
      </c>
      <c r="I996" t="s">
        <v>116</v>
      </c>
      <c r="J996" t="s">
        <v>56</v>
      </c>
      <c r="K996" s="5">
        <f>87 / 86400</f>
        <v>1.0069444444444444E-3</v>
      </c>
      <c r="L996" s="5">
        <f>2313 / 86400</f>
        <v>2.6770833333333334E-2</v>
      </c>
    </row>
    <row r="997" spans="1:12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</row>
    <row r="998" spans="1:12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</row>
    <row r="999" spans="1:12" s="10" customFormat="1" ht="20.100000000000001" customHeight="1" x14ac:dyDescent="0.35">
      <c r="A999" s="15" t="s">
        <v>465</v>
      </c>
      <c r="B999" s="15"/>
      <c r="C999" s="15"/>
      <c r="D999" s="15"/>
      <c r="E999" s="15"/>
      <c r="F999" s="15"/>
      <c r="G999" s="15"/>
      <c r="H999" s="15"/>
      <c r="I999" s="15"/>
      <c r="J999" s="15"/>
    </row>
    <row r="1000" spans="1:12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</row>
    <row r="1001" spans="1:12" ht="30" x14ac:dyDescent="0.25">
      <c r="A1001" s="2" t="s">
        <v>6</v>
      </c>
      <c r="B1001" s="2" t="s">
        <v>7</v>
      </c>
      <c r="C1001" s="2" t="s">
        <v>8</v>
      </c>
      <c r="D1001" s="2" t="s">
        <v>9</v>
      </c>
      <c r="E1001" s="2" t="s">
        <v>10</v>
      </c>
      <c r="F1001" s="2" t="s">
        <v>11</v>
      </c>
      <c r="G1001" s="2" t="s">
        <v>12</v>
      </c>
      <c r="H1001" s="2" t="s">
        <v>13</v>
      </c>
      <c r="I1001" s="2" t="s">
        <v>14</v>
      </c>
      <c r="J1001" s="2" t="s">
        <v>15</v>
      </c>
      <c r="K1001" s="2" t="s">
        <v>16</v>
      </c>
      <c r="L1001" s="2" t="s">
        <v>17</v>
      </c>
    </row>
    <row r="1002" spans="1:12" x14ac:dyDescent="0.25">
      <c r="A1002" s="3">
        <v>45689.251701388886</v>
      </c>
      <c r="B1002" t="s">
        <v>24</v>
      </c>
      <c r="C1002" s="3">
        <v>45689.341458333336</v>
      </c>
      <c r="D1002" t="s">
        <v>186</v>
      </c>
      <c r="E1002" s="4">
        <v>33.145000000000003</v>
      </c>
      <c r="F1002" s="4">
        <v>573283.61100000003</v>
      </c>
      <c r="G1002" s="4">
        <v>573316.75600000005</v>
      </c>
      <c r="H1002" s="5">
        <f>2580 / 86400</f>
        <v>2.9861111111111113E-2</v>
      </c>
      <c r="I1002" t="s">
        <v>404</v>
      </c>
      <c r="J1002" t="s">
        <v>43</v>
      </c>
      <c r="K1002" s="5">
        <f>7755 / 86400</f>
        <v>8.9756944444444445E-2</v>
      </c>
      <c r="L1002" s="5">
        <f>21896 / 86400</f>
        <v>0.25342592592592594</v>
      </c>
    </row>
    <row r="1003" spans="1:12" x14ac:dyDescent="0.25">
      <c r="A1003" s="3">
        <v>45689.343182870369</v>
      </c>
      <c r="B1003" t="s">
        <v>186</v>
      </c>
      <c r="C1003" s="3">
        <v>45689.344942129625</v>
      </c>
      <c r="D1003" t="s">
        <v>186</v>
      </c>
      <c r="E1003" s="4">
        <v>0.01</v>
      </c>
      <c r="F1003" s="4">
        <v>573316.75600000005</v>
      </c>
      <c r="G1003" s="4">
        <v>573316.76599999995</v>
      </c>
      <c r="H1003" s="5">
        <f>139 / 86400</f>
        <v>1.6087962962962963E-3</v>
      </c>
      <c r="I1003" t="s">
        <v>37</v>
      </c>
      <c r="J1003" t="s">
        <v>37</v>
      </c>
      <c r="K1003" s="5">
        <f>151 / 86400</f>
        <v>1.7476851851851852E-3</v>
      </c>
      <c r="L1003" s="5">
        <f>257 / 86400</f>
        <v>2.9745370370370373E-3</v>
      </c>
    </row>
    <row r="1004" spans="1:12" x14ac:dyDescent="0.25">
      <c r="A1004" s="3">
        <v>45689.347916666666</v>
      </c>
      <c r="B1004" t="s">
        <v>186</v>
      </c>
      <c r="C1004" s="3">
        <v>45689.348587962959</v>
      </c>
      <c r="D1004" t="s">
        <v>186</v>
      </c>
      <c r="E1004" s="4">
        <v>8.0000000000000002E-3</v>
      </c>
      <c r="F1004" s="4">
        <v>573316.76599999995</v>
      </c>
      <c r="G1004" s="4">
        <v>573316.77399999998</v>
      </c>
      <c r="H1004" s="5">
        <f>40 / 86400</f>
        <v>4.6296296296296298E-4</v>
      </c>
      <c r="I1004" t="s">
        <v>126</v>
      </c>
      <c r="J1004" t="s">
        <v>100</v>
      </c>
      <c r="K1004" s="5">
        <f>57 / 86400</f>
        <v>6.5972222222222224E-4</v>
      </c>
      <c r="L1004" s="5">
        <f>135 / 86400</f>
        <v>1.5625000000000001E-3</v>
      </c>
    </row>
    <row r="1005" spans="1:12" x14ac:dyDescent="0.25">
      <c r="A1005" s="3">
        <v>45689.350150462968</v>
      </c>
      <c r="B1005" t="s">
        <v>186</v>
      </c>
      <c r="C1005" s="3">
        <v>45689.353634259256</v>
      </c>
      <c r="D1005" t="s">
        <v>186</v>
      </c>
      <c r="E1005" s="4">
        <v>1.7999999999999999E-2</v>
      </c>
      <c r="F1005" s="4">
        <v>573316.77399999998</v>
      </c>
      <c r="G1005" s="4">
        <v>573316.79200000002</v>
      </c>
      <c r="H1005" s="5">
        <f>279 / 86400</f>
        <v>3.2291666666666666E-3</v>
      </c>
      <c r="I1005" t="s">
        <v>37</v>
      </c>
      <c r="J1005" t="s">
        <v>37</v>
      </c>
      <c r="K1005" s="5">
        <f>300 / 86400</f>
        <v>3.472222222222222E-3</v>
      </c>
      <c r="L1005" s="5">
        <f>65 / 86400</f>
        <v>7.5231481481481482E-4</v>
      </c>
    </row>
    <row r="1006" spans="1:12" x14ac:dyDescent="0.25">
      <c r="A1006" s="3">
        <v>45689.354386574079</v>
      </c>
      <c r="B1006" t="s">
        <v>186</v>
      </c>
      <c r="C1006" s="3">
        <v>45689.51561342593</v>
      </c>
      <c r="D1006" t="s">
        <v>45</v>
      </c>
      <c r="E1006" s="4">
        <v>57.252000000000002</v>
      </c>
      <c r="F1006" s="4">
        <v>573316.79200000002</v>
      </c>
      <c r="G1006" s="4">
        <v>573374.04399999999</v>
      </c>
      <c r="H1006" s="5">
        <f>5282 / 86400</f>
        <v>6.1134259259259256E-2</v>
      </c>
      <c r="I1006" t="s">
        <v>22</v>
      </c>
      <c r="J1006" t="s">
        <v>43</v>
      </c>
      <c r="K1006" s="5">
        <f>13929 / 86400</f>
        <v>0.16121527777777778</v>
      </c>
      <c r="L1006" s="5">
        <f>3406 / 86400</f>
        <v>3.9421296296296295E-2</v>
      </c>
    </row>
    <row r="1007" spans="1:12" x14ac:dyDescent="0.25">
      <c r="A1007" s="3">
        <v>45689.555034722223</v>
      </c>
      <c r="B1007" t="s">
        <v>45</v>
      </c>
      <c r="C1007" s="3">
        <v>45689.558738425927</v>
      </c>
      <c r="D1007" t="s">
        <v>139</v>
      </c>
      <c r="E1007" s="4">
        <v>1.2110000000000001</v>
      </c>
      <c r="F1007" s="4">
        <v>573374.04399999999</v>
      </c>
      <c r="G1007" s="4">
        <v>573375.255</v>
      </c>
      <c r="H1007" s="5">
        <f>19 / 86400</f>
        <v>2.199074074074074E-4</v>
      </c>
      <c r="I1007" t="s">
        <v>214</v>
      </c>
      <c r="J1007" t="s">
        <v>51</v>
      </c>
      <c r="K1007" s="5">
        <f>320 / 86400</f>
        <v>3.7037037037037038E-3</v>
      </c>
      <c r="L1007" s="5">
        <f>2507 / 86400</f>
        <v>2.9016203703703704E-2</v>
      </c>
    </row>
    <row r="1008" spans="1:12" x14ac:dyDescent="0.25">
      <c r="A1008" s="3">
        <v>45689.587754629625</v>
      </c>
      <c r="B1008" t="s">
        <v>139</v>
      </c>
      <c r="C1008" s="3">
        <v>45689.762222222227</v>
      </c>
      <c r="D1008" t="s">
        <v>186</v>
      </c>
      <c r="E1008" s="4">
        <v>57.164000000000001</v>
      </c>
      <c r="F1008" s="4">
        <v>573375.255</v>
      </c>
      <c r="G1008" s="4">
        <v>573432.41899999999</v>
      </c>
      <c r="H1008" s="5">
        <f>6853 / 86400</f>
        <v>7.9317129629629626E-2</v>
      </c>
      <c r="I1008" t="s">
        <v>102</v>
      </c>
      <c r="J1008" t="s">
        <v>51</v>
      </c>
      <c r="K1008" s="5">
        <f>15074 / 86400</f>
        <v>0.17446759259259259</v>
      </c>
      <c r="L1008" s="5">
        <f>167 / 86400</f>
        <v>1.9328703703703704E-3</v>
      </c>
    </row>
    <row r="1009" spans="1:12" x14ac:dyDescent="0.25">
      <c r="A1009" s="3">
        <v>45689.764155092591</v>
      </c>
      <c r="B1009" t="s">
        <v>186</v>
      </c>
      <c r="C1009" s="3">
        <v>45689.764733796299</v>
      </c>
      <c r="D1009" t="s">
        <v>186</v>
      </c>
      <c r="E1009" s="4">
        <v>0</v>
      </c>
      <c r="F1009" s="4">
        <v>573432.41899999999</v>
      </c>
      <c r="G1009" s="4">
        <v>573432.41899999999</v>
      </c>
      <c r="H1009" s="5">
        <f>39 / 86400</f>
        <v>4.5138888888888887E-4</v>
      </c>
      <c r="I1009" t="s">
        <v>37</v>
      </c>
      <c r="J1009" t="s">
        <v>37</v>
      </c>
      <c r="K1009" s="5">
        <f>50 / 86400</f>
        <v>5.7870370370370367E-4</v>
      </c>
      <c r="L1009" s="5">
        <f>128 / 86400</f>
        <v>1.4814814814814814E-3</v>
      </c>
    </row>
    <row r="1010" spans="1:12" x14ac:dyDescent="0.25">
      <c r="A1010" s="3">
        <v>45689.766215277778</v>
      </c>
      <c r="B1010" t="s">
        <v>186</v>
      </c>
      <c r="C1010" s="3">
        <v>45689.822129629625</v>
      </c>
      <c r="D1010" t="s">
        <v>132</v>
      </c>
      <c r="E1010" s="4">
        <v>7.8019999999999996</v>
      </c>
      <c r="F1010" s="4">
        <v>573432.41899999999</v>
      </c>
      <c r="G1010" s="4">
        <v>573440.22100000002</v>
      </c>
      <c r="H1010" s="5">
        <f>3360 / 86400</f>
        <v>3.888888888888889E-2</v>
      </c>
      <c r="I1010" t="s">
        <v>65</v>
      </c>
      <c r="J1010" t="s">
        <v>92</v>
      </c>
      <c r="K1010" s="5">
        <f>4830 / 86400</f>
        <v>5.590277777777778E-2</v>
      </c>
      <c r="L1010" s="5">
        <f>3017 / 86400</f>
        <v>3.4918981481481481E-2</v>
      </c>
    </row>
    <row r="1011" spans="1:12" x14ac:dyDescent="0.25">
      <c r="A1011" s="3">
        <v>45689.857048611113</v>
      </c>
      <c r="B1011" t="s">
        <v>132</v>
      </c>
      <c r="C1011" s="3">
        <v>45689.978796296295</v>
      </c>
      <c r="D1011" t="s">
        <v>24</v>
      </c>
      <c r="E1011" s="4">
        <v>36.488</v>
      </c>
      <c r="F1011" s="4">
        <v>573440.22100000002</v>
      </c>
      <c r="G1011" s="4">
        <v>573476.70900000003</v>
      </c>
      <c r="H1011" s="5">
        <f>4678 / 86400</f>
        <v>5.4143518518518521E-2</v>
      </c>
      <c r="I1011" t="s">
        <v>58</v>
      </c>
      <c r="J1011" t="s">
        <v>99</v>
      </c>
      <c r="K1011" s="5">
        <f>10518 / 86400</f>
        <v>0.12173611111111111</v>
      </c>
      <c r="L1011" s="5">
        <f>1831 / 86400</f>
        <v>2.119212962962963E-2</v>
      </c>
    </row>
    <row r="1012" spans="1:12" x14ac:dyDescent="0.2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</row>
    <row r="1013" spans="1:12" x14ac:dyDescent="0.2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</row>
    <row r="1014" spans="1:12" s="10" customFormat="1" ht="20.100000000000001" customHeight="1" x14ac:dyDescent="0.35">
      <c r="A1014" s="15" t="s">
        <v>466</v>
      </c>
      <c r="B1014" s="15"/>
      <c r="C1014" s="15"/>
      <c r="D1014" s="15"/>
      <c r="E1014" s="15"/>
      <c r="F1014" s="15"/>
      <c r="G1014" s="15"/>
      <c r="H1014" s="15"/>
      <c r="I1014" s="15"/>
      <c r="J1014" s="15"/>
    </row>
    <row r="1015" spans="1:12" x14ac:dyDescent="0.2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</row>
    <row r="1016" spans="1:12" ht="30" x14ac:dyDescent="0.25">
      <c r="A1016" s="2" t="s">
        <v>6</v>
      </c>
      <c r="B1016" s="2" t="s">
        <v>7</v>
      </c>
      <c r="C1016" s="2" t="s">
        <v>8</v>
      </c>
      <c r="D1016" s="2" t="s">
        <v>9</v>
      </c>
      <c r="E1016" s="2" t="s">
        <v>10</v>
      </c>
      <c r="F1016" s="2" t="s">
        <v>11</v>
      </c>
      <c r="G1016" s="2" t="s">
        <v>12</v>
      </c>
      <c r="H1016" s="2" t="s">
        <v>13</v>
      </c>
      <c r="I1016" s="2" t="s">
        <v>14</v>
      </c>
      <c r="J1016" s="2" t="s">
        <v>15</v>
      </c>
      <c r="K1016" s="2" t="s">
        <v>16</v>
      </c>
      <c r="L1016" s="2" t="s">
        <v>17</v>
      </c>
    </row>
    <row r="1017" spans="1:12" x14ac:dyDescent="0.25">
      <c r="A1017" s="3">
        <v>45689.246932870374</v>
      </c>
      <c r="B1017" t="s">
        <v>103</v>
      </c>
      <c r="C1017" s="3">
        <v>45689.261666666665</v>
      </c>
      <c r="D1017" t="s">
        <v>103</v>
      </c>
      <c r="E1017" s="4">
        <v>0</v>
      </c>
      <c r="F1017" s="4">
        <v>415026.83899999998</v>
      </c>
      <c r="G1017" s="4">
        <v>415026.83899999998</v>
      </c>
      <c r="H1017" s="5">
        <f>1259 / 86400</f>
        <v>1.457175925925926E-2</v>
      </c>
      <c r="I1017" t="s">
        <v>37</v>
      </c>
      <c r="J1017" t="s">
        <v>37</v>
      </c>
      <c r="K1017" s="5">
        <f>1272 / 86400</f>
        <v>1.4722222222222222E-2</v>
      </c>
      <c r="L1017" s="5">
        <f>21431 / 86400</f>
        <v>0.24804398148148149</v>
      </c>
    </row>
    <row r="1018" spans="1:12" x14ac:dyDescent="0.25">
      <c r="A1018" s="3">
        <v>45689.262777777782</v>
      </c>
      <c r="B1018" t="s">
        <v>103</v>
      </c>
      <c r="C1018" s="3">
        <v>45689.324918981481</v>
      </c>
      <c r="D1018" t="s">
        <v>146</v>
      </c>
      <c r="E1018" s="4">
        <v>36.485999999999997</v>
      </c>
      <c r="F1018" s="4">
        <v>415026.83899999998</v>
      </c>
      <c r="G1018" s="4">
        <v>415063.32500000001</v>
      </c>
      <c r="H1018" s="5">
        <f>1217 / 86400</f>
        <v>1.4085648148148147E-2</v>
      </c>
      <c r="I1018" t="s">
        <v>42</v>
      </c>
      <c r="J1018" t="s">
        <v>125</v>
      </c>
      <c r="K1018" s="5">
        <f>5369 / 86400</f>
        <v>6.2141203703703705E-2</v>
      </c>
      <c r="L1018" s="5">
        <f>656 / 86400</f>
        <v>7.5925925925925926E-3</v>
      </c>
    </row>
    <row r="1019" spans="1:12" x14ac:dyDescent="0.25">
      <c r="A1019" s="3">
        <v>45689.332511574074</v>
      </c>
      <c r="B1019" t="s">
        <v>146</v>
      </c>
      <c r="C1019" s="3">
        <v>45689.336145833338</v>
      </c>
      <c r="D1019" t="s">
        <v>137</v>
      </c>
      <c r="E1019" s="4">
        <v>1.3580000000000001</v>
      </c>
      <c r="F1019" s="4">
        <v>415063.32500000001</v>
      </c>
      <c r="G1019" s="4">
        <v>415064.68300000002</v>
      </c>
      <c r="H1019" s="5">
        <f>0 / 86400</f>
        <v>0</v>
      </c>
      <c r="I1019" t="s">
        <v>184</v>
      </c>
      <c r="J1019" t="s">
        <v>26</v>
      </c>
      <c r="K1019" s="5">
        <f>313 / 86400</f>
        <v>3.6226851851851854E-3</v>
      </c>
      <c r="L1019" s="5">
        <f>1612 / 86400</f>
        <v>1.8657407407407407E-2</v>
      </c>
    </row>
    <row r="1020" spans="1:12" x14ac:dyDescent="0.25">
      <c r="A1020" s="3">
        <v>45689.354803240742</v>
      </c>
      <c r="B1020" t="s">
        <v>137</v>
      </c>
      <c r="C1020" s="3">
        <v>45689.629166666666</v>
      </c>
      <c r="D1020" t="s">
        <v>146</v>
      </c>
      <c r="E1020" s="4">
        <v>102.039</v>
      </c>
      <c r="F1020" s="4">
        <v>415064.68300000002</v>
      </c>
      <c r="G1020" s="4">
        <v>415166.72200000001</v>
      </c>
      <c r="H1020" s="5">
        <f>8042 / 86400</f>
        <v>9.3078703703703705E-2</v>
      </c>
      <c r="I1020" t="s">
        <v>95</v>
      </c>
      <c r="J1020" t="s">
        <v>43</v>
      </c>
      <c r="K1020" s="5">
        <f>23704 / 86400</f>
        <v>0.27435185185185185</v>
      </c>
      <c r="L1020" s="5">
        <f>1570 / 86400</f>
        <v>1.8171296296296297E-2</v>
      </c>
    </row>
    <row r="1021" spans="1:12" x14ac:dyDescent="0.25">
      <c r="A1021" s="3">
        <v>45689.647337962961</v>
      </c>
      <c r="B1021" t="s">
        <v>146</v>
      </c>
      <c r="C1021" s="3">
        <v>45689.648379629631</v>
      </c>
      <c r="D1021" t="s">
        <v>117</v>
      </c>
      <c r="E1021" s="4">
        <v>0.15</v>
      </c>
      <c r="F1021" s="4">
        <v>415166.72200000001</v>
      </c>
      <c r="G1021" s="4">
        <v>415166.87199999997</v>
      </c>
      <c r="H1021" s="5">
        <f>19 / 86400</f>
        <v>2.199074074074074E-4</v>
      </c>
      <c r="I1021" t="s">
        <v>43</v>
      </c>
      <c r="J1021" t="s">
        <v>92</v>
      </c>
      <c r="K1021" s="5">
        <f>90 / 86400</f>
        <v>1.0416666666666667E-3</v>
      </c>
      <c r="L1021" s="5">
        <f>1292 / 86400</f>
        <v>1.4953703703703703E-2</v>
      </c>
    </row>
    <row r="1022" spans="1:12" x14ac:dyDescent="0.25">
      <c r="A1022" s="3">
        <v>45689.66333333333</v>
      </c>
      <c r="B1022" t="s">
        <v>117</v>
      </c>
      <c r="C1022" s="3">
        <v>45689.992118055554</v>
      </c>
      <c r="D1022" t="s">
        <v>103</v>
      </c>
      <c r="E1022" s="4">
        <v>136.21899999999999</v>
      </c>
      <c r="F1022" s="4">
        <v>415166.87199999997</v>
      </c>
      <c r="G1022" s="4">
        <v>415303.09100000001</v>
      </c>
      <c r="H1022" s="5">
        <f>8882 / 86400</f>
        <v>0.10280092592592592</v>
      </c>
      <c r="I1022" t="s">
        <v>95</v>
      </c>
      <c r="J1022" t="s">
        <v>30</v>
      </c>
      <c r="K1022" s="5">
        <f>28406 / 86400</f>
        <v>0.32877314814814818</v>
      </c>
      <c r="L1022" s="5">
        <f>680 / 86400</f>
        <v>7.8703703703703696E-3</v>
      </c>
    </row>
    <row r="1023" spans="1:12" x14ac:dyDescent="0.2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</row>
    <row r="1024" spans="1:12" x14ac:dyDescent="0.2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</row>
    <row r="1025" spans="1:12" s="10" customFormat="1" ht="20.100000000000001" customHeight="1" x14ac:dyDescent="0.35">
      <c r="A1025" s="15" t="s">
        <v>467</v>
      </c>
      <c r="B1025" s="15"/>
      <c r="C1025" s="15"/>
      <c r="D1025" s="15"/>
      <c r="E1025" s="15"/>
      <c r="F1025" s="15"/>
      <c r="G1025" s="15"/>
      <c r="H1025" s="15"/>
      <c r="I1025" s="15"/>
      <c r="J1025" s="15"/>
    </row>
    <row r="1026" spans="1:12" x14ac:dyDescent="0.2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</row>
    <row r="1027" spans="1:12" ht="30" x14ac:dyDescent="0.25">
      <c r="A1027" s="2" t="s">
        <v>6</v>
      </c>
      <c r="B1027" s="2" t="s">
        <v>7</v>
      </c>
      <c r="C1027" s="2" t="s">
        <v>8</v>
      </c>
      <c r="D1027" s="2" t="s">
        <v>9</v>
      </c>
      <c r="E1027" s="2" t="s">
        <v>10</v>
      </c>
      <c r="F1027" s="2" t="s">
        <v>11</v>
      </c>
      <c r="G1027" s="2" t="s">
        <v>12</v>
      </c>
      <c r="H1027" s="2" t="s">
        <v>13</v>
      </c>
      <c r="I1027" s="2" t="s">
        <v>14</v>
      </c>
      <c r="J1027" s="2" t="s">
        <v>15</v>
      </c>
      <c r="K1027" s="2" t="s">
        <v>16</v>
      </c>
      <c r="L1027" s="2" t="s">
        <v>17</v>
      </c>
    </row>
    <row r="1028" spans="1:12" x14ac:dyDescent="0.25">
      <c r="A1028" s="3">
        <v>45689.015601851846</v>
      </c>
      <c r="B1028" t="s">
        <v>104</v>
      </c>
      <c r="C1028" s="3">
        <v>45689.021122685182</v>
      </c>
      <c r="D1028" t="s">
        <v>105</v>
      </c>
      <c r="E1028" s="4">
        <v>2.4670000000000001</v>
      </c>
      <c r="F1028" s="4">
        <v>398862.03600000002</v>
      </c>
      <c r="G1028" s="4">
        <v>398864.50300000003</v>
      </c>
      <c r="H1028" s="5">
        <f>59 / 86400</f>
        <v>6.8287037037037036E-4</v>
      </c>
      <c r="I1028" t="s">
        <v>149</v>
      </c>
      <c r="J1028" t="s">
        <v>49</v>
      </c>
      <c r="K1028" s="5">
        <f>477 / 86400</f>
        <v>5.5208333333333333E-3</v>
      </c>
      <c r="L1028" s="5">
        <f>22646 / 86400</f>
        <v>0.26210648148148147</v>
      </c>
    </row>
    <row r="1029" spans="1:12" x14ac:dyDescent="0.25">
      <c r="A1029" s="3">
        <v>45689.26762731481</v>
      </c>
      <c r="B1029" t="s">
        <v>105</v>
      </c>
      <c r="C1029" s="3">
        <v>45689.287650462968</v>
      </c>
      <c r="D1029" t="s">
        <v>69</v>
      </c>
      <c r="E1029" s="4">
        <v>9.0860000000000003</v>
      </c>
      <c r="F1029" s="4">
        <v>398864.50300000003</v>
      </c>
      <c r="G1029" s="4">
        <v>398873.58899999998</v>
      </c>
      <c r="H1029" s="5">
        <f>840 / 86400</f>
        <v>9.7222222222222224E-3</v>
      </c>
      <c r="I1029" t="s">
        <v>129</v>
      </c>
      <c r="J1029" t="s">
        <v>49</v>
      </c>
      <c r="K1029" s="5">
        <f>1730 / 86400</f>
        <v>2.0023148148148148E-2</v>
      </c>
      <c r="L1029" s="5">
        <f>311 / 86400</f>
        <v>3.5995370370370369E-3</v>
      </c>
    </row>
    <row r="1030" spans="1:12" x14ac:dyDescent="0.25">
      <c r="A1030" s="3">
        <v>45689.291249999995</v>
      </c>
      <c r="B1030" t="s">
        <v>69</v>
      </c>
      <c r="C1030" s="3">
        <v>45689.292534722219</v>
      </c>
      <c r="D1030" t="s">
        <v>117</v>
      </c>
      <c r="E1030" s="4">
        <v>0.182</v>
      </c>
      <c r="F1030" s="4">
        <v>398873.58899999998</v>
      </c>
      <c r="G1030" s="4">
        <v>398873.77100000001</v>
      </c>
      <c r="H1030" s="5">
        <f>40 / 86400</f>
        <v>4.6296296296296298E-4</v>
      </c>
      <c r="I1030" t="s">
        <v>49</v>
      </c>
      <c r="J1030" t="s">
        <v>92</v>
      </c>
      <c r="K1030" s="5">
        <f>110 / 86400</f>
        <v>1.2731481481481483E-3</v>
      </c>
      <c r="L1030" s="5">
        <f>405 / 86400</f>
        <v>4.6874999999999998E-3</v>
      </c>
    </row>
    <row r="1031" spans="1:12" x14ac:dyDescent="0.25">
      <c r="A1031" s="3">
        <v>45689.297222222223</v>
      </c>
      <c r="B1031" t="s">
        <v>117</v>
      </c>
      <c r="C1031" s="3">
        <v>45689.442326388889</v>
      </c>
      <c r="D1031" t="s">
        <v>417</v>
      </c>
      <c r="E1031" s="4">
        <v>59.427</v>
      </c>
      <c r="F1031" s="4">
        <v>398873.77100000001</v>
      </c>
      <c r="G1031" s="4">
        <v>398933.19799999997</v>
      </c>
      <c r="H1031" s="5">
        <f>3739 / 86400</f>
        <v>4.327546296296296E-2</v>
      </c>
      <c r="I1031" t="s">
        <v>42</v>
      </c>
      <c r="J1031" t="s">
        <v>30</v>
      </c>
      <c r="K1031" s="5">
        <f>12536 / 86400</f>
        <v>0.14509259259259261</v>
      </c>
      <c r="L1031" s="5">
        <f>11844 / 86400</f>
        <v>0.13708333333333333</v>
      </c>
    </row>
    <row r="1032" spans="1:12" x14ac:dyDescent="0.25">
      <c r="A1032" s="3">
        <v>45689.579409722224</v>
      </c>
      <c r="B1032" t="s">
        <v>417</v>
      </c>
      <c r="C1032" s="3">
        <v>45689.58975694445</v>
      </c>
      <c r="D1032" t="s">
        <v>418</v>
      </c>
      <c r="E1032" s="4">
        <v>2.5129999999999999</v>
      </c>
      <c r="F1032" s="4">
        <v>398933.19799999997</v>
      </c>
      <c r="G1032" s="4">
        <v>398935.71100000001</v>
      </c>
      <c r="H1032" s="5">
        <f>99 / 86400</f>
        <v>1.1458333333333333E-3</v>
      </c>
      <c r="I1032" t="s">
        <v>184</v>
      </c>
      <c r="J1032" t="s">
        <v>116</v>
      </c>
      <c r="K1032" s="5">
        <f>894 / 86400</f>
        <v>1.0347222222222223E-2</v>
      </c>
      <c r="L1032" s="5">
        <f>4132 / 86400</f>
        <v>4.7824074074074074E-2</v>
      </c>
    </row>
    <row r="1033" spans="1:12" x14ac:dyDescent="0.25">
      <c r="A1033" s="3">
        <v>45689.63758101852</v>
      </c>
      <c r="B1033" t="s">
        <v>418</v>
      </c>
      <c r="C1033" s="3">
        <v>45689.709988425922</v>
      </c>
      <c r="D1033" t="s">
        <v>162</v>
      </c>
      <c r="E1033" s="4">
        <v>21.314</v>
      </c>
      <c r="F1033" s="4">
        <v>398935.71100000001</v>
      </c>
      <c r="G1033" s="4">
        <v>398957.02500000002</v>
      </c>
      <c r="H1033" s="5">
        <f>2240 / 86400</f>
        <v>2.5925925925925925E-2</v>
      </c>
      <c r="I1033" t="s">
        <v>220</v>
      </c>
      <c r="J1033" t="s">
        <v>99</v>
      </c>
      <c r="K1033" s="5">
        <f>6255 / 86400</f>
        <v>7.239583333333334E-2</v>
      </c>
      <c r="L1033" s="5">
        <f>672 / 86400</f>
        <v>7.7777777777777776E-3</v>
      </c>
    </row>
    <row r="1034" spans="1:12" x14ac:dyDescent="0.25">
      <c r="A1034" s="3">
        <v>45689.717766203699</v>
      </c>
      <c r="B1034" t="s">
        <v>162</v>
      </c>
      <c r="C1034" s="3">
        <v>45689.887708333335</v>
      </c>
      <c r="D1034" t="s">
        <v>142</v>
      </c>
      <c r="E1034" s="4">
        <v>49.674999999999997</v>
      </c>
      <c r="F1034" s="4">
        <v>398957.02500000002</v>
      </c>
      <c r="G1034" s="4">
        <v>399006.7</v>
      </c>
      <c r="H1034" s="5">
        <f>5910 / 86400</f>
        <v>6.8402777777777785E-2</v>
      </c>
      <c r="I1034" t="s">
        <v>230</v>
      </c>
      <c r="J1034" t="s">
        <v>99</v>
      </c>
      <c r="K1034" s="5">
        <f>14682 / 86400</f>
        <v>0.16993055555555556</v>
      </c>
      <c r="L1034" s="5">
        <f>1042 / 86400</f>
        <v>1.2060185185185186E-2</v>
      </c>
    </row>
    <row r="1035" spans="1:12" x14ac:dyDescent="0.25">
      <c r="A1035" s="3">
        <v>45689.899768518517</v>
      </c>
      <c r="B1035" t="s">
        <v>142</v>
      </c>
      <c r="C1035" s="3">
        <v>45689.903958333336</v>
      </c>
      <c r="D1035" t="s">
        <v>419</v>
      </c>
      <c r="E1035" s="4">
        <v>0.86499999999999999</v>
      </c>
      <c r="F1035" s="4">
        <v>399006.7</v>
      </c>
      <c r="G1035" s="4">
        <v>399007.565</v>
      </c>
      <c r="H1035" s="5">
        <f>140 / 86400</f>
        <v>1.6203703703703703E-3</v>
      </c>
      <c r="I1035" t="s">
        <v>149</v>
      </c>
      <c r="J1035" t="s">
        <v>85</v>
      </c>
      <c r="K1035" s="5">
        <f>361 / 86400</f>
        <v>4.178240740740741E-3</v>
      </c>
      <c r="L1035" s="5">
        <f>3484 / 86400</f>
        <v>4.0324074074074075E-2</v>
      </c>
    </row>
    <row r="1036" spans="1:12" x14ac:dyDescent="0.25">
      <c r="A1036" s="3">
        <v>45689.944282407407</v>
      </c>
      <c r="B1036" t="s">
        <v>419</v>
      </c>
      <c r="C1036" s="3">
        <v>45689.962268518517</v>
      </c>
      <c r="D1036" t="s">
        <v>105</v>
      </c>
      <c r="E1036" s="4">
        <v>9.5739999999999998</v>
      </c>
      <c r="F1036" s="4">
        <v>399007.565</v>
      </c>
      <c r="G1036" s="4">
        <v>399017.13900000002</v>
      </c>
      <c r="H1036" s="5">
        <f>279 / 86400</f>
        <v>3.2291666666666666E-3</v>
      </c>
      <c r="I1036" t="s">
        <v>239</v>
      </c>
      <c r="J1036" t="s">
        <v>119</v>
      </c>
      <c r="K1036" s="5">
        <f>1553 / 86400</f>
        <v>1.7974537037037035E-2</v>
      </c>
      <c r="L1036" s="5">
        <f>3259 / 86400</f>
        <v>3.771990740740741E-2</v>
      </c>
    </row>
    <row r="1037" spans="1:12" x14ac:dyDescent="0.25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</row>
    <row r="1038" spans="1:12" x14ac:dyDescent="0.25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</row>
    <row r="1039" spans="1:12" s="10" customFormat="1" ht="20.100000000000001" customHeight="1" x14ac:dyDescent="0.35">
      <c r="A1039" s="15" t="s">
        <v>468</v>
      </c>
      <c r="B1039" s="15"/>
      <c r="C1039" s="15"/>
      <c r="D1039" s="15"/>
      <c r="E1039" s="15"/>
      <c r="F1039" s="15"/>
      <c r="G1039" s="15"/>
      <c r="H1039" s="15"/>
      <c r="I1039" s="15"/>
      <c r="J1039" s="15"/>
    </row>
    <row r="1040" spans="1:12" x14ac:dyDescent="0.25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</row>
    <row r="1041" spans="1:12" ht="30" x14ac:dyDescent="0.25">
      <c r="A1041" s="2" t="s">
        <v>6</v>
      </c>
      <c r="B1041" s="2" t="s">
        <v>7</v>
      </c>
      <c r="C1041" s="2" t="s">
        <v>8</v>
      </c>
      <c r="D1041" s="2" t="s">
        <v>9</v>
      </c>
      <c r="E1041" s="2" t="s">
        <v>10</v>
      </c>
      <c r="F1041" s="2" t="s">
        <v>11</v>
      </c>
      <c r="G1041" s="2" t="s">
        <v>12</v>
      </c>
      <c r="H1041" s="2" t="s">
        <v>13</v>
      </c>
      <c r="I1041" s="2" t="s">
        <v>14</v>
      </c>
      <c r="J1041" s="2" t="s">
        <v>15</v>
      </c>
      <c r="K1041" s="2" t="s">
        <v>16</v>
      </c>
      <c r="L1041" s="2" t="s">
        <v>17</v>
      </c>
    </row>
    <row r="1042" spans="1:12" x14ac:dyDescent="0.25">
      <c r="A1042" s="3">
        <v>45689.228668981479</v>
      </c>
      <c r="B1042" t="s">
        <v>101</v>
      </c>
      <c r="C1042" s="3">
        <v>45689.470092592594</v>
      </c>
      <c r="D1042" t="s">
        <v>146</v>
      </c>
      <c r="E1042" s="4">
        <v>99.751999999999995</v>
      </c>
      <c r="F1042" s="4">
        <v>381079.15299999999</v>
      </c>
      <c r="G1042" s="4">
        <v>381178.90500000003</v>
      </c>
      <c r="H1042" s="5">
        <f>6640 / 86400</f>
        <v>7.6851851851851852E-2</v>
      </c>
      <c r="I1042" t="s">
        <v>188</v>
      </c>
      <c r="J1042" t="s">
        <v>30</v>
      </c>
      <c r="K1042" s="5">
        <f>20858 / 86400</f>
        <v>0.24141203703703704</v>
      </c>
      <c r="L1042" s="5">
        <f>21971 / 86400</f>
        <v>0.25429398148148147</v>
      </c>
    </row>
    <row r="1043" spans="1:12" x14ac:dyDescent="0.25">
      <c r="A1043" s="3">
        <v>45689.495717592596</v>
      </c>
      <c r="B1043" t="s">
        <v>146</v>
      </c>
      <c r="C1043" s="3">
        <v>45689.499467592592</v>
      </c>
      <c r="D1043" t="s">
        <v>137</v>
      </c>
      <c r="E1043" s="4">
        <v>1.3360000000000001</v>
      </c>
      <c r="F1043" s="4">
        <v>381178.90500000003</v>
      </c>
      <c r="G1043" s="4">
        <v>381180.24099999998</v>
      </c>
      <c r="H1043" s="5">
        <f>19 / 86400</f>
        <v>2.199074074074074E-4</v>
      </c>
      <c r="I1043" t="s">
        <v>214</v>
      </c>
      <c r="J1043" t="s">
        <v>43</v>
      </c>
      <c r="K1043" s="5">
        <f>323 / 86400</f>
        <v>3.7384259259259259E-3</v>
      </c>
      <c r="L1043" s="5">
        <f>1478 / 86400</f>
        <v>1.7106481481481483E-2</v>
      </c>
    </row>
    <row r="1044" spans="1:12" x14ac:dyDescent="0.25">
      <c r="A1044" s="3">
        <v>45689.516574074078</v>
      </c>
      <c r="B1044" t="s">
        <v>137</v>
      </c>
      <c r="C1044" s="3">
        <v>45689.517361111109</v>
      </c>
      <c r="D1044" t="s">
        <v>139</v>
      </c>
      <c r="E1044" s="4">
        <v>5.8000000000000003E-2</v>
      </c>
      <c r="F1044" s="4">
        <v>381180.24099999998</v>
      </c>
      <c r="G1044" s="4">
        <v>381180.299</v>
      </c>
      <c r="H1044" s="5">
        <f>39 / 86400</f>
        <v>4.5138888888888887E-4</v>
      </c>
      <c r="I1044" t="s">
        <v>30</v>
      </c>
      <c r="J1044" t="s">
        <v>121</v>
      </c>
      <c r="K1044" s="5">
        <f>67 / 86400</f>
        <v>7.7546296296296293E-4</v>
      </c>
      <c r="L1044" s="5">
        <f>361 / 86400</f>
        <v>4.178240740740741E-3</v>
      </c>
    </row>
    <row r="1045" spans="1:12" x14ac:dyDescent="0.25">
      <c r="A1045" s="3">
        <v>45689.521539351852</v>
      </c>
      <c r="B1045" t="s">
        <v>139</v>
      </c>
      <c r="C1045" s="3">
        <v>45689.650520833333</v>
      </c>
      <c r="D1045" t="s">
        <v>287</v>
      </c>
      <c r="E1045" s="4">
        <v>48.491999999999997</v>
      </c>
      <c r="F1045" s="4">
        <v>381180.299</v>
      </c>
      <c r="G1045" s="4">
        <v>381228.79100000003</v>
      </c>
      <c r="H1045" s="5">
        <f>4620 / 86400</f>
        <v>5.347222222222222E-2</v>
      </c>
      <c r="I1045" t="s">
        <v>34</v>
      </c>
      <c r="J1045" t="s">
        <v>26</v>
      </c>
      <c r="K1045" s="5">
        <f>11143 / 86400</f>
        <v>0.12896990740740741</v>
      </c>
      <c r="L1045" s="5">
        <f>35 / 86400</f>
        <v>4.0509259259259258E-4</v>
      </c>
    </row>
    <row r="1046" spans="1:12" x14ac:dyDescent="0.25">
      <c r="A1046" s="3">
        <v>45689.650925925926</v>
      </c>
      <c r="B1046" t="s">
        <v>287</v>
      </c>
      <c r="C1046" s="3">
        <v>45689.775173611109</v>
      </c>
      <c r="D1046" t="s">
        <v>69</v>
      </c>
      <c r="E1046" s="4">
        <v>45.491999999999997</v>
      </c>
      <c r="F1046" s="4">
        <v>381228.79100000003</v>
      </c>
      <c r="G1046" s="4">
        <v>381274.283</v>
      </c>
      <c r="H1046" s="5">
        <f>3719 / 86400</f>
        <v>4.3043981481481482E-2</v>
      </c>
      <c r="I1046" t="s">
        <v>420</v>
      </c>
      <c r="J1046" t="s">
        <v>43</v>
      </c>
      <c r="K1046" s="5">
        <f>10735 / 86400</f>
        <v>0.12424768518518518</v>
      </c>
      <c r="L1046" s="5">
        <f>103 / 86400</f>
        <v>1.1921296296296296E-3</v>
      </c>
    </row>
    <row r="1047" spans="1:12" x14ac:dyDescent="0.25">
      <c r="A1047" s="3">
        <v>45689.776365740741</v>
      </c>
      <c r="B1047" t="s">
        <v>69</v>
      </c>
      <c r="C1047" s="3">
        <v>45689.777499999997</v>
      </c>
      <c r="D1047" t="s">
        <v>411</v>
      </c>
      <c r="E1047" s="4">
        <v>0.30099999999999999</v>
      </c>
      <c r="F1047" s="4">
        <v>381274.283</v>
      </c>
      <c r="G1047" s="4">
        <v>381274.58399999997</v>
      </c>
      <c r="H1047" s="5">
        <f>0 / 86400</f>
        <v>0</v>
      </c>
      <c r="I1047" t="s">
        <v>35</v>
      </c>
      <c r="J1047" t="s">
        <v>71</v>
      </c>
      <c r="K1047" s="5">
        <f>98 / 86400</f>
        <v>1.1342592592592593E-3</v>
      </c>
      <c r="L1047" s="5">
        <f>609 / 86400</f>
        <v>7.0486111111111114E-3</v>
      </c>
    </row>
    <row r="1048" spans="1:12" x14ac:dyDescent="0.25">
      <c r="A1048" s="3">
        <v>45689.784548611111</v>
      </c>
      <c r="B1048" t="s">
        <v>381</v>
      </c>
      <c r="C1048" s="3">
        <v>45689.788912037038</v>
      </c>
      <c r="D1048" t="s">
        <v>421</v>
      </c>
      <c r="E1048" s="4">
        <v>0.505</v>
      </c>
      <c r="F1048" s="4">
        <v>381274.58399999997</v>
      </c>
      <c r="G1048" s="4">
        <v>381275.08899999998</v>
      </c>
      <c r="H1048" s="5">
        <f>158 / 86400</f>
        <v>1.8287037037037037E-3</v>
      </c>
      <c r="I1048" t="s">
        <v>119</v>
      </c>
      <c r="J1048" t="s">
        <v>56</v>
      </c>
      <c r="K1048" s="5">
        <f>376 / 86400</f>
        <v>4.3518518518518515E-3</v>
      </c>
      <c r="L1048" s="5">
        <f>865 / 86400</f>
        <v>1.0011574074074074E-2</v>
      </c>
    </row>
    <row r="1049" spans="1:12" x14ac:dyDescent="0.25">
      <c r="A1049" s="3">
        <v>45689.79892361111</v>
      </c>
      <c r="B1049" t="s">
        <v>376</v>
      </c>
      <c r="C1049" s="3">
        <v>45689.842615740738</v>
      </c>
      <c r="D1049" t="s">
        <v>422</v>
      </c>
      <c r="E1049" s="4">
        <v>23.529</v>
      </c>
      <c r="F1049" s="4">
        <v>381275.08899999998</v>
      </c>
      <c r="G1049" s="4">
        <v>381298.61800000002</v>
      </c>
      <c r="H1049" s="5">
        <f>759 / 86400</f>
        <v>8.7847222222222215E-3</v>
      </c>
      <c r="I1049" t="s">
        <v>260</v>
      </c>
      <c r="J1049" t="s">
        <v>119</v>
      </c>
      <c r="K1049" s="5">
        <f>3774 / 86400</f>
        <v>4.3680555555555556E-2</v>
      </c>
      <c r="L1049" s="5">
        <f>499 / 86400</f>
        <v>5.7754629629629631E-3</v>
      </c>
    </row>
    <row r="1050" spans="1:12" x14ac:dyDescent="0.25">
      <c r="A1050" s="3">
        <v>45689.848391203705</v>
      </c>
      <c r="B1050" t="s">
        <v>422</v>
      </c>
      <c r="C1050" s="3">
        <v>45689.853217592594</v>
      </c>
      <c r="D1050" t="s">
        <v>24</v>
      </c>
      <c r="E1050" s="4">
        <v>0.49399999999999999</v>
      </c>
      <c r="F1050" s="4">
        <v>381298.61800000002</v>
      </c>
      <c r="G1050" s="4">
        <v>381299.11200000002</v>
      </c>
      <c r="H1050" s="5">
        <f>260 / 86400</f>
        <v>3.0092592592592593E-3</v>
      </c>
      <c r="I1050" t="s">
        <v>49</v>
      </c>
      <c r="J1050" t="s">
        <v>80</v>
      </c>
      <c r="K1050" s="5">
        <f>416 / 86400</f>
        <v>4.8148148148148152E-3</v>
      </c>
      <c r="L1050" s="5">
        <f>12681 / 86400</f>
        <v>0.14677083333333332</v>
      </c>
    </row>
    <row r="1051" spans="1:12" x14ac:dyDescent="0.2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</row>
    <row r="1052" spans="1:12" x14ac:dyDescent="0.25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</row>
    <row r="1053" spans="1:12" s="10" customFormat="1" ht="20.100000000000001" customHeight="1" x14ac:dyDescent="0.35">
      <c r="A1053" s="15" t="s">
        <v>469</v>
      </c>
      <c r="B1053" s="15"/>
      <c r="C1053" s="15"/>
      <c r="D1053" s="15"/>
      <c r="E1053" s="15"/>
      <c r="F1053" s="15"/>
      <c r="G1053" s="15"/>
      <c r="H1053" s="15"/>
      <c r="I1053" s="15"/>
      <c r="J1053" s="15"/>
    </row>
    <row r="1054" spans="1:12" x14ac:dyDescent="0.25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</row>
    <row r="1055" spans="1:12" ht="30" x14ac:dyDescent="0.25">
      <c r="A1055" s="2" t="s">
        <v>6</v>
      </c>
      <c r="B1055" s="2" t="s">
        <v>7</v>
      </c>
      <c r="C1055" s="2" t="s">
        <v>8</v>
      </c>
      <c r="D1055" s="2" t="s">
        <v>9</v>
      </c>
      <c r="E1055" s="2" t="s">
        <v>10</v>
      </c>
      <c r="F1055" s="2" t="s">
        <v>11</v>
      </c>
      <c r="G1055" s="2" t="s">
        <v>12</v>
      </c>
      <c r="H1055" s="2" t="s">
        <v>13</v>
      </c>
      <c r="I1055" s="2" t="s">
        <v>14</v>
      </c>
      <c r="J1055" s="2" t="s">
        <v>15</v>
      </c>
      <c r="K1055" s="2" t="s">
        <v>16</v>
      </c>
      <c r="L1055" s="2" t="s">
        <v>17</v>
      </c>
    </row>
    <row r="1056" spans="1:12" x14ac:dyDescent="0.25">
      <c r="A1056" s="3">
        <v>45689.277384259258</v>
      </c>
      <c r="B1056" t="s">
        <v>106</v>
      </c>
      <c r="C1056" s="3">
        <v>45689.281712962962</v>
      </c>
      <c r="D1056" t="s">
        <v>96</v>
      </c>
      <c r="E1056" s="4">
        <v>0.36799999999999999</v>
      </c>
      <c r="F1056" s="4">
        <v>544036.46100000001</v>
      </c>
      <c r="G1056" s="4">
        <v>544036.82900000003</v>
      </c>
      <c r="H1056" s="5">
        <f>239 / 86400</f>
        <v>2.7662037037037039E-3</v>
      </c>
      <c r="I1056" t="s">
        <v>119</v>
      </c>
      <c r="J1056" t="s">
        <v>80</v>
      </c>
      <c r="K1056" s="5">
        <f>373 / 86400</f>
        <v>4.31712962962963E-3</v>
      </c>
      <c r="L1056" s="5">
        <f>23987 / 86400</f>
        <v>0.27762731481481484</v>
      </c>
    </row>
    <row r="1057" spans="1:12" x14ac:dyDescent="0.25">
      <c r="A1057" s="3">
        <v>45689.281956018516</v>
      </c>
      <c r="B1057" t="s">
        <v>96</v>
      </c>
      <c r="C1057" s="3">
        <v>45689.293923611112</v>
      </c>
      <c r="D1057" t="s">
        <v>46</v>
      </c>
      <c r="E1057" s="4">
        <v>2.1389999999999998</v>
      </c>
      <c r="F1057" s="4">
        <v>544036.82900000003</v>
      </c>
      <c r="G1057" s="4">
        <v>544038.96799999999</v>
      </c>
      <c r="H1057" s="5">
        <f>539 / 86400</f>
        <v>6.2384259259259259E-3</v>
      </c>
      <c r="I1057" t="s">
        <v>107</v>
      </c>
      <c r="J1057" t="s">
        <v>126</v>
      </c>
      <c r="K1057" s="5">
        <f>1034 / 86400</f>
        <v>1.1967592592592592E-2</v>
      </c>
      <c r="L1057" s="5">
        <f>13606 / 86400</f>
        <v>0.15747685185185184</v>
      </c>
    </row>
    <row r="1058" spans="1:12" x14ac:dyDescent="0.25">
      <c r="A1058" s="3">
        <v>45689.45140046296</v>
      </c>
      <c r="B1058" t="s">
        <v>46</v>
      </c>
      <c r="C1058" s="3">
        <v>45689.460868055554</v>
      </c>
      <c r="D1058" t="s">
        <v>69</v>
      </c>
      <c r="E1058" s="4">
        <v>2.4089999999999998</v>
      </c>
      <c r="F1058" s="4">
        <v>544038.96799999999</v>
      </c>
      <c r="G1058" s="4">
        <v>544041.37699999998</v>
      </c>
      <c r="H1058" s="5">
        <f>240 / 86400</f>
        <v>2.7777777777777779E-3</v>
      </c>
      <c r="I1058" t="s">
        <v>147</v>
      </c>
      <c r="J1058" t="s">
        <v>71</v>
      </c>
      <c r="K1058" s="5">
        <f>817 / 86400</f>
        <v>9.4560185185185181E-3</v>
      </c>
      <c r="L1058" s="5">
        <f>120 / 86400</f>
        <v>1.3888888888888889E-3</v>
      </c>
    </row>
    <row r="1059" spans="1:12" x14ac:dyDescent="0.25">
      <c r="A1059" s="3">
        <v>45689.462256944447</v>
      </c>
      <c r="B1059" t="s">
        <v>69</v>
      </c>
      <c r="C1059" s="3">
        <v>45689.464444444442</v>
      </c>
      <c r="D1059" t="s">
        <v>421</v>
      </c>
      <c r="E1059" s="4">
        <v>7.5999999999999998E-2</v>
      </c>
      <c r="F1059" s="4">
        <v>544041.37699999998</v>
      </c>
      <c r="G1059" s="4">
        <v>544041.45299999998</v>
      </c>
      <c r="H1059" s="5">
        <f>100 / 86400</f>
        <v>1.1574074074074073E-3</v>
      </c>
      <c r="I1059" t="s">
        <v>56</v>
      </c>
      <c r="J1059" t="s">
        <v>100</v>
      </c>
      <c r="K1059" s="5">
        <f>188 / 86400</f>
        <v>2.1759259259259258E-3</v>
      </c>
      <c r="L1059" s="5">
        <f>1233 / 86400</f>
        <v>1.4270833333333333E-2</v>
      </c>
    </row>
    <row r="1060" spans="1:12" x14ac:dyDescent="0.25">
      <c r="A1060" s="3">
        <v>45689.478715277779</v>
      </c>
      <c r="B1060" t="s">
        <v>421</v>
      </c>
      <c r="C1060" s="3">
        <v>45689.479201388887</v>
      </c>
      <c r="D1060" t="s">
        <v>421</v>
      </c>
      <c r="E1060" s="4">
        <v>1E-3</v>
      </c>
      <c r="F1060" s="4">
        <v>544041.45299999998</v>
      </c>
      <c r="G1060" s="4">
        <v>544041.45400000003</v>
      </c>
      <c r="H1060" s="5">
        <f>39 / 86400</f>
        <v>4.5138888888888887E-4</v>
      </c>
      <c r="I1060" t="s">
        <v>37</v>
      </c>
      <c r="J1060" t="s">
        <v>37</v>
      </c>
      <c r="K1060" s="5">
        <f>41 / 86400</f>
        <v>4.7453703703703704E-4</v>
      </c>
      <c r="L1060" s="5">
        <f>1058 / 86400</f>
        <v>1.224537037037037E-2</v>
      </c>
    </row>
    <row r="1061" spans="1:12" x14ac:dyDescent="0.25">
      <c r="A1061" s="3">
        <v>45689.491446759261</v>
      </c>
      <c r="B1061" t="s">
        <v>421</v>
      </c>
      <c r="C1061" s="3">
        <v>45689.493009259255</v>
      </c>
      <c r="D1061" t="s">
        <v>146</v>
      </c>
      <c r="E1061" s="4">
        <v>0.11</v>
      </c>
      <c r="F1061" s="4">
        <v>544041.45400000003</v>
      </c>
      <c r="G1061" s="4">
        <v>544041.56400000001</v>
      </c>
      <c r="H1061" s="5">
        <f>40 / 86400</f>
        <v>4.6296296296296298E-4</v>
      </c>
      <c r="I1061" t="s">
        <v>116</v>
      </c>
      <c r="J1061" t="s">
        <v>121</v>
      </c>
      <c r="K1061" s="5">
        <f>135 / 86400</f>
        <v>1.5625000000000001E-3</v>
      </c>
      <c r="L1061" s="5">
        <f>297 / 86400</f>
        <v>3.4375E-3</v>
      </c>
    </row>
    <row r="1062" spans="1:12" x14ac:dyDescent="0.25">
      <c r="A1062" s="3">
        <v>45689.496446759258</v>
      </c>
      <c r="B1062" t="s">
        <v>146</v>
      </c>
      <c r="C1062" s="3">
        <v>45689.497557870374</v>
      </c>
      <c r="D1062" t="s">
        <v>69</v>
      </c>
      <c r="E1062" s="4">
        <v>0.13300000000000001</v>
      </c>
      <c r="F1062" s="4">
        <v>544041.56400000001</v>
      </c>
      <c r="G1062" s="4">
        <v>544041.69700000004</v>
      </c>
      <c r="H1062" s="5">
        <f>20 / 86400</f>
        <v>2.3148148148148149E-4</v>
      </c>
      <c r="I1062" t="s">
        <v>85</v>
      </c>
      <c r="J1062" t="s">
        <v>56</v>
      </c>
      <c r="K1062" s="5">
        <f>96 / 86400</f>
        <v>1.1111111111111111E-3</v>
      </c>
      <c r="L1062" s="5">
        <f>3092 / 86400</f>
        <v>3.5787037037037034E-2</v>
      </c>
    </row>
    <row r="1063" spans="1:12" x14ac:dyDescent="0.25">
      <c r="A1063" s="3">
        <v>45689.53334490741</v>
      </c>
      <c r="B1063" t="s">
        <v>69</v>
      </c>
      <c r="C1063" s="3">
        <v>45689.534108796295</v>
      </c>
      <c r="D1063" t="s">
        <v>69</v>
      </c>
      <c r="E1063" s="4">
        <v>0.03</v>
      </c>
      <c r="F1063" s="4">
        <v>544041.69700000004</v>
      </c>
      <c r="G1063" s="4">
        <v>544041.72699999996</v>
      </c>
      <c r="H1063" s="5">
        <f>19 / 86400</f>
        <v>2.199074074074074E-4</v>
      </c>
      <c r="I1063" t="s">
        <v>56</v>
      </c>
      <c r="J1063" t="s">
        <v>133</v>
      </c>
      <c r="K1063" s="5">
        <f>66 / 86400</f>
        <v>7.6388888888888893E-4</v>
      </c>
      <c r="L1063" s="5">
        <f>2610 / 86400</f>
        <v>3.0208333333333334E-2</v>
      </c>
    </row>
    <row r="1064" spans="1:12" x14ac:dyDescent="0.25">
      <c r="A1064" s="3">
        <v>45689.564317129625</v>
      </c>
      <c r="B1064" t="s">
        <v>69</v>
      </c>
      <c r="C1064" s="3">
        <v>45689.566018518519</v>
      </c>
      <c r="D1064" t="s">
        <v>69</v>
      </c>
      <c r="E1064" s="4">
        <v>5.0999999999999997E-2</v>
      </c>
      <c r="F1064" s="4">
        <v>544041.72699999996</v>
      </c>
      <c r="G1064" s="4">
        <v>544041.77800000005</v>
      </c>
      <c r="H1064" s="5">
        <f>60 / 86400</f>
        <v>6.9444444444444447E-4</v>
      </c>
      <c r="I1064" t="s">
        <v>56</v>
      </c>
      <c r="J1064" t="s">
        <v>100</v>
      </c>
      <c r="K1064" s="5">
        <f>147 / 86400</f>
        <v>1.7013888888888888E-3</v>
      </c>
      <c r="L1064" s="5">
        <f>5056 / 86400</f>
        <v>5.8518518518518518E-2</v>
      </c>
    </row>
    <row r="1065" spans="1:12" x14ac:dyDescent="0.25">
      <c r="A1065" s="3">
        <v>45689.624537037038</v>
      </c>
      <c r="B1065" t="s">
        <v>69</v>
      </c>
      <c r="C1065" s="3">
        <v>45689.627337962964</v>
      </c>
      <c r="D1065" t="s">
        <v>96</v>
      </c>
      <c r="E1065" s="4">
        <v>0.29599999999999999</v>
      </c>
      <c r="F1065" s="4">
        <v>544041.77800000005</v>
      </c>
      <c r="G1065" s="4">
        <v>544042.07400000002</v>
      </c>
      <c r="H1065" s="5">
        <f>80 / 86400</f>
        <v>9.2592592592592596E-4</v>
      </c>
      <c r="I1065" t="s">
        <v>99</v>
      </c>
      <c r="J1065" t="s">
        <v>80</v>
      </c>
      <c r="K1065" s="5">
        <f>241 / 86400</f>
        <v>2.7893518518518519E-3</v>
      </c>
      <c r="L1065" s="5">
        <f>2781 / 86400</f>
        <v>3.2187500000000001E-2</v>
      </c>
    </row>
    <row r="1066" spans="1:12" x14ac:dyDescent="0.25">
      <c r="A1066" s="3">
        <v>45689.659525462965</v>
      </c>
      <c r="B1066" t="s">
        <v>96</v>
      </c>
      <c r="C1066" s="3">
        <v>45689.660520833335</v>
      </c>
      <c r="D1066" t="s">
        <v>411</v>
      </c>
      <c r="E1066" s="4">
        <v>3.5999999999999997E-2</v>
      </c>
      <c r="F1066" s="4">
        <v>544042.07400000002</v>
      </c>
      <c r="G1066" s="4">
        <v>544042.11</v>
      </c>
      <c r="H1066" s="5">
        <f>26 / 86400</f>
        <v>3.0092592592592595E-4</v>
      </c>
      <c r="I1066" t="s">
        <v>56</v>
      </c>
      <c r="J1066" t="s">
        <v>133</v>
      </c>
      <c r="K1066" s="5">
        <f>85 / 86400</f>
        <v>9.837962962962962E-4</v>
      </c>
      <c r="L1066" s="5">
        <f>591 / 86400</f>
        <v>6.8402777777777776E-3</v>
      </c>
    </row>
    <row r="1067" spans="1:12" x14ac:dyDescent="0.25">
      <c r="A1067" s="3">
        <v>45689.667361111111</v>
      </c>
      <c r="B1067" t="s">
        <v>411</v>
      </c>
      <c r="C1067" s="3">
        <v>45689.667534722219</v>
      </c>
      <c r="D1067" t="s">
        <v>411</v>
      </c>
      <c r="E1067" s="4">
        <v>0</v>
      </c>
      <c r="F1067" s="4">
        <v>544042.11</v>
      </c>
      <c r="G1067" s="4">
        <v>544042.11</v>
      </c>
      <c r="H1067" s="5">
        <f>0 / 86400</f>
        <v>0</v>
      </c>
      <c r="I1067" t="s">
        <v>37</v>
      </c>
      <c r="J1067" t="s">
        <v>37</v>
      </c>
      <c r="K1067" s="5">
        <f>15 / 86400</f>
        <v>1.7361111111111112E-4</v>
      </c>
      <c r="L1067" s="5">
        <f>836 / 86400</f>
        <v>9.6759259259259264E-3</v>
      </c>
    </row>
    <row r="1068" spans="1:12" x14ac:dyDescent="0.25">
      <c r="A1068" s="3">
        <v>45689.677210648151</v>
      </c>
      <c r="B1068" t="s">
        <v>411</v>
      </c>
      <c r="C1068" s="3">
        <v>45689.677974537037</v>
      </c>
      <c r="D1068" t="s">
        <v>411</v>
      </c>
      <c r="E1068" s="4">
        <v>0</v>
      </c>
      <c r="F1068" s="4">
        <v>544042.11</v>
      </c>
      <c r="G1068" s="4">
        <v>544042.11</v>
      </c>
      <c r="H1068" s="5">
        <f>59 / 86400</f>
        <v>6.8287037037037036E-4</v>
      </c>
      <c r="I1068" t="s">
        <v>37</v>
      </c>
      <c r="J1068" t="s">
        <v>37</v>
      </c>
      <c r="K1068" s="5">
        <f>66 / 86400</f>
        <v>7.6388888888888893E-4</v>
      </c>
      <c r="L1068" s="5">
        <f>13016 / 86400</f>
        <v>0.15064814814814814</v>
      </c>
    </row>
    <row r="1069" spans="1:12" x14ac:dyDescent="0.25">
      <c r="A1069" s="3">
        <v>45689.828622685185</v>
      </c>
      <c r="B1069" t="s">
        <v>96</v>
      </c>
      <c r="C1069" s="3">
        <v>45689.834918981476</v>
      </c>
      <c r="D1069" t="s">
        <v>106</v>
      </c>
      <c r="E1069" s="4">
        <v>0.36099999999999999</v>
      </c>
      <c r="F1069" s="4">
        <v>544042.11</v>
      </c>
      <c r="G1069" s="4">
        <v>544042.47100000002</v>
      </c>
      <c r="H1069" s="5">
        <f>380 / 86400</f>
        <v>4.3981481481481484E-3</v>
      </c>
      <c r="I1069" t="s">
        <v>26</v>
      </c>
      <c r="J1069" t="s">
        <v>133</v>
      </c>
      <c r="K1069" s="5">
        <f>544 / 86400</f>
        <v>6.2962962962962964E-3</v>
      </c>
      <c r="L1069" s="5">
        <f>375 / 86400</f>
        <v>4.340277777777778E-3</v>
      </c>
    </row>
    <row r="1070" spans="1:12" x14ac:dyDescent="0.25">
      <c r="A1070" s="3">
        <v>45689.839259259257</v>
      </c>
      <c r="B1070" t="s">
        <v>106</v>
      </c>
      <c r="C1070" s="3">
        <v>45689.841261574074</v>
      </c>
      <c r="D1070" t="s">
        <v>106</v>
      </c>
      <c r="E1070" s="4">
        <v>1.2E-2</v>
      </c>
      <c r="F1070" s="4">
        <v>544042.47100000002</v>
      </c>
      <c r="G1070" s="4">
        <v>544042.48300000001</v>
      </c>
      <c r="H1070" s="5">
        <f>139 / 86400</f>
        <v>1.6087962962962963E-3</v>
      </c>
      <c r="I1070" t="s">
        <v>133</v>
      </c>
      <c r="J1070" t="s">
        <v>37</v>
      </c>
      <c r="K1070" s="5">
        <f>172 / 86400</f>
        <v>1.9907407407407408E-3</v>
      </c>
      <c r="L1070" s="5">
        <f>13714 / 86400</f>
        <v>0.15872685185185184</v>
      </c>
    </row>
    <row r="1071" spans="1:12" x14ac:dyDescent="0.25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</row>
    <row r="1072" spans="1:12" x14ac:dyDescent="0.25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</row>
    <row r="1073" spans="1:12" s="10" customFormat="1" ht="20.100000000000001" customHeight="1" x14ac:dyDescent="0.35">
      <c r="A1073" s="15" t="s">
        <v>470</v>
      </c>
      <c r="B1073" s="15"/>
      <c r="C1073" s="15"/>
      <c r="D1073" s="15"/>
      <c r="E1073" s="15"/>
      <c r="F1073" s="15"/>
      <c r="G1073" s="15"/>
      <c r="H1073" s="15"/>
      <c r="I1073" s="15"/>
      <c r="J1073" s="15"/>
    </row>
    <row r="1074" spans="1:12" x14ac:dyDescent="0.25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</row>
    <row r="1075" spans="1:12" ht="30" x14ac:dyDescent="0.25">
      <c r="A1075" s="2" t="s">
        <v>6</v>
      </c>
      <c r="B1075" s="2" t="s">
        <v>7</v>
      </c>
      <c r="C1075" s="2" t="s">
        <v>8</v>
      </c>
      <c r="D1075" s="2" t="s">
        <v>9</v>
      </c>
      <c r="E1075" s="2" t="s">
        <v>10</v>
      </c>
      <c r="F1075" s="2" t="s">
        <v>11</v>
      </c>
      <c r="G1075" s="2" t="s">
        <v>12</v>
      </c>
      <c r="H1075" s="2" t="s">
        <v>13</v>
      </c>
      <c r="I1075" s="2" t="s">
        <v>14</v>
      </c>
      <c r="J1075" s="2" t="s">
        <v>15</v>
      </c>
      <c r="K1075" s="2" t="s">
        <v>16</v>
      </c>
      <c r="L1075" s="2" t="s">
        <v>17</v>
      </c>
    </row>
    <row r="1076" spans="1:12" x14ac:dyDescent="0.25">
      <c r="A1076" s="3">
        <v>45689</v>
      </c>
      <c r="B1076" t="s">
        <v>108</v>
      </c>
      <c r="C1076" s="3">
        <v>45689.123807870375</v>
      </c>
      <c r="D1076" t="s">
        <v>237</v>
      </c>
      <c r="E1076" s="4">
        <v>52.039000000000001</v>
      </c>
      <c r="F1076" s="4">
        <v>100590.139</v>
      </c>
      <c r="G1076" s="4">
        <v>100642.178</v>
      </c>
      <c r="H1076" s="5">
        <f>5120 / 86400</f>
        <v>5.9259259259259262E-2</v>
      </c>
      <c r="I1076" t="s">
        <v>140</v>
      </c>
      <c r="J1076" t="s">
        <v>23</v>
      </c>
      <c r="K1076" s="5">
        <f>10697 / 86400</f>
        <v>0.12380787037037037</v>
      </c>
      <c r="L1076" s="5">
        <f>8 / 86400</f>
        <v>9.2592592592592588E-5</v>
      </c>
    </row>
    <row r="1077" spans="1:12" x14ac:dyDescent="0.25">
      <c r="A1077" s="3">
        <v>45689.123900462961</v>
      </c>
      <c r="B1077" t="s">
        <v>237</v>
      </c>
      <c r="C1077" s="3">
        <v>45689.133368055554</v>
      </c>
      <c r="D1077" t="s">
        <v>101</v>
      </c>
      <c r="E1077" s="4">
        <v>5.7539999999999996</v>
      </c>
      <c r="F1077" s="4">
        <v>100642.178</v>
      </c>
      <c r="G1077" s="4">
        <v>100647.932</v>
      </c>
      <c r="H1077" s="5">
        <f>322 / 86400</f>
        <v>3.7268518518518519E-3</v>
      </c>
      <c r="I1077" t="s">
        <v>257</v>
      </c>
      <c r="J1077" t="s">
        <v>123</v>
      </c>
      <c r="K1077" s="5">
        <f>818 / 86400</f>
        <v>9.4675925925925934E-3</v>
      </c>
      <c r="L1077" s="5">
        <f>483 / 86400</f>
        <v>5.5902777777777773E-3</v>
      </c>
    </row>
    <row r="1078" spans="1:12" x14ac:dyDescent="0.25">
      <c r="A1078" s="3">
        <v>45689.138958333337</v>
      </c>
      <c r="B1078" t="s">
        <v>101</v>
      </c>
      <c r="C1078" s="3">
        <v>45689.139872685184</v>
      </c>
      <c r="D1078" t="s">
        <v>101</v>
      </c>
      <c r="E1078" s="4">
        <v>6.8000000000000005E-2</v>
      </c>
      <c r="F1078" s="4">
        <v>100647.932</v>
      </c>
      <c r="G1078" s="4">
        <v>100648</v>
      </c>
      <c r="H1078" s="5">
        <f>20 / 86400</f>
        <v>2.3148148148148149E-4</v>
      </c>
      <c r="I1078" t="s">
        <v>31</v>
      </c>
      <c r="J1078" t="s">
        <v>121</v>
      </c>
      <c r="K1078" s="5">
        <f>79 / 86400</f>
        <v>9.1435185185185185E-4</v>
      </c>
      <c r="L1078" s="5">
        <f>1773 / 86400</f>
        <v>2.0520833333333332E-2</v>
      </c>
    </row>
    <row r="1079" spans="1:12" x14ac:dyDescent="0.25">
      <c r="A1079" s="3">
        <v>45689.160393518519</v>
      </c>
      <c r="B1079" t="s">
        <v>101</v>
      </c>
      <c r="C1079" s="3">
        <v>45689.161828703705</v>
      </c>
      <c r="D1079" t="s">
        <v>101</v>
      </c>
      <c r="E1079" s="4">
        <v>3.4000000000000002E-2</v>
      </c>
      <c r="F1079" s="4">
        <v>100648</v>
      </c>
      <c r="G1079" s="4">
        <v>100648.034</v>
      </c>
      <c r="H1079" s="5">
        <f>76 / 86400</f>
        <v>8.7962962962962962E-4</v>
      </c>
      <c r="I1079" t="s">
        <v>92</v>
      </c>
      <c r="J1079" t="s">
        <v>100</v>
      </c>
      <c r="K1079" s="5">
        <f>124 / 86400</f>
        <v>1.4351851851851852E-3</v>
      </c>
      <c r="L1079" s="5">
        <f>27797 / 86400</f>
        <v>0.32172453703703702</v>
      </c>
    </row>
    <row r="1080" spans="1:12" x14ac:dyDescent="0.25">
      <c r="A1080" s="3">
        <v>45689.483553240745</v>
      </c>
      <c r="B1080" t="s">
        <v>101</v>
      </c>
      <c r="C1080" s="3">
        <v>45689.488553240742</v>
      </c>
      <c r="D1080" t="s">
        <v>139</v>
      </c>
      <c r="E1080" s="4">
        <v>1.98</v>
      </c>
      <c r="F1080" s="4">
        <v>100648.034</v>
      </c>
      <c r="G1080" s="4">
        <v>100650.014</v>
      </c>
      <c r="H1080" s="5">
        <f>100 / 86400</f>
        <v>1.1574074074074073E-3</v>
      </c>
      <c r="I1080" t="s">
        <v>178</v>
      </c>
      <c r="J1080" t="s">
        <v>30</v>
      </c>
      <c r="K1080" s="5">
        <f>432 / 86400</f>
        <v>5.0000000000000001E-3</v>
      </c>
      <c r="L1080" s="5">
        <f>92 / 86400</f>
        <v>1.0648148148148149E-3</v>
      </c>
    </row>
    <row r="1081" spans="1:12" x14ac:dyDescent="0.25">
      <c r="A1081" s="3">
        <v>45689.489618055552</v>
      </c>
      <c r="B1081" t="s">
        <v>139</v>
      </c>
      <c r="C1081" s="3">
        <v>45689.596284722225</v>
      </c>
      <c r="D1081" t="s">
        <v>423</v>
      </c>
      <c r="E1081" s="4">
        <v>48.551000000000002</v>
      </c>
      <c r="F1081" s="4">
        <v>100650.014</v>
      </c>
      <c r="G1081" s="4">
        <v>100698.565</v>
      </c>
      <c r="H1081" s="5">
        <f>2658 / 86400</f>
        <v>3.0763888888888889E-2</v>
      </c>
      <c r="I1081" t="s">
        <v>29</v>
      </c>
      <c r="J1081" t="s">
        <v>49</v>
      </c>
      <c r="K1081" s="5">
        <f>9216 / 86400</f>
        <v>0.10666666666666667</v>
      </c>
      <c r="L1081" s="5">
        <f>836 / 86400</f>
        <v>9.6759259259259264E-3</v>
      </c>
    </row>
    <row r="1082" spans="1:12" x14ac:dyDescent="0.25">
      <c r="A1082" s="3">
        <v>45689.605960648143</v>
      </c>
      <c r="B1082" t="s">
        <v>423</v>
      </c>
      <c r="C1082" s="3">
        <v>45689.828298611115</v>
      </c>
      <c r="D1082" t="s">
        <v>204</v>
      </c>
      <c r="E1082" s="4">
        <v>93.257999999999996</v>
      </c>
      <c r="F1082" s="4">
        <v>100698.565</v>
      </c>
      <c r="G1082" s="4">
        <v>100791.823</v>
      </c>
      <c r="H1082" s="5">
        <f>7465 / 86400</f>
        <v>8.6400462962962957E-2</v>
      </c>
      <c r="I1082" t="s">
        <v>77</v>
      </c>
      <c r="J1082" t="s">
        <v>30</v>
      </c>
      <c r="K1082" s="5">
        <f>19210 / 86400</f>
        <v>0.22233796296296296</v>
      </c>
      <c r="L1082" s="5">
        <f>453 / 86400</f>
        <v>5.2430555555555555E-3</v>
      </c>
    </row>
    <row r="1083" spans="1:12" x14ac:dyDescent="0.25">
      <c r="A1083" s="3">
        <v>45689.833541666667</v>
      </c>
      <c r="B1083" t="s">
        <v>204</v>
      </c>
      <c r="C1083" s="3">
        <v>45689.99998842593</v>
      </c>
      <c r="D1083" t="s">
        <v>109</v>
      </c>
      <c r="E1083" s="4">
        <v>79.256</v>
      </c>
      <c r="F1083" s="4">
        <v>100791.823</v>
      </c>
      <c r="G1083" s="4">
        <v>100871.079</v>
      </c>
      <c r="H1083" s="5">
        <f>5275 / 86400</f>
        <v>6.1053240740740741E-2</v>
      </c>
      <c r="I1083" t="s">
        <v>110</v>
      </c>
      <c r="J1083" t="s">
        <v>62</v>
      </c>
      <c r="K1083" s="5">
        <f>14381 / 86400</f>
        <v>0.16644675925925925</v>
      </c>
      <c r="L1083" s="5">
        <f>0 / 86400</f>
        <v>0</v>
      </c>
    </row>
    <row r="1084" spans="1:12" x14ac:dyDescent="0.25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</row>
    <row r="1085" spans="1:12" x14ac:dyDescent="0.25">
      <c r="A1085" s="12" t="s">
        <v>112</v>
      </c>
      <c r="B1085" s="12"/>
      <c r="C1085" s="12"/>
      <c r="D1085" s="12"/>
      <c r="E1085" s="12"/>
      <c r="F1085" s="12"/>
      <c r="G1085" s="12"/>
      <c r="H1085" s="12"/>
      <c r="I1085" s="12"/>
      <c r="J1085" s="12"/>
    </row>
  </sheetData>
  <autoFilter ref="A7:M7" xr:uid="{00000000-0001-0000-0000-000000000000}"/>
  <mergeCells count="198">
    <mergeCell ref="A1085:J1085"/>
    <mergeCell ref="A1051:J1051"/>
    <mergeCell ref="A1052:J1052"/>
    <mergeCell ref="A1053:J1053"/>
    <mergeCell ref="A1054:J1054"/>
    <mergeCell ref="A1071:J1071"/>
    <mergeCell ref="A1072:J1072"/>
    <mergeCell ref="A1073:J1073"/>
    <mergeCell ref="A1074:J1074"/>
    <mergeCell ref="A1084:J1084"/>
    <mergeCell ref="A1015:J1015"/>
    <mergeCell ref="A1023:J1023"/>
    <mergeCell ref="A1024:J1024"/>
    <mergeCell ref="A1025:J1025"/>
    <mergeCell ref="A1026:J1026"/>
    <mergeCell ref="A1037:J1037"/>
    <mergeCell ref="A1038:J1038"/>
    <mergeCell ref="A1039:J1039"/>
    <mergeCell ref="A1040:J1040"/>
    <mergeCell ref="A944:J944"/>
    <mergeCell ref="A945:J945"/>
    <mergeCell ref="A997:J997"/>
    <mergeCell ref="A998:J998"/>
    <mergeCell ref="A999:J999"/>
    <mergeCell ref="A1000:J1000"/>
    <mergeCell ref="A1012:J1012"/>
    <mergeCell ref="A1013:J1013"/>
    <mergeCell ref="A1014:J1014"/>
    <mergeCell ref="A924:J924"/>
    <mergeCell ref="A925:J925"/>
    <mergeCell ref="A926:J926"/>
    <mergeCell ref="A935:J935"/>
    <mergeCell ref="A936:J936"/>
    <mergeCell ref="A937:J937"/>
    <mergeCell ref="A938:J938"/>
    <mergeCell ref="A942:J942"/>
    <mergeCell ref="A943:J943"/>
    <mergeCell ref="A899:J899"/>
    <mergeCell ref="A900:J900"/>
    <mergeCell ref="A901:J901"/>
    <mergeCell ref="A902:J902"/>
    <mergeCell ref="A914:J914"/>
    <mergeCell ref="A915:J915"/>
    <mergeCell ref="A916:J916"/>
    <mergeCell ref="A917:J917"/>
    <mergeCell ref="A923:J923"/>
    <mergeCell ref="A862:J862"/>
    <mergeCell ref="A869:J869"/>
    <mergeCell ref="A870:J870"/>
    <mergeCell ref="A871:J871"/>
    <mergeCell ref="A872:J872"/>
    <mergeCell ref="A880:J880"/>
    <mergeCell ref="A881:J881"/>
    <mergeCell ref="A882:J882"/>
    <mergeCell ref="A883:J883"/>
    <mergeCell ref="A839:J839"/>
    <mergeCell ref="A840:J840"/>
    <mergeCell ref="A843:J843"/>
    <mergeCell ref="A844:J844"/>
    <mergeCell ref="A845:J845"/>
    <mergeCell ref="A846:J846"/>
    <mergeCell ref="A859:J859"/>
    <mergeCell ref="A860:J860"/>
    <mergeCell ref="A861:J861"/>
    <mergeCell ref="A798:J798"/>
    <mergeCell ref="A799:J799"/>
    <mergeCell ref="A800:J800"/>
    <mergeCell ref="A814:J814"/>
    <mergeCell ref="A815:J815"/>
    <mergeCell ref="A816:J816"/>
    <mergeCell ref="A817:J817"/>
    <mergeCell ref="A837:J837"/>
    <mergeCell ref="A838:J838"/>
    <mergeCell ref="A772:J772"/>
    <mergeCell ref="A773:J773"/>
    <mergeCell ref="A774:J774"/>
    <mergeCell ref="A775:J775"/>
    <mergeCell ref="A782:J782"/>
    <mergeCell ref="A783:J783"/>
    <mergeCell ref="A784:J784"/>
    <mergeCell ref="A785:J785"/>
    <mergeCell ref="A797:J797"/>
    <mergeCell ref="A730:J730"/>
    <mergeCell ref="A737:J737"/>
    <mergeCell ref="A738:J738"/>
    <mergeCell ref="A739:J739"/>
    <mergeCell ref="A740:J740"/>
    <mergeCell ref="A749:J749"/>
    <mergeCell ref="A750:J750"/>
    <mergeCell ref="A751:J751"/>
    <mergeCell ref="A752:J752"/>
    <mergeCell ref="A707:J707"/>
    <mergeCell ref="A708:J708"/>
    <mergeCell ref="A717:J717"/>
    <mergeCell ref="A718:J718"/>
    <mergeCell ref="A719:J719"/>
    <mergeCell ref="A720:J720"/>
    <mergeCell ref="A727:J727"/>
    <mergeCell ref="A728:J728"/>
    <mergeCell ref="A729:J729"/>
    <mergeCell ref="A682:J682"/>
    <mergeCell ref="A683:J683"/>
    <mergeCell ref="A684:J684"/>
    <mergeCell ref="A691:J691"/>
    <mergeCell ref="A692:J692"/>
    <mergeCell ref="A693:J693"/>
    <mergeCell ref="A694:J694"/>
    <mergeCell ref="A705:J705"/>
    <mergeCell ref="A706:J706"/>
    <mergeCell ref="A655:J655"/>
    <mergeCell ref="A656:J656"/>
    <mergeCell ref="A657:J657"/>
    <mergeCell ref="A658:J658"/>
    <mergeCell ref="A665:J665"/>
    <mergeCell ref="A666:J666"/>
    <mergeCell ref="A667:J667"/>
    <mergeCell ref="A668:J668"/>
    <mergeCell ref="A681:J681"/>
    <mergeCell ref="A621:J621"/>
    <mergeCell ref="A624:J624"/>
    <mergeCell ref="A625:J625"/>
    <mergeCell ref="A626:J626"/>
    <mergeCell ref="A627:J627"/>
    <mergeCell ref="A640:J640"/>
    <mergeCell ref="A641:J641"/>
    <mergeCell ref="A642:J642"/>
    <mergeCell ref="A643:J643"/>
    <mergeCell ref="A586:J586"/>
    <mergeCell ref="A587:J587"/>
    <mergeCell ref="A602:J602"/>
    <mergeCell ref="A603:J603"/>
    <mergeCell ref="A604:J604"/>
    <mergeCell ref="A605:J605"/>
    <mergeCell ref="A618:J618"/>
    <mergeCell ref="A619:J619"/>
    <mergeCell ref="A620:J620"/>
    <mergeCell ref="A550:J550"/>
    <mergeCell ref="A551:J551"/>
    <mergeCell ref="A552:J552"/>
    <mergeCell ref="A572:J572"/>
    <mergeCell ref="A573:J573"/>
    <mergeCell ref="A574:J574"/>
    <mergeCell ref="A575:J575"/>
    <mergeCell ref="A584:J584"/>
    <mergeCell ref="A585:J585"/>
    <mergeCell ref="A513:J513"/>
    <mergeCell ref="A514:J514"/>
    <mergeCell ref="A515:J515"/>
    <mergeCell ref="A516:J516"/>
    <mergeCell ref="A538:J538"/>
    <mergeCell ref="A539:J539"/>
    <mergeCell ref="A540:J540"/>
    <mergeCell ref="A541:J541"/>
    <mergeCell ref="A549:J549"/>
    <mergeCell ref="A164:J164"/>
    <mergeCell ref="A490:J490"/>
    <mergeCell ref="A491:J491"/>
    <mergeCell ref="A492:J492"/>
    <mergeCell ref="A493:J493"/>
    <mergeCell ref="A501:J501"/>
    <mergeCell ref="A502:J502"/>
    <mergeCell ref="A503:J503"/>
    <mergeCell ref="A504:J504"/>
    <mergeCell ref="A128:J128"/>
    <mergeCell ref="A129:J129"/>
    <mergeCell ref="A141:J141"/>
    <mergeCell ref="A142:J142"/>
    <mergeCell ref="A143:J143"/>
    <mergeCell ref="A144:J144"/>
    <mergeCell ref="A161:J161"/>
    <mergeCell ref="A162:J162"/>
    <mergeCell ref="A163:J163"/>
    <mergeCell ref="A90:J90"/>
    <mergeCell ref="A91:J91"/>
    <mergeCell ref="A92:J92"/>
    <mergeCell ref="A104:J104"/>
    <mergeCell ref="A105:J105"/>
    <mergeCell ref="A106:J106"/>
    <mergeCell ref="A107:J107"/>
    <mergeCell ref="A126:J126"/>
    <mergeCell ref="A127:J127"/>
    <mergeCell ref="A58:J58"/>
    <mergeCell ref="A59:J59"/>
    <mergeCell ref="A60:J60"/>
    <mergeCell ref="A61:J61"/>
    <mergeCell ref="A71:J71"/>
    <mergeCell ref="A72:J72"/>
    <mergeCell ref="A73:J73"/>
    <mergeCell ref="A74:J74"/>
    <mergeCell ref="A89:J89"/>
    <mergeCell ref="A1:J1"/>
    <mergeCell ref="A2:J2"/>
    <mergeCell ref="A3:J3"/>
    <mergeCell ref="A4:J4"/>
    <mergeCell ref="A5:J5"/>
    <mergeCell ref="A6:J6"/>
    <mergeCell ref="A56:J56"/>
    <mergeCell ref="A57:J57"/>
  </mergeCells>
  <phoneticPr fontId="5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2025-09-22T19:45:36Z</dcterms:created>
  <dcterms:modified xsi:type="dcterms:W3CDTF">2025-09-23T04:56:57Z</dcterms:modified>
</cp:coreProperties>
</file>