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/>
  <xr:revisionPtr revIDLastSave="0" documentId="13_ncr:1_{079EACA0-EA60-445D-9981-F9D860F252A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918" i="1" l="1"/>
  <c r="K918" i="1"/>
  <c r="H918" i="1"/>
  <c r="L917" i="1"/>
  <c r="K917" i="1"/>
  <c r="H917" i="1"/>
  <c r="L916" i="1"/>
  <c r="K916" i="1"/>
  <c r="H916" i="1"/>
  <c r="L915" i="1"/>
  <c r="K915" i="1"/>
  <c r="H915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79" i="1"/>
  <c r="K879" i="1"/>
  <c r="H879" i="1"/>
  <c r="L878" i="1"/>
  <c r="K878" i="1"/>
  <c r="H878" i="1"/>
  <c r="L877" i="1"/>
  <c r="K877" i="1"/>
  <c r="H877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56" i="1"/>
  <c r="K756" i="1"/>
  <c r="H756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3" i="1"/>
  <c r="K743" i="1"/>
  <c r="H743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17" i="1"/>
  <c r="K617" i="1"/>
  <c r="H617" i="1"/>
  <c r="L616" i="1"/>
  <c r="K616" i="1"/>
  <c r="H616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36" i="1"/>
  <c r="K536" i="1"/>
  <c r="H536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0" i="1"/>
  <c r="K480" i="1"/>
  <c r="H480" i="1"/>
  <c r="L479" i="1"/>
  <c r="K479" i="1"/>
  <c r="H479" i="1"/>
  <c r="L478" i="1"/>
  <c r="K478" i="1"/>
  <c r="H478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3" i="1"/>
  <c r="K433" i="1"/>
  <c r="H433" i="1"/>
  <c r="L432" i="1"/>
  <c r="K432" i="1"/>
  <c r="H432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1" i="1"/>
  <c r="K391" i="1"/>
  <c r="H391" i="1"/>
  <c r="L385" i="1"/>
  <c r="K385" i="1"/>
  <c r="H385" i="1"/>
  <c r="L384" i="1"/>
  <c r="K384" i="1"/>
  <c r="H384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69" i="1"/>
  <c r="K269" i="1"/>
  <c r="H269" i="1"/>
  <c r="L268" i="1"/>
  <c r="K268" i="1"/>
  <c r="H268" i="1"/>
  <c r="L267" i="1"/>
  <c r="K267" i="1"/>
  <c r="H267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L75" i="1"/>
  <c r="K75" i="1"/>
  <c r="H75" i="1"/>
  <c r="L74" i="1"/>
  <c r="K74" i="1"/>
  <c r="H74" i="1"/>
  <c r="L73" i="1"/>
  <c r="K73" i="1"/>
  <c r="H73" i="1"/>
  <c r="L72" i="1"/>
  <c r="K72" i="1"/>
  <c r="H72" i="1"/>
  <c r="L71" i="1"/>
  <c r="K71" i="1"/>
  <c r="H71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<sst xmlns="http://schemas.openxmlformats.org/spreadsheetml/2006/main" count="3331" uniqueCount="360">
  <si>
    <t>Informe de trayectos</t>
  </si>
  <si>
    <t>Periodo: 2 de febrero de 2025 0:00 - 2 de febrero de 2025 23:59</t>
  </si>
  <si>
    <t>Informe generado</t>
  </si>
  <si>
    <t>a: 22 de septiembre de 2025 15:06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</si>
  <si>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</si>
  <si>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</si>
  <si>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</si>
  <si>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</si>
  <si>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</si>
  <si>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</si>
  <si>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</si>
  <si>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</si>
  <si>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</si>
  <si>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</si>
  <si>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</si>
  <si>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</si>
  <si>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</si>
  <si>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</si>
  <si>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</si>
  <si>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81 km/h</t>
  </si>
  <si>
    <t>19 km/h</t>
  </si>
  <si>
    <t>Los Huancas, Ate, Lima Metropolitana, Lima, 15483, Perú</t>
  </si>
  <si>
    <t>Ate, Lima Metropolitana, Lima, 15474, Perú</t>
  </si>
  <si>
    <t>39 km/h</t>
  </si>
  <si>
    <t>10 km/h</t>
  </si>
  <si>
    <t>Ate, Lima Metropolitana, Lima, 15483, Perú</t>
  </si>
  <si>
    <t>77 km/h</t>
  </si>
  <si>
    <t>17 km/h</t>
  </si>
  <si>
    <t>Calle Manantiales de Vida, Ate, Lima Metropolitana, Lima, 15487, Perú</t>
  </si>
  <si>
    <t>83 km/h</t>
  </si>
  <si>
    <t>21 km/h</t>
  </si>
  <si>
    <t>76 km/h</t>
  </si>
  <si>
    <t>82 km/h</t>
  </si>
  <si>
    <t>18 km/h</t>
  </si>
  <si>
    <t>Avenida Nicolás Ayllón, Chaclacayo, Lima Metropolitana, Lima, 15472, Perú</t>
  </si>
  <si>
    <t>88 km/h</t>
  </si>
  <si>
    <t>43 km/h</t>
  </si>
  <si>
    <t>Carretera Central, Chaclacayo, Lima Metropolitana, Lima, 15476, Perú</t>
  </si>
  <si>
    <t>6 km/h</t>
  </si>
  <si>
    <t>0 km/h</t>
  </si>
  <si>
    <t>Calle los Alamos, Chosica, Lima Metropolitana, Lima, 15468, Perú</t>
  </si>
  <si>
    <t>1 km/h</t>
  </si>
  <si>
    <t>Calle Las Gardenias, Ricardo Palma, Huarochirí, Lima, 15468, Perú</t>
  </si>
  <si>
    <t>75 km/h</t>
  </si>
  <si>
    <t>Avenida José Santos Chocano, Ricardo Palma, Huarochirí, Lima, 15468, Perú</t>
  </si>
  <si>
    <t>71 km/h</t>
  </si>
  <si>
    <t>Calle A, Chosica, Lima Metropolitana, Lima, 15468, Perú</t>
  </si>
  <si>
    <t>Avenida Lima Norte, Santa Eulalia, Lima Metropolitana, Lima, 15468, Perú</t>
  </si>
  <si>
    <t>Avenida José Carlos Mariátegui, Ricardo Palma, Huarochirí, Lima, 15468, Perú</t>
  </si>
  <si>
    <t>Avenida Lima Sur, Chosica, Lima Metropolitana, Lima, 15468, Perú, (Ruta4507nueva era 23-10-23)</t>
  </si>
  <si>
    <t>80 km/h</t>
  </si>
  <si>
    <t>28 km/h</t>
  </si>
  <si>
    <t>Carretera Central, 200, Chaclacayo, Lima Metropolitana, Lima, 15476, Perú</t>
  </si>
  <si>
    <t>Calle Huayna Cápac, 200, Chaclacayo, Lima Metropolitana, Lima, 15474, Perú</t>
  </si>
  <si>
    <t>Calle Nueva Los Alamos, Santa Eulalia, Huarochirí, Lima, 15468, Perú</t>
  </si>
  <si>
    <t>91 km/h</t>
  </si>
  <si>
    <t>Calle Cerro de Pasco, Ate, Lima Metropolitana, Lima, 15498, Perú</t>
  </si>
  <si>
    <t>72 km/h</t>
  </si>
  <si>
    <t>20 km/h</t>
  </si>
  <si>
    <t>Avenida Bernard de Balaguer, Lurigancho, Lima Metropolitana, Lima, 15464, Perú</t>
  </si>
  <si>
    <t>5 km/h</t>
  </si>
  <si>
    <t>Pasaje A, Ate, Lima Metropolitana, Lima, 15487, Perú</t>
  </si>
  <si>
    <t>84 km/h</t>
  </si>
  <si>
    <t>Calle 1, Ate, Lima Metropolitana, Lima, 15483, Perú</t>
  </si>
  <si>
    <t>89 km/h</t>
  </si>
  <si>
    <t>Carretera Central, Chaclacayo, Lima Metropolitana, Lima, 15474, Perú, (Ruta4507nueva era 23-10-23)</t>
  </si>
  <si>
    <t>Avenida Las Retamas, Chaclacayo, Lima Metropolitana, Lima, 15474, Perú</t>
  </si>
  <si>
    <t>65 km/h</t>
  </si>
  <si>
    <t>Calle Leoncio Prado, Santa Eulalia, Huarochirí, Lima, 15468, Perú</t>
  </si>
  <si>
    <t>35 km/h</t>
  </si>
  <si>
    <t>Calle Los Topacios, Lurigancho, Lima Metropolitana, Lima, 15472, Perú</t>
  </si>
  <si>
    <t>Carretera Panamericana Sur, Punta Negra, Lima Metropolitana, Lima, 15851, Perú</t>
  </si>
  <si>
    <t>Avenida Alfonso Cobián, Chaclacayo, Lima Metropolitana, Lima, 15476, Perú</t>
  </si>
  <si>
    <t>Prolongación Javier Prado Este, Ate, Lima Metropolitana, Lima, 15498, Perú, (RUTA DESVIO TEM.  4507)</t>
  </si>
  <si>
    <t>94 km/h</t>
  </si>
  <si>
    <t>3 km/h</t>
  </si>
  <si>
    <t>Calle 11, Santa Anita, Lima Metropolitana, Lima, 15009, Perú</t>
  </si>
  <si>
    <t>Avenida Camino Real, Santa Anita, Lima Metropolitana, Lima, 15009, Perú</t>
  </si>
  <si>
    <t>Avenida 28 de Julio, 798, Lima, Lima Metropolitana, Lima, 15083, Perú</t>
  </si>
  <si>
    <t>2 km/h</t>
  </si>
  <si>
    <t>Jirón Argentina, Chosica, Lima Metropolitana, Lima, 15468, Perú</t>
  </si>
  <si>
    <t>Avenida Enrique Guzmán y Valle, Chosica, Lima Metropolitana, Lima, 15468, Perú</t>
  </si>
  <si>
    <t>Calle Los Álamos, Ate, Lima Metropolitana, Lima, 15483, Perú</t>
  </si>
  <si>
    <t>79 km/h</t>
  </si>
  <si>
    <t>22 km/h</t>
  </si>
  <si>
    <t>Carretera Central, Ate, Lima Metropolitana, Lima, 15474, Perú, (Horacio Zeballos)</t>
  </si>
  <si>
    <t>23 km/h</t>
  </si>
  <si>
    <t>34 km/h</t>
  </si>
  <si>
    <t>9 km/h</t>
  </si>
  <si>
    <t>Avenida Huancaray, Santa Anita, Lima Metropolitana, Lima, 15007, Perú, (RUTA DESVIO TEM.  4507)</t>
  </si>
  <si>
    <t>Santa Eulalia, Huarochirí, Lima, 15468, Perú</t>
  </si>
  <si>
    <t>7 km/h</t>
  </si>
  <si>
    <t>Calle 11, Ate, Lima Metropolitana, Lima, 15483, Perú</t>
  </si>
  <si>
    <t>42 km/h</t>
  </si>
  <si>
    <t>Avenida Lima Norte, Chosica, Lima Metropolitana, Lima, 15468, Perú</t>
  </si>
  <si>
    <t>Corcona, Huarochirí, Lima, Perú</t>
  </si>
  <si>
    <t>62 km/h</t>
  </si>
  <si>
    <t>16 km/h</t>
  </si>
  <si>
    <t>Lurigancho, Lima Metropolitana, Lima, 15468, Perú</t>
  </si>
  <si>
    <t>Metropolitano, Lima, Lima Metropolitana, Lima, 15001, Perú, (Ruta4507nueva era 23-10-23)</t>
  </si>
  <si>
    <t>Calle 28 de Diciembre, San Luis, Lima Metropolitana, Lima, 15019, Perú, (Ruta4507nueva era 23-10-23)</t>
  </si>
  <si>
    <t>109 km/h</t>
  </si>
  <si>
    <t>Avenida Los Incas, Ate, Lima Metropolitana, Lima, 15483, Perú</t>
  </si>
  <si>
    <t>86 km/h</t>
  </si>
  <si>
    <t>Avenida Micaela Bastidas, 561, Santa Eulalia, Huarochirí, Lima, 15468, Perú</t>
  </si>
  <si>
    <t>Calle Alhelíes, Chaclacayo, Lima Metropolitana, Lima, 15476, Perú</t>
  </si>
  <si>
    <t>73 km/h</t>
  </si>
  <si>
    <t>Calle A, Chaclacayo, Lima Metropolitana, Lima, 15474, Perú</t>
  </si>
  <si>
    <t>Calle Estocolmo, Ate, Lima Metropolitana, Lima, 15498, Perú</t>
  </si>
  <si>
    <t>Avenida Huancaray, Santa Anita, Lima Metropolitana, Lima, 15009, Perú, (RUTA DESVIO TEM.  4507)</t>
  </si>
  <si>
    <t>Avenida Las Flores, Chosica, Lima Metropolitana, Lima, 15468, Perú, (Ruta4507nueva era 23-10-23)</t>
  </si>
  <si>
    <t>97 km/h</t>
  </si>
  <si>
    <t>Carretera Central, Ate, Lima Metropolitana, Lima, 15474, Perú</t>
  </si>
  <si>
    <t>Avenida Nicolás de Ayllón, Ate, Lima Metropolitana, Lima, 15498, Perú, (Ruta4507nueva era 23-10-23)</t>
  </si>
  <si>
    <t>Calle 3, Ate, Lima Metropolitana, Lima, 15487, Perú</t>
  </si>
  <si>
    <t>Avenida Nicolás de Ayllón, Ate, Lima Metropolitana, Lima, 15487, Perú, (Ruta4507nueva era 23-10-23)</t>
  </si>
  <si>
    <t>68 km/h</t>
  </si>
  <si>
    <t>Carretera Central, Chaclacayo, Lima Metropolitana, Lima, 15476, Perú, (Ruta4507nueva era 23-10-23)</t>
  </si>
  <si>
    <t>87 km/h</t>
  </si>
  <si>
    <t>Avenida Las Retamas, Ricardo Palma, Huarochirí, Lima, 15468, Perú</t>
  </si>
  <si>
    <t>95 km/h</t>
  </si>
  <si>
    <t>Totales:</t>
  </si>
  <si>
    <t/>
  </si>
  <si>
    <t>* Los datos de combustible se calculan de acuerdo con el consumo medio de combustible del vehículo especificado en su configuración</t>
  </si>
  <si>
    <t>Prolongación Javier Prado Este, Ate, Lima Metropolitana, Lima, 15498, Perú</t>
  </si>
  <si>
    <t>12 km/h</t>
  </si>
  <si>
    <t>30 km/h</t>
  </si>
  <si>
    <t>14 km/h</t>
  </si>
  <si>
    <t>Jose Carlos Mariátegui, Ricardo Palma, Lima Metropolitana, Lima, 15468, Perú, (PARADERO RICARDO PALMA)</t>
  </si>
  <si>
    <t>Avenida Nicolás de Ayllón, Ate, Lima Metropolitana, Lima, 15008, Perú, (Ruta4507nueva era 23-10-23, RUTA DESVIO TEM.  4507)</t>
  </si>
  <si>
    <t>Chosica, Lima Metropolitana, Lima, 15468, Perú</t>
  </si>
  <si>
    <t>Jirón Arequipa, 208, Chosica, Lima Metropolitana, Lima, 15468, Perú</t>
  </si>
  <si>
    <t>26 km/h</t>
  </si>
  <si>
    <t>Calle Berlín, Ate, Lima Metropolitana, Lima, 15498, Perú, (RUTA DESVIO TEM.  4507)</t>
  </si>
  <si>
    <t>36 km/h</t>
  </si>
  <si>
    <t>38 km/h</t>
  </si>
  <si>
    <t>32 km/h</t>
  </si>
  <si>
    <t>Calle Del Malecon, Lurigancho, Lima Metropolitana, Lima, 15472, Perú</t>
  </si>
  <si>
    <t>67 km/h</t>
  </si>
  <si>
    <t>15 km/h</t>
  </si>
  <si>
    <t>Avenida Simón Bolívar, Santa Eulalia, Huarochirí, Lima, 15468, Perú</t>
  </si>
  <si>
    <t>51 km/h</t>
  </si>
  <si>
    <t>Avenida Simón Bolívar, Santa Eulalia, Huarochirí, Lima, 15468, Perú, (Ruta4507nueva era 23-10-23)</t>
  </si>
  <si>
    <t>Ricardo Palma, Huarochirí, Lima, 15468, Perú, (Ruta4507nueva era 23-10-23)</t>
  </si>
  <si>
    <t>11 km/h</t>
  </si>
  <si>
    <t>Ricardo Palma, Huarochirí, Lima, 15468, Perú, (CURVA RICARDO PALMA, Ruta4507nueva era 23-10-23)</t>
  </si>
  <si>
    <t>Avenida Lima Norte, Santa Eulalia, Huarochirí, Lima, 15468, Perú, (Ruta4507nueva era 23-10-23)</t>
  </si>
  <si>
    <t>50 km/h</t>
  </si>
  <si>
    <t>Chaclacayo, Lima Metropolitana, Lima, 15472, Perú</t>
  </si>
  <si>
    <t>33 km/h</t>
  </si>
  <si>
    <t>58 km/h</t>
  </si>
  <si>
    <t>13 km/h</t>
  </si>
  <si>
    <t>Avenida José Carlos Mariátegui, Ricardo Palma, Huarochirí, Lima, 15468, Perú, (Ruta4507nueva era 23-10-23)</t>
  </si>
  <si>
    <t>37 km/h</t>
  </si>
  <si>
    <t>Jirón Sánchez Pinillos, Lima, Lima Metropolitana, Lima, 15082, Perú</t>
  </si>
  <si>
    <t>Avenida 5 de Setiembre, Ricardo Palma, Huarochirí, Lima, 15468, Perú, (Ruta4507nueva era 23-10-23)</t>
  </si>
  <si>
    <t>27 km/h</t>
  </si>
  <si>
    <t>Avenida Colectora Industrial, Santa Anita, Lima Metropolitana, Lima, 15009, Perú</t>
  </si>
  <si>
    <t>Avenida De Las Torres, San Luis, Lima Metropolitana, Lima, 15022, Perú</t>
  </si>
  <si>
    <t>25 km/h</t>
  </si>
  <si>
    <t>Carretera Central, Ate, Lima Metropolitana, Lima, 15487, Perú, (S06 SANTA CLARA)</t>
  </si>
  <si>
    <t>63 km/h</t>
  </si>
  <si>
    <t>Carretera Central, Ate, Lima Metropolitana, Lima, 15487, Perú, (S06 SANTA CLARA, Ruta4507nueva era 23-10-23)</t>
  </si>
  <si>
    <t>4 km/h</t>
  </si>
  <si>
    <t>Carretera Central, Ate, Lima Metropolitana, Lima, 15487, Perú, (Ruta4507nueva era 23-10-23)</t>
  </si>
  <si>
    <t>Chaclacayo, Lima Metropolitana, Lima, 15476, Perú</t>
  </si>
  <si>
    <t>55 km/h</t>
  </si>
  <si>
    <t>Carretera Central, Ricardo Palma, Huarochirí, Lima, 15468, Perú</t>
  </si>
  <si>
    <t>31 km/h</t>
  </si>
  <si>
    <t>Avenida Andrés Avelino Cáceres, Ate, Lima Metropolitana, Lima, 15483, Perú</t>
  </si>
  <si>
    <t>Avenida Nicolás de Ayllón, Ate, Lima Metropolitana, Lima, 15002, Perú, (Ruta4507nueva era 23-10-23, RUTA DESVIO TEM.  4507)</t>
  </si>
  <si>
    <t>61 km/h</t>
  </si>
  <si>
    <t>Jirón Huarochirí, 643, Lima, Lima Metropolitana, Lima, 15082, Perú</t>
  </si>
  <si>
    <t>8 km/h</t>
  </si>
  <si>
    <t>Avenida José Carlos Mariátegui, Ricardo Palma, Huarochirí, Lima, 15468, Perú, (CURVA RICARDO PALMA, Ruta4507nueva era 23-10-23)</t>
  </si>
  <si>
    <t>Marcos Puente Llanos, Ate, Lima Metropolitana, Lima, 15498, Perú</t>
  </si>
  <si>
    <t>69 km/h</t>
  </si>
  <si>
    <t>Calle Berlín, Ate, Lima Metropolitana, Lima, 15498, Perú</t>
  </si>
  <si>
    <t>Avenida Malecón Manco Cápac, Chaclacayo, Lima Metropolitana, Lima, 15472, Perú, (Ruta4507nueva era 23-10-23)</t>
  </si>
  <si>
    <t>70 km/h</t>
  </si>
  <si>
    <t>Carretera Central, Chaclacayo, Lima Metropolitana, Lima, 15464, Perú</t>
  </si>
  <si>
    <t>Calle Las Azucenas, Chaclacayo, Lima Metropolitana, Lima, 15464, Perú</t>
  </si>
  <si>
    <t>Avenida Unión, Chaclacayo, Lima Metropolitana, Lima, 15476, Perú</t>
  </si>
  <si>
    <t>49 km/h</t>
  </si>
  <si>
    <t>59 km/h</t>
  </si>
  <si>
    <t>74 km/h</t>
  </si>
  <si>
    <t>46 km/h</t>
  </si>
  <si>
    <t>Avenida Javier Prado Este, 6528, La Molina, Lima Metropolitana, Lima, 15012, Perú</t>
  </si>
  <si>
    <t>Avenida Javier Prado Este, La Molina, Lima Metropolitana, Lima, 15012, Perú</t>
  </si>
  <si>
    <t>24 km/h</t>
  </si>
  <si>
    <t>Avenida Javier Prado Este, La Molina, Lima Metropolitana, Lima, 10051, Perú</t>
  </si>
  <si>
    <t>Carretera Panamericana Sur, Punta Hermosa, Lima Metropolitana, Lima, 15846, Perú</t>
  </si>
  <si>
    <t>54 km/h</t>
  </si>
  <si>
    <t>Telepass Vía 8, Las Salinas, Cañete, Lima, 15870, Perú</t>
  </si>
  <si>
    <t>San Antonio, Cañete, Lima, Perú</t>
  </si>
  <si>
    <t>53 km/h</t>
  </si>
  <si>
    <t>47 km/h</t>
  </si>
  <si>
    <t>Los Ángeles de San Antonio, Cañete, Lima, 15608, Perú</t>
  </si>
  <si>
    <t>85 km/h</t>
  </si>
  <si>
    <t>Carretera Panamericana Sur, Cerro La Virgen, Cañete, Lima, 15608, Perú</t>
  </si>
  <si>
    <t>Carretera Panamericana Sur, Punta Negra, Lima Metropolitana, Lima, 15856, Perú</t>
  </si>
  <si>
    <t>Antigua Panamericana Sur, Villa El Salvador, Lima Metropolitana, Lima, 15829, Perú</t>
  </si>
  <si>
    <t>Carretera Panamericana Sur, Chorrillos, Lima Metropolitana, Lima, 15829, Perú</t>
  </si>
  <si>
    <t>Avenida Panamericana Sur, San Juan de Miraflores, Lima Metropolitana, Lima, 15801, Perú</t>
  </si>
  <si>
    <t>Vía de Evitamiento, La Molina, Lima Metropolitana, Lima, 15022, Perú</t>
  </si>
  <si>
    <t>Vía de Evitamiento, Ate, Lima Metropolitana, Lima, 15022, Perú</t>
  </si>
  <si>
    <t>Vía de Evitamiento, La Molina, Lima Metropolitana, Lima, 15008, Perú</t>
  </si>
  <si>
    <t>Autopista Ramiro Prialé, Lurigancho, Lima Metropolitana, Lima, 15487, Perú</t>
  </si>
  <si>
    <t>78 km/h</t>
  </si>
  <si>
    <t>Lurigancho, Lima Metropolitana, Lima, 15487, Perú</t>
  </si>
  <si>
    <t>Avenida Nicolás Ayllón, 432, Chaclacayo, Lima Metropolitana, Lima, 15472, Perú, (Ruta4507nueva era 23-10-23)</t>
  </si>
  <si>
    <t>Avenida Nicolás Ayllón, 477, Chaclacayo, Lima Metropolitana, Lima, 15472, Perú, (Ruta4507nueva era 23-10-23)</t>
  </si>
  <si>
    <t>Avenida Nicolás Ayllón, 582-598, Chaclacayo, Lima Metropolitana, Lima, 15472, Perú, (Ruta4507nueva era 23-10-23)</t>
  </si>
  <si>
    <t>Avenida Nicolás Ayllón, 900, Chaclacayo, Lima Metropolitana, Lima, 15472, Perú, (Ruta4507nueva era 23-10-23)</t>
  </si>
  <si>
    <t>60 km/h</t>
  </si>
  <si>
    <t>Jose Carlos Mariátegui, Chosica, Lima Metropolitana, Lima, 15468, Perú, (PARADERO RICARDO PALMA)</t>
  </si>
  <si>
    <t>Simón Bolívar, Ricardo Palma, Huarochirí, Lima, 15468, Perú</t>
  </si>
  <si>
    <t>Jirón Cornelio Borda, Lima, Lima Metropolitana, Lima, 15082, Perú</t>
  </si>
  <si>
    <t>Avenida San Martín, 704, Santa Eulalia, Huarochirí, Lima, 15500, Perú</t>
  </si>
  <si>
    <t>Calle Abraham Valdelomar, 108, Ricardo Palma, Huarochirí, Lima, 15468, Perú</t>
  </si>
  <si>
    <t>Jirón Cornelio Borda, Breña, Lima Metropolitana, Lima, 15082, Perú, (Ruta4507nueva era 23-10-23)</t>
  </si>
  <si>
    <t>Avenida Almirante Miguel Grau, La Victoria, Lima Metropolitana, Lima, 15001, Perú, (Ruta4507nueva era 23-10-23)</t>
  </si>
  <si>
    <t>Brea Pariñas, Chosica, Lima Metropolitana, Lima, 15468, Perú</t>
  </si>
  <si>
    <t>Avenida Andrés Avelino Cáceres, Chosica, Lima Metropolitana, Lima, 15468, Perú</t>
  </si>
  <si>
    <t>Chosica, Lima Metropolitana, Lima, 15468, Perú, (Ruta4507nueva era 23-10-23)</t>
  </si>
  <si>
    <t>Avenida Javier Prado Este, 6591, La Molina, Lima Metropolitana, Lima, 15012, Perú</t>
  </si>
  <si>
    <t>Calle Las Malvinas, Lurín, Lima Metropolitana, Lima, 15837, Perú</t>
  </si>
  <si>
    <t>45 km/h</t>
  </si>
  <si>
    <t>Alexander Von Humboldt, Naplo, Lima Metropolitana, Lima, 15866, Perú</t>
  </si>
  <si>
    <t>40 km/h</t>
  </si>
  <si>
    <t>Avenida Lima Sur, Chosica, Lima Metropolitana, Lima, 15468, Perú</t>
  </si>
  <si>
    <t>66 km/h</t>
  </si>
  <si>
    <t>Avenida Unión, Chaclacayo, Lima Metropolitana, Lima, 15476, Perú, (Ruta4507nueva era 23-10-23)</t>
  </si>
  <si>
    <t>Carretera Central, Ate, Lima Metropolitana, Lima, 15474, Perú, (Ruta4507nueva era 23-10-23)</t>
  </si>
  <si>
    <t>41 km/h</t>
  </si>
  <si>
    <t>Jirón Ascope, Lima, Lima Metropolitana, Lima, 15082, Perú, (PARADERO DESTINO ASCOPE)</t>
  </si>
  <si>
    <t>90 km/h</t>
  </si>
  <si>
    <t>Avenida Nicolás Ayllón, 1159, Chaclacayo, Lima Metropolitana, Lima, 15472, Perú, (Ruta4507nueva era 23-10-23)</t>
  </si>
  <si>
    <t>Avenida San Martín, Santa Eulalia, Huarochirí, Lima, 15468, Perú</t>
  </si>
  <si>
    <t>Avenida Río Perene, Ate, Lima Metropolitana, Lima, 15498, Perú</t>
  </si>
  <si>
    <t>Abraham Valdelomar, Ricardo Palma, Huarochirí, Lima, 15468, Perú</t>
  </si>
  <si>
    <t>64 km/h</t>
  </si>
  <si>
    <t>Avenida Nicolás de Ayllón, Ate, Lima Metropolitana, Lima, 15002, Perú</t>
  </si>
  <si>
    <t>Vía de Evitamiento, Ate, Lima Metropolitana, Lima, 15008, Perú, (Ruta4507nueva era 23-10-23, RUTA DESVIO TEM.  4507)</t>
  </si>
  <si>
    <t>Calle Arequipa, Ate, Lima Metropolitana, Lima, 15498, Perú</t>
  </si>
  <si>
    <t>57 km/h</t>
  </si>
  <si>
    <t>Avenida Alfonso Ugarte, 650, Lima, Lima Metropolitana, Lima, 15082, Perú, (Ruta4507nueva era 23-10-23)</t>
  </si>
  <si>
    <t>Jirón Tacna, Chosica, Lima Metropolitana, Lima, 15468, Perú, (Ruta4507nueva era 23-10-23)</t>
  </si>
  <si>
    <t>Jirón Tacna, Chosica, Lima Metropolitana, Lima, 15468, Perú</t>
  </si>
  <si>
    <t>Avenida 15 de Julio, Ate, Lima Metropolitana, Lima, 15483, Perú</t>
  </si>
  <si>
    <t>Jirón Trujillo Sur, Chosica, Lima Metropolitana, Lima, 15468, Perú, (Ruta4507nueva era 23-10-23)</t>
  </si>
  <si>
    <t>Avenida Nicolas de Pierola, Ate, Lima Metropolitana, Lima, 15487, Perú, (LIDERCOM)</t>
  </si>
  <si>
    <t>Avenida Alfonso Ugarte, Ate, Lima Metropolitana, Lima, 15487, Perú</t>
  </si>
  <si>
    <t>Carretera Central, Ricardo Palma, Huarochirí, Lima, 15500, Perú</t>
  </si>
  <si>
    <t>Avenida La Paz, G2, Santa Eulalia, Huarochirí, Lima, 15500, Perú</t>
  </si>
  <si>
    <t>Avenida Nicolás Ayllón, Chaclacayo, Lima Metropolitana, Lima, 15472, Perú, (Ruta4507nueva era 23-10-23)</t>
  </si>
  <si>
    <t>Calle Córdova, Ricardo Palma, Huarochirí, Lima, 15468, Perú, (Ruta4507nueva era 23-10-23)</t>
  </si>
  <si>
    <t>Jirón Ascope, Lima, Lima Metropolitana, Lima, 15082, Perú, (PARADERO DESTINO ASCOPE, Ruta4507nueva era 23-10-23)</t>
  </si>
  <si>
    <t>Jirón Trujillo Norte, Chosica, Lima Metropolitana, Lima, 15468, Perú, (Ruta4507nueva era 23-10-23)</t>
  </si>
  <si>
    <t>Malecon Jose Olaya, Cerro Azul, Cañete, Lima, Perú</t>
  </si>
  <si>
    <t>Chaclacayo, Lima Metropolitana, Lima, 15474, Perú, (Ruta4507nueva era 23-10-23)</t>
  </si>
  <si>
    <t>Avenida 9 de Diciembre, 371, Lima, Lima Metropolitana, Lima, 15083, Perú, (Ruta4507nueva era 23-10-23)</t>
  </si>
  <si>
    <t>Jirón Sánchez Pinillos, Lima, Lima Metropolitana, Lima, 15082, Perú, (Ruta4507nueva era 23-10-23)</t>
  </si>
  <si>
    <t>Víctor Raúl Haya de la Torre, Ate, Lima Metropolitana, Lima, 15498, Perú</t>
  </si>
  <si>
    <t>Vista Alegre, Ate, Lima Metropolitana, Lima, 15498, Perú</t>
  </si>
  <si>
    <t>Avenida Nicolás de Ayllón, Santa Anita, Lima Metropolitana, Lima, 15498, Perú, (Ruta4507nueva era 23-10-23)</t>
  </si>
  <si>
    <t>Avenida de La Cultura, Santa Anita, Lima Metropolitana, Lima, 15009, Perú</t>
  </si>
  <si>
    <t>Avenida Óscar Raimundo Benavides, 301, Lima, Lima Metropolitana, Lima, 15082, Perú</t>
  </si>
  <si>
    <t>Avenida Almirante Miguel Grau, 1300, Lima, Lima Metropolitana, Lima, 15011, Perú, (Ruta4507nueva era 23-10-23)</t>
  </si>
  <si>
    <t>Avenida Almirante Miguel Grau, 1299, Lima, Lima Metropolitana, Lima, 15011, Perú, (Ruta4507nueva era 23-10-23)</t>
  </si>
  <si>
    <t>Avenida San Martín, San José de Palle, Huarochirí, Lima, 15500, Perú</t>
  </si>
  <si>
    <t>Avenida San Martín, 2124, San José de Palle, Huarochirí, Lima, 15500, Perú</t>
  </si>
  <si>
    <t>Avenida Paseo de la República, Lima, Lima Metropolitana, Lima, 15083, Perú, (Ruta4507nueva era 23-10-23)</t>
  </si>
  <si>
    <t>Calle Los Pinos, Ate, Lima Metropolitana, Lima, 15483, Perú</t>
  </si>
  <si>
    <t>Avenida José Carlos Mariátegui, Ate, Lima Metropolitana, Lima, 15483, Perú</t>
  </si>
  <si>
    <t>Avenida California, Chaclacayo, Lima Metropolitana, Lima, 15472, Perú</t>
  </si>
  <si>
    <t>Avenida Nicolás de Ayllón, Ate, Lima Metropolitana, Lima, 15008, Perú</t>
  </si>
  <si>
    <t>Calle Las Palmeras, Chaclacayo, Lima Metropolitana, Lima, 15472, Perú</t>
  </si>
  <si>
    <t>Avenida Los Incas, Ate, Lima Metropolitana, Lima, 15474, Perú</t>
  </si>
  <si>
    <t>29 km/h</t>
  </si>
  <si>
    <t>Avenida Nicolás de Ayllón, Ate, Lima Metropolitana, Lima, 15008, Perú, (Ruta4507nueva era 23-10-23)</t>
  </si>
  <si>
    <t>Jirón Los Próceres, Santa Eulalia, Huarochirí, Lima, 15468, Perú</t>
  </si>
  <si>
    <t>Jirón Arequipa, Chosica, Lima Metropolitana, Lima, 15468, Perú</t>
  </si>
  <si>
    <t>Pasaje Gould, Lima, Lima Metropolitana, Lima, 15082, Perú</t>
  </si>
  <si>
    <t>Avenida Óscar Raimundo Benavides, 150, Lima, Lima Metropolitana, Lima, 15082, Perú, (Ruta4507nueva era 23-10-23)</t>
  </si>
  <si>
    <t>Avenida Óscar Raimundo Benavides, 153, Lima, Lima Metropolitana, Lima, 15082, Perú</t>
  </si>
  <si>
    <t>Avenida 9 de Diciembre, Lima, Lima Metropolitana, Lima, 15083, Perú, (Ruta4507nueva era 23-10-23)</t>
  </si>
  <si>
    <t>Jirón Cañete, 785, Lima, Lima Metropolitana, Lima, 15082, Perú</t>
  </si>
  <si>
    <t>Ricardo Palma, Huarochirí, Lima, 15468, Perú, (Exceso de Velocidad)</t>
  </si>
  <si>
    <t>San Silvestre, E5, Santa Eulalia, Huarochirí, Lima, 15468, Perú</t>
  </si>
  <si>
    <t>Alameda E, Chaclacayo, Lima Metropolitana, Lima, 15476, Perú</t>
  </si>
  <si>
    <t>Carretera Central, Km42, Sol de Cupiche, Huarochirí, Lima, 15500, Perú</t>
  </si>
  <si>
    <t>Carretera Central, Sol de Cupiche, Huarochirí, Lima, 15500, Perú</t>
  </si>
  <si>
    <t>Ciclovía Colonial, Lima, Lima Metropolitana, Lima, 15082, Perú, (Ruta4507nueva era 23-10-23)</t>
  </si>
  <si>
    <t>Ciclovía Colonial, Lima, Lima Metropolitana, Lima, 15082, Perú</t>
  </si>
  <si>
    <t>Calle Salaverry, 280, Chosica, Lima Metropolitana, Lima, 15468, Perú, (Ruta4507nueva era 23-10-23)</t>
  </si>
  <si>
    <t>Avenida Jaime Zubieta Calderón, Ate, Lima Metropolitana, Lima, 15483, Perú, (Ruta4507nueva era 23-10-23)</t>
  </si>
  <si>
    <t>92 km/h</t>
  </si>
  <si>
    <t>Carretera Central, Chaclacayo, Lima Metropolitana, Lima, 15464, Perú, (Ruta4507nueva era 23-10-23)</t>
  </si>
  <si>
    <t>128 km/h</t>
  </si>
  <si>
    <t>118 km/h</t>
  </si>
  <si>
    <t>Avenida Lima Sur, 275, Chosica, Lima Metropolitana, Lima, 15468, Perú, (Ruta4507nueva era 23-10-23)</t>
  </si>
  <si>
    <t>Ate, Lima Metropolitana, Lima, 15498, Perú, (Ruta4507nueva era 23-10-23)</t>
  </si>
  <si>
    <t>Calle Angel Cepollini, San Luis, Lima Metropolitana, Lima, 15019, Perú</t>
  </si>
  <si>
    <t>Pasaje 1 de Mayo, San Luis, Lima Metropolitana, Lima, 15019,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</si>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</sst>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6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0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305</v>
      </c>
      <c r="B8" s="3">
        <v>45690.308946759258</v>
      </c>
      <c r="C8" t="s">
        <v>18</v>
      </c>
      <c r="D8" s="3">
        <v>45690.871678240743</v>
      </c>
      <c r="E8" t="s">
        <v>18</v>
      </c>
      <c r="F8" s="4">
        <v>192.48400000000001</v>
      </c>
      <c r="G8" s="4">
        <v>512051.38199999998</v>
      </c>
      <c r="H8" s="4">
        <v>512243.86599999998</v>
      </c>
      <c r="I8" s="5">
        <f>11477 / 86400</f>
        <v>0.13283564814814816</v>
      </c>
      <c r="J8" t="s">
        <v>19</v>
      </c>
      <c r="K8" t="s">
        <v>20</v>
      </c>
      <c r="L8" s="5">
        <f>36415 / 86400</f>
        <v>0.42146990740740742</v>
      </c>
      <c r="M8" s="5">
        <f>49979 / 86400</f>
        <v>0.57846064814814813</v>
      </c>
    </row>
    <row r="9" spans="1:13" x14ac:dyDescent="0.25">
      <c r="A9" t="s">
        <v>306</v>
      </c>
      <c r="B9" s="3">
        <v>45690.238541666666</v>
      </c>
      <c r="C9" t="s">
        <v>21</v>
      </c>
      <c r="D9" s="3">
        <v>45690.724907407406</v>
      </c>
      <c r="E9" t="s">
        <v>22</v>
      </c>
      <c r="F9" s="4">
        <v>3.41</v>
      </c>
      <c r="G9" s="4">
        <v>326539.96999999997</v>
      </c>
      <c r="H9" s="4">
        <v>326543.38</v>
      </c>
      <c r="I9" s="5">
        <f>422 / 86400</f>
        <v>4.8842592592592592E-3</v>
      </c>
      <c r="J9" t="s">
        <v>23</v>
      </c>
      <c r="K9" t="s">
        <v>24</v>
      </c>
      <c r="L9" s="5">
        <f>1269 / 86400</f>
        <v>1.4687499999999999E-2</v>
      </c>
      <c r="M9" s="5">
        <f>85129 / 86400</f>
        <v>0.98528935185185185</v>
      </c>
    </row>
    <row r="10" spans="1:13" x14ac:dyDescent="0.25">
      <c r="A10" t="s">
        <v>307</v>
      </c>
      <c r="B10" s="3">
        <v>45690.368402777778</v>
      </c>
      <c r="C10" t="s">
        <v>25</v>
      </c>
      <c r="D10" s="3">
        <v>45690.967245370368</v>
      </c>
      <c r="E10" t="s">
        <v>25</v>
      </c>
      <c r="F10" s="4">
        <v>147.22200000000001</v>
      </c>
      <c r="G10" s="4">
        <v>19544.166000000001</v>
      </c>
      <c r="H10" s="4">
        <v>19691.391</v>
      </c>
      <c r="I10" s="5">
        <f>10467 / 86400</f>
        <v>0.12114583333333333</v>
      </c>
      <c r="J10" t="s">
        <v>26</v>
      </c>
      <c r="K10" t="s">
        <v>27</v>
      </c>
      <c r="L10" s="5">
        <f>31313 / 86400</f>
        <v>0.36241898148148149</v>
      </c>
      <c r="M10" s="5">
        <f>55081 / 86400</f>
        <v>0.63751157407407411</v>
      </c>
    </row>
    <row r="11" spans="1:13" x14ac:dyDescent="0.25">
      <c r="A11" t="s">
        <v>308</v>
      </c>
      <c r="B11" s="3">
        <v>45690.226469907408</v>
      </c>
      <c r="C11" t="s">
        <v>28</v>
      </c>
      <c r="D11" s="3">
        <v>45690.939699074079</v>
      </c>
      <c r="E11" t="s">
        <v>28</v>
      </c>
      <c r="F11" s="4">
        <v>255.202</v>
      </c>
      <c r="G11" s="4">
        <v>511399.21299999999</v>
      </c>
      <c r="H11" s="4">
        <v>511654.41499999998</v>
      </c>
      <c r="I11" s="5">
        <f>12754 / 86400</f>
        <v>0.14761574074074074</v>
      </c>
      <c r="J11" t="s">
        <v>29</v>
      </c>
      <c r="K11" t="s">
        <v>30</v>
      </c>
      <c r="L11" s="5">
        <f>44620 / 86400</f>
        <v>0.51643518518518516</v>
      </c>
      <c r="M11" s="5">
        <f>41772 / 86400</f>
        <v>0.48347222222222225</v>
      </c>
    </row>
    <row r="12" spans="1:13" x14ac:dyDescent="0.25">
      <c r="A12" t="s">
        <v>309</v>
      </c>
      <c r="B12" s="3">
        <v>45690.2265625</v>
      </c>
      <c r="C12" t="s">
        <v>25</v>
      </c>
      <c r="D12" s="3">
        <v>45690.814027777778</v>
      </c>
      <c r="E12" t="s">
        <v>25</v>
      </c>
      <c r="F12" s="4">
        <v>190.52800000000002</v>
      </c>
      <c r="G12" s="4">
        <v>90525.153000000006</v>
      </c>
      <c r="H12" s="4">
        <v>90715.680999999997</v>
      </c>
      <c r="I12" s="5">
        <f>11784 / 86400</f>
        <v>0.13638888888888889</v>
      </c>
      <c r="J12" t="s">
        <v>31</v>
      </c>
      <c r="K12" t="s">
        <v>27</v>
      </c>
      <c r="L12" s="5">
        <f>41528 / 86400</f>
        <v>0.48064814814814816</v>
      </c>
      <c r="M12" s="5">
        <f>44866 / 86400</f>
        <v>0.51928240740740739</v>
      </c>
    </row>
    <row r="13" spans="1:13" x14ac:dyDescent="0.25">
      <c r="A13" t="s">
        <v>310</v>
      </c>
      <c r="B13" s="3">
        <v>45690.235833333332</v>
      </c>
      <c r="C13" t="s">
        <v>18</v>
      </c>
      <c r="D13" s="3">
        <v>45690.931932870371</v>
      </c>
      <c r="E13" t="s">
        <v>18</v>
      </c>
      <c r="F13" s="4">
        <v>221.047</v>
      </c>
      <c r="G13" s="4">
        <v>135201.73499999999</v>
      </c>
      <c r="H13" s="4">
        <v>135422.78200000001</v>
      </c>
      <c r="I13" s="5">
        <f>15353 / 86400</f>
        <v>0.17769675925925926</v>
      </c>
      <c r="J13" t="s">
        <v>32</v>
      </c>
      <c r="K13" t="s">
        <v>33</v>
      </c>
      <c r="L13" s="5">
        <f>44591 / 86400</f>
        <v>0.51609953703703704</v>
      </c>
      <c r="M13" s="5">
        <f>41800 / 86400</f>
        <v>0.48379629629629628</v>
      </c>
    </row>
    <row r="14" spans="1:13" x14ac:dyDescent="0.25">
      <c r="A14" t="s">
        <v>311</v>
      </c>
      <c r="B14" s="3">
        <v>45690.236990740741</v>
      </c>
      <c r="C14" t="s">
        <v>25</v>
      </c>
      <c r="D14" s="3">
        <v>45690.812210648146</v>
      </c>
      <c r="E14" t="s">
        <v>34</v>
      </c>
      <c r="F14" s="4">
        <v>238.64449729228019</v>
      </c>
      <c r="G14" s="4">
        <v>345988.65599517943</v>
      </c>
      <c r="H14" s="4">
        <v>346229.13775864855</v>
      </c>
      <c r="I14" s="5">
        <f>0 / 86400</f>
        <v>0</v>
      </c>
      <c r="J14" t="s">
        <v>35</v>
      </c>
      <c r="K14" t="s">
        <v>36</v>
      </c>
      <c r="L14" s="5">
        <f>20182 / 86400</f>
        <v>0.23358796296296297</v>
      </c>
      <c r="M14" s="5">
        <f>66217 / 86400</f>
        <v>0.76640046296296294</v>
      </c>
    </row>
    <row r="15" spans="1:13" x14ac:dyDescent="0.25">
      <c r="A15" t="s">
        <v>312</v>
      </c>
      <c r="B15" s="3">
        <v>45690.4846412037</v>
      </c>
      <c r="C15" t="s">
        <v>37</v>
      </c>
      <c r="D15" s="3">
        <v>45690.800497685181</v>
      </c>
      <c r="E15" t="s">
        <v>37</v>
      </c>
      <c r="F15" s="4">
        <v>7.4999999999999997E-2</v>
      </c>
      <c r="G15" s="4">
        <v>482796.36200000002</v>
      </c>
      <c r="H15" s="4">
        <v>482796.43699999998</v>
      </c>
      <c r="I15" s="5">
        <f>3445 / 86400</f>
        <v>3.9872685185185185E-2</v>
      </c>
      <c r="J15" t="s">
        <v>38</v>
      </c>
      <c r="K15" t="s">
        <v>39</v>
      </c>
      <c r="L15" s="5">
        <f>3552 / 86400</f>
        <v>4.1111111111111112E-2</v>
      </c>
      <c r="M15" s="5">
        <f>82844 / 86400</f>
        <v>0.95884259259259264</v>
      </c>
    </row>
    <row r="16" spans="1:13" x14ac:dyDescent="0.25">
      <c r="A16" t="s">
        <v>313</v>
      </c>
      <c r="B16" s="3">
        <v>45690.828715277778</v>
      </c>
      <c r="C16" t="s">
        <v>40</v>
      </c>
      <c r="D16" s="3">
        <v>45690.832881944443</v>
      </c>
      <c r="E16" t="s">
        <v>40</v>
      </c>
      <c r="F16" s="4">
        <v>4.1000000000000002E-2</v>
      </c>
      <c r="G16" s="4">
        <v>506008.54499999998</v>
      </c>
      <c r="H16" s="4">
        <v>506008.58600000001</v>
      </c>
      <c r="I16" s="5">
        <f>79 / 86400</f>
        <v>9.1435185185185185E-4</v>
      </c>
      <c r="J16" t="s">
        <v>24</v>
      </c>
      <c r="K16" t="s">
        <v>41</v>
      </c>
      <c r="L16" s="5">
        <f>178 / 86400</f>
        <v>2.0601851851851853E-3</v>
      </c>
      <c r="M16" s="5">
        <f>86220 / 86400</f>
        <v>0.99791666666666667</v>
      </c>
    </row>
    <row r="17" spans="1:13" x14ac:dyDescent="0.25">
      <c r="A17" t="s">
        <v>314</v>
      </c>
      <c r="B17" s="3">
        <v>45690.330949074079</v>
      </c>
      <c r="C17" t="s">
        <v>42</v>
      </c>
      <c r="D17" s="3">
        <v>45690.982581018514</v>
      </c>
      <c r="E17" t="s">
        <v>42</v>
      </c>
      <c r="F17" s="4">
        <v>212.68200000000002</v>
      </c>
      <c r="G17" s="4">
        <v>406255.07299999997</v>
      </c>
      <c r="H17" s="4">
        <v>406467.755</v>
      </c>
      <c r="I17" s="5">
        <f>14383 / 86400</f>
        <v>0.16646990740740741</v>
      </c>
      <c r="J17" t="s">
        <v>43</v>
      </c>
      <c r="K17" t="s">
        <v>27</v>
      </c>
      <c r="L17" s="5">
        <f>45756 / 86400</f>
        <v>0.52958333333333329</v>
      </c>
      <c r="M17" s="5">
        <f>40636 / 86400</f>
        <v>0.47032407407407406</v>
      </c>
    </row>
    <row r="18" spans="1:13" x14ac:dyDescent="0.25">
      <c r="A18" t="s">
        <v>315</v>
      </c>
      <c r="B18" s="3">
        <v>45690.267025462963</v>
      </c>
      <c r="C18" t="s">
        <v>44</v>
      </c>
      <c r="D18" s="3">
        <v>45690.73332175926</v>
      </c>
      <c r="E18" t="s">
        <v>44</v>
      </c>
      <c r="F18" s="4">
        <v>196.92099999999999</v>
      </c>
      <c r="G18" s="4">
        <v>435998.90600000002</v>
      </c>
      <c r="H18" s="4">
        <v>436195.82699999999</v>
      </c>
      <c r="I18" s="5">
        <f>11478 / 86400</f>
        <v>0.13284722222222223</v>
      </c>
      <c r="J18" t="s">
        <v>45</v>
      </c>
      <c r="K18" t="s">
        <v>20</v>
      </c>
      <c r="L18" s="5">
        <f>37416 / 86400</f>
        <v>0.43305555555555558</v>
      </c>
      <c r="M18" s="5">
        <f>48982 / 86400</f>
        <v>0.56692129629629628</v>
      </c>
    </row>
    <row r="19" spans="1:13" x14ac:dyDescent="0.25">
      <c r="A19" t="s">
        <v>316</v>
      </c>
      <c r="B19" s="3">
        <v>45690.302777777775</v>
      </c>
      <c r="C19" t="s">
        <v>46</v>
      </c>
      <c r="D19" s="3">
        <v>45690.975902777776</v>
      </c>
      <c r="E19" t="s">
        <v>47</v>
      </c>
      <c r="F19" s="4">
        <v>192.363</v>
      </c>
      <c r="G19" s="4">
        <v>51784.631999999998</v>
      </c>
      <c r="H19" s="4">
        <v>51976.995000000003</v>
      </c>
      <c r="I19" s="5">
        <f>11536 / 86400</f>
        <v>0.13351851851851851</v>
      </c>
      <c r="J19" t="s">
        <v>19</v>
      </c>
      <c r="K19" t="s">
        <v>20</v>
      </c>
      <c r="L19" s="5">
        <f>36665 / 86400</f>
        <v>0.42436342592592591</v>
      </c>
      <c r="M19" s="5">
        <f>49730 / 86400</f>
        <v>0.57557870370370368</v>
      </c>
    </row>
    <row r="20" spans="1:13" x14ac:dyDescent="0.25">
      <c r="A20" t="s">
        <v>317</v>
      </c>
      <c r="B20" s="3">
        <v>45690.152662037042</v>
      </c>
      <c r="C20" t="s">
        <v>48</v>
      </c>
      <c r="D20" s="3">
        <v>45690.99998842593</v>
      </c>
      <c r="E20" t="s">
        <v>49</v>
      </c>
      <c r="F20" s="4">
        <v>222.43600000000001</v>
      </c>
      <c r="G20" s="4">
        <v>213802.117</v>
      </c>
      <c r="H20" s="4">
        <v>214024.55300000001</v>
      </c>
      <c r="I20" s="5">
        <f>5967 / 86400</f>
        <v>6.9062499999999999E-2</v>
      </c>
      <c r="J20" t="s">
        <v>50</v>
      </c>
      <c r="K20" t="s">
        <v>51</v>
      </c>
      <c r="L20" s="5">
        <f>28410 / 86400</f>
        <v>0.32881944444444444</v>
      </c>
      <c r="M20" s="5">
        <f>57983 / 86400</f>
        <v>0.67109953703703706</v>
      </c>
    </row>
    <row r="21" spans="1:13" x14ac:dyDescent="0.25">
      <c r="A21" t="s">
        <v>318</v>
      </c>
      <c r="B21" s="3">
        <v>45690.25953703704</v>
      </c>
      <c r="C21" t="s">
        <v>52</v>
      </c>
      <c r="D21" s="3">
        <v>45690.818506944444</v>
      </c>
      <c r="E21" t="s">
        <v>53</v>
      </c>
      <c r="F21" s="4">
        <v>209.55800000000002</v>
      </c>
      <c r="G21" s="4">
        <v>523178.00799999997</v>
      </c>
      <c r="H21" s="4">
        <v>523387.56599999999</v>
      </c>
      <c r="I21" s="5">
        <f>15169 / 86400</f>
        <v>0.17556712962962964</v>
      </c>
      <c r="J21" t="s">
        <v>29</v>
      </c>
      <c r="K21" t="s">
        <v>33</v>
      </c>
      <c r="L21" s="5">
        <f>42924 / 86400</f>
        <v>0.49680555555555556</v>
      </c>
      <c r="M21" s="5">
        <f>43468 / 86400</f>
        <v>0.50310185185185186</v>
      </c>
    </row>
    <row r="22" spans="1:13" x14ac:dyDescent="0.25">
      <c r="A22" t="s">
        <v>319</v>
      </c>
      <c r="B22" s="3">
        <v>45690.307847222226</v>
      </c>
      <c r="C22" t="s">
        <v>54</v>
      </c>
      <c r="D22" s="3">
        <v>45690.819074074076</v>
      </c>
      <c r="E22" t="s">
        <v>54</v>
      </c>
      <c r="F22" s="4">
        <v>204.678</v>
      </c>
      <c r="G22" s="4">
        <v>343342.565</v>
      </c>
      <c r="H22" s="4">
        <v>343547.24300000002</v>
      </c>
      <c r="I22" s="5">
        <f>12416 / 86400</f>
        <v>0.14370370370370369</v>
      </c>
      <c r="J22" t="s">
        <v>55</v>
      </c>
      <c r="K22" t="s">
        <v>20</v>
      </c>
      <c r="L22" s="5">
        <f>37872 / 86400</f>
        <v>0.43833333333333335</v>
      </c>
      <c r="M22" s="5">
        <f>48524 / 86400</f>
        <v>0.56162037037037038</v>
      </c>
    </row>
    <row r="23" spans="1:13" x14ac:dyDescent="0.25">
      <c r="A23" t="s">
        <v>320</v>
      </c>
      <c r="B23" s="3">
        <v>45690.256631944445</v>
      </c>
      <c r="C23" t="s">
        <v>56</v>
      </c>
      <c r="D23" s="3">
        <v>45690.780358796299</v>
      </c>
      <c r="E23" t="s">
        <v>56</v>
      </c>
      <c r="F23" s="4">
        <v>180.292</v>
      </c>
      <c r="G23" s="4">
        <v>424414.37199999997</v>
      </c>
      <c r="H23" s="4">
        <v>424594.66399999999</v>
      </c>
      <c r="I23" s="5">
        <f>8252 / 86400</f>
        <v>9.5509259259259266E-2</v>
      </c>
      <c r="J23" t="s">
        <v>57</v>
      </c>
      <c r="K23" t="s">
        <v>58</v>
      </c>
      <c r="L23" s="5">
        <f>32158 / 86400</f>
        <v>0.3721990740740741</v>
      </c>
      <c r="M23" s="5">
        <f>54236 / 86400</f>
        <v>0.6277314814814815</v>
      </c>
    </row>
    <row r="24" spans="1:13" x14ac:dyDescent="0.25">
      <c r="A24" t="s">
        <v>321</v>
      </c>
      <c r="B24" s="3">
        <v>45690.258726851855</v>
      </c>
      <c r="C24" t="s">
        <v>25</v>
      </c>
      <c r="D24" s="3">
        <v>45690.758587962962</v>
      </c>
      <c r="E24" t="s">
        <v>25</v>
      </c>
      <c r="F24" s="4">
        <v>207.91799999999998</v>
      </c>
      <c r="G24" s="4">
        <v>11028.957</v>
      </c>
      <c r="H24" s="4">
        <v>11236.875</v>
      </c>
      <c r="I24" s="5">
        <f>12948 / 86400</f>
        <v>0.14986111111111111</v>
      </c>
      <c r="J24" t="s">
        <v>31</v>
      </c>
      <c r="K24" t="s">
        <v>20</v>
      </c>
      <c r="L24" s="5">
        <f>39861 / 86400</f>
        <v>0.46135416666666668</v>
      </c>
      <c r="M24" s="5">
        <f>46531 / 86400</f>
        <v>0.53855324074074074</v>
      </c>
    </row>
    <row r="25" spans="1:13" x14ac:dyDescent="0.25">
      <c r="A25" t="s">
        <v>322</v>
      </c>
      <c r="B25" s="3">
        <v>45690.611909722225</v>
      </c>
      <c r="C25" t="s">
        <v>59</v>
      </c>
      <c r="D25" s="3">
        <v>45690.665347222224</v>
      </c>
      <c r="E25" t="s">
        <v>59</v>
      </c>
      <c r="F25" s="4">
        <v>5.5E-2</v>
      </c>
      <c r="G25" s="4">
        <v>137244.01800000001</v>
      </c>
      <c r="H25" s="4">
        <v>137244.073</v>
      </c>
      <c r="I25" s="5">
        <f>518 / 86400</f>
        <v>5.9953703703703705E-3</v>
      </c>
      <c r="J25" t="s">
        <v>60</v>
      </c>
      <c r="K25" t="s">
        <v>39</v>
      </c>
      <c r="L25" s="5">
        <f>596 / 86400</f>
        <v>6.898148148148148E-3</v>
      </c>
      <c r="M25" s="5">
        <f>85801 / 86400</f>
        <v>0.99306712962962962</v>
      </c>
    </row>
    <row r="26" spans="1:13" x14ac:dyDescent="0.25">
      <c r="A26" t="s">
        <v>323</v>
      </c>
      <c r="B26" s="3">
        <v>45690.258935185186</v>
      </c>
      <c r="C26" t="s">
        <v>25</v>
      </c>
      <c r="D26" s="3">
        <v>45690.261666666665</v>
      </c>
      <c r="E26" t="s">
        <v>25</v>
      </c>
      <c r="F26" s="4">
        <v>0</v>
      </c>
      <c r="G26" s="4">
        <v>4020.5720000000001</v>
      </c>
      <c r="H26" s="4">
        <v>4020.5720000000001</v>
      </c>
      <c r="I26" s="5">
        <f>219 / 86400</f>
        <v>2.5347222222222221E-3</v>
      </c>
      <c r="J26" t="s">
        <v>39</v>
      </c>
      <c r="K26" t="s">
        <v>39</v>
      </c>
      <c r="L26" s="5">
        <f>236 / 86400</f>
        <v>2.7314814814814814E-3</v>
      </c>
      <c r="M26" s="5">
        <f>86163 / 86400</f>
        <v>0.99725694444444446</v>
      </c>
    </row>
    <row r="27" spans="1:13" x14ac:dyDescent="0.25">
      <c r="A27" t="s">
        <v>324</v>
      </c>
      <c r="B27" s="3">
        <v>45690.414780092593</v>
      </c>
      <c r="C27" t="s">
        <v>61</v>
      </c>
      <c r="D27" s="3">
        <v>45690.965104166666</v>
      </c>
      <c r="E27" t="s">
        <v>61</v>
      </c>
      <c r="F27" s="4">
        <v>245.47200000000001</v>
      </c>
      <c r="G27" s="4">
        <v>390827.09899999999</v>
      </c>
      <c r="H27" s="4">
        <v>391072.571</v>
      </c>
      <c r="I27" s="5">
        <f>13329 / 86400</f>
        <v>0.15427083333333333</v>
      </c>
      <c r="J27" t="s">
        <v>62</v>
      </c>
      <c r="K27" t="s">
        <v>30</v>
      </c>
      <c r="L27" s="5">
        <f>42364 / 86400</f>
        <v>0.49032407407407408</v>
      </c>
      <c r="M27" s="5">
        <f>44033 / 86400</f>
        <v>0.50964120370370369</v>
      </c>
    </row>
    <row r="28" spans="1:13" x14ac:dyDescent="0.25">
      <c r="A28" t="s">
        <v>325</v>
      </c>
      <c r="B28" s="3">
        <v>45690.146736111114</v>
      </c>
      <c r="C28" t="s">
        <v>63</v>
      </c>
      <c r="D28" s="3">
        <v>45690.783182870371</v>
      </c>
      <c r="E28" t="s">
        <v>63</v>
      </c>
      <c r="F28" s="4">
        <v>166.88899999999998</v>
      </c>
      <c r="G28" s="4">
        <v>520957.54499999998</v>
      </c>
      <c r="H28" s="4">
        <v>521124.43400000001</v>
      </c>
      <c r="I28" s="5">
        <f>6555 / 86400</f>
        <v>7.586805555555555E-2</v>
      </c>
      <c r="J28" t="s">
        <v>64</v>
      </c>
      <c r="K28" t="s">
        <v>30</v>
      </c>
      <c r="L28" s="5">
        <f>28883 / 86400</f>
        <v>0.33429398148148148</v>
      </c>
      <c r="M28" s="5">
        <f>57512 / 86400</f>
        <v>0.6656481481481481</v>
      </c>
    </row>
    <row r="29" spans="1:13" x14ac:dyDescent="0.25">
      <c r="A29" t="s">
        <v>326</v>
      </c>
      <c r="B29" s="3">
        <v>45690</v>
      </c>
      <c r="C29" t="s">
        <v>65</v>
      </c>
      <c r="D29" s="3">
        <v>45690.983287037037</v>
      </c>
      <c r="E29" t="s">
        <v>66</v>
      </c>
      <c r="F29" s="4">
        <v>221.00799999999998</v>
      </c>
      <c r="G29" s="4">
        <v>409788.99599999998</v>
      </c>
      <c r="H29" s="4">
        <v>410010.00400000002</v>
      </c>
      <c r="I29" s="5">
        <f>12098 / 86400</f>
        <v>0.14002314814814815</v>
      </c>
      <c r="J29" t="s">
        <v>67</v>
      </c>
      <c r="K29" t="s">
        <v>33</v>
      </c>
      <c r="L29" s="5">
        <f>44882 / 86400</f>
        <v>0.51946759259259256</v>
      </c>
      <c r="M29" s="5">
        <f>41515 / 86400</f>
        <v>0.48049768518518521</v>
      </c>
    </row>
    <row r="30" spans="1:13" x14ac:dyDescent="0.25">
      <c r="A30" t="s">
        <v>327</v>
      </c>
      <c r="B30" s="3">
        <v>45690.279108796298</v>
      </c>
      <c r="C30" t="s">
        <v>68</v>
      </c>
      <c r="D30" s="3">
        <v>45690.314340277779</v>
      </c>
      <c r="E30" t="s">
        <v>68</v>
      </c>
      <c r="F30" s="4">
        <v>1.448</v>
      </c>
      <c r="G30" s="4">
        <v>400989.49900000001</v>
      </c>
      <c r="H30" s="4">
        <v>400990.94699999999</v>
      </c>
      <c r="I30" s="5">
        <f>99 / 86400</f>
        <v>1.1458333333333333E-3</v>
      </c>
      <c r="J30" t="s">
        <v>69</v>
      </c>
      <c r="K30" t="s">
        <v>24</v>
      </c>
      <c r="L30" s="5">
        <f>517 / 86400</f>
        <v>5.9837962962962961E-3</v>
      </c>
      <c r="M30" s="5">
        <f>85882 / 86400</f>
        <v>0.99400462962962965</v>
      </c>
    </row>
    <row r="31" spans="1:13" x14ac:dyDescent="0.25">
      <c r="A31" t="s">
        <v>328</v>
      </c>
      <c r="B31" s="3">
        <v>45690.144756944443</v>
      </c>
      <c r="C31" t="s">
        <v>70</v>
      </c>
      <c r="D31" s="3">
        <v>45690.892118055555</v>
      </c>
      <c r="E31" t="s">
        <v>70</v>
      </c>
      <c r="F31" s="4">
        <v>310.20600000000002</v>
      </c>
      <c r="G31" s="4">
        <v>38881.03</v>
      </c>
      <c r="H31" s="4">
        <v>39191.235999999997</v>
      </c>
      <c r="I31" s="5">
        <f>15556 / 86400</f>
        <v>0.18004629629629629</v>
      </c>
      <c r="J31" t="s">
        <v>50</v>
      </c>
      <c r="K31" t="s">
        <v>58</v>
      </c>
      <c r="L31" s="5">
        <f>55249 / 86400</f>
        <v>0.63945601851851852</v>
      </c>
      <c r="M31" s="5">
        <f>31144 / 86400</f>
        <v>0.36046296296296299</v>
      </c>
    </row>
    <row r="32" spans="1:13" x14ac:dyDescent="0.25">
      <c r="A32" t="s">
        <v>329</v>
      </c>
      <c r="B32" s="3">
        <v>45690</v>
      </c>
      <c r="C32" t="s">
        <v>71</v>
      </c>
      <c r="D32" s="3">
        <v>45690.925949074073</v>
      </c>
      <c r="E32" t="s">
        <v>37</v>
      </c>
      <c r="F32" s="4">
        <v>254.16300000000004</v>
      </c>
      <c r="G32" s="4">
        <v>43311.483</v>
      </c>
      <c r="H32" s="4">
        <v>43565.646000000001</v>
      </c>
      <c r="I32" s="5">
        <f>3840 / 86400</f>
        <v>4.4444444444444446E-2</v>
      </c>
      <c r="J32" t="s">
        <v>55</v>
      </c>
      <c r="K32" t="s">
        <v>23</v>
      </c>
      <c r="L32" s="5">
        <f>23439 / 86400</f>
        <v>0.27128472222222222</v>
      </c>
      <c r="M32" s="5">
        <f>62960 / 86400</f>
        <v>0.72870370370370374</v>
      </c>
    </row>
    <row r="33" spans="1:13" x14ac:dyDescent="0.25">
      <c r="A33" t="s">
        <v>330</v>
      </c>
      <c r="B33" s="3">
        <v>45690.279583333337</v>
      </c>
      <c r="C33" t="s">
        <v>72</v>
      </c>
      <c r="D33" s="3">
        <v>45690.99998842593</v>
      </c>
      <c r="E33" t="s">
        <v>73</v>
      </c>
      <c r="F33" s="4">
        <v>186.8159999999404</v>
      </c>
      <c r="G33" s="4">
        <v>524705.13300000003</v>
      </c>
      <c r="H33" s="4">
        <v>524891.94900000002</v>
      </c>
      <c r="I33" s="5">
        <f>14116 / 86400</f>
        <v>0.16337962962962962</v>
      </c>
      <c r="J33" t="s">
        <v>74</v>
      </c>
      <c r="K33" t="s">
        <v>20</v>
      </c>
      <c r="L33" s="5">
        <f>36093 / 86400</f>
        <v>0.41774305555555558</v>
      </c>
      <c r="M33" s="5">
        <f>50301 / 86400</f>
        <v>0.58218749999999997</v>
      </c>
    </row>
    <row r="34" spans="1:13" x14ac:dyDescent="0.25">
      <c r="A34" t="s">
        <v>331</v>
      </c>
      <c r="B34" s="3">
        <v>45690.481064814812</v>
      </c>
      <c r="C34" t="s">
        <v>25</v>
      </c>
      <c r="D34" s="3">
        <v>45690.803993055553</v>
      </c>
      <c r="E34" t="s">
        <v>25</v>
      </c>
      <c r="F34" s="4">
        <v>1.2999999999999999E-2</v>
      </c>
      <c r="G34" s="4">
        <v>566134.83499999996</v>
      </c>
      <c r="H34" s="4">
        <v>566134.848</v>
      </c>
      <c r="I34" s="5">
        <f>39 / 86400</f>
        <v>4.5138888888888887E-4</v>
      </c>
      <c r="J34" t="s">
        <v>75</v>
      </c>
      <c r="K34" t="s">
        <v>39</v>
      </c>
      <c r="L34" s="5">
        <f>182 / 86400</f>
        <v>2.1064814814814813E-3</v>
      </c>
      <c r="M34" s="5">
        <f>86217 / 86400</f>
        <v>0.99788194444444445</v>
      </c>
    </row>
    <row r="35" spans="1:13" x14ac:dyDescent="0.25">
      <c r="A35" t="s">
        <v>332</v>
      </c>
      <c r="B35" s="3">
        <v>45690.259976851856</v>
      </c>
      <c r="C35" t="s">
        <v>76</v>
      </c>
      <c r="D35" s="3">
        <v>45690.943784722222</v>
      </c>
      <c r="E35" t="s">
        <v>77</v>
      </c>
      <c r="F35" s="4">
        <v>214.09900000000002</v>
      </c>
      <c r="G35" s="4">
        <v>433742.75599999999</v>
      </c>
      <c r="H35" s="4">
        <v>433956.85499999998</v>
      </c>
      <c r="I35" s="5">
        <f>12817 / 86400</f>
        <v>0.14834490740740741</v>
      </c>
      <c r="J35" t="s">
        <v>43</v>
      </c>
      <c r="K35" t="s">
        <v>33</v>
      </c>
      <c r="L35" s="5">
        <f>43160 / 86400</f>
        <v>0.49953703703703706</v>
      </c>
      <c r="M35" s="5">
        <f>43234 / 86400</f>
        <v>0.50039351851851854</v>
      </c>
    </row>
    <row r="36" spans="1:13" x14ac:dyDescent="0.25">
      <c r="A36" t="s">
        <v>333</v>
      </c>
      <c r="B36" s="3">
        <v>45690</v>
      </c>
      <c r="C36" t="s">
        <v>78</v>
      </c>
      <c r="D36" s="3">
        <v>45690.882071759261</v>
      </c>
      <c r="E36" t="s">
        <v>48</v>
      </c>
      <c r="F36" s="4">
        <v>266.07</v>
      </c>
      <c r="G36" s="4">
        <v>513092.63199999998</v>
      </c>
      <c r="H36" s="4">
        <v>513358.85700000002</v>
      </c>
      <c r="I36" s="5">
        <f>19557 / 86400</f>
        <v>0.22635416666666666</v>
      </c>
      <c r="J36" t="s">
        <v>35</v>
      </c>
      <c r="K36" t="s">
        <v>33</v>
      </c>
      <c r="L36" s="5">
        <f>52493 / 86400</f>
        <v>0.60755787037037035</v>
      </c>
      <c r="M36" s="5">
        <f>33906 / 86400</f>
        <v>0.39243055555555556</v>
      </c>
    </row>
    <row r="37" spans="1:13" x14ac:dyDescent="0.25">
      <c r="A37" t="s">
        <v>334</v>
      </c>
      <c r="B37" s="3">
        <v>45690</v>
      </c>
      <c r="C37" t="s">
        <v>22</v>
      </c>
      <c r="D37" s="3">
        <v>45690.99998842593</v>
      </c>
      <c r="E37" t="s">
        <v>22</v>
      </c>
      <c r="F37" s="4">
        <v>9.8000000000000004E-2</v>
      </c>
      <c r="G37" s="4">
        <v>503564.10100000002</v>
      </c>
      <c r="H37" s="4">
        <v>503564.19900000002</v>
      </c>
      <c r="I37" s="5">
        <f>75566 / 86400</f>
        <v>0.87460648148148146</v>
      </c>
      <c r="J37" t="s">
        <v>79</v>
      </c>
      <c r="K37" t="s">
        <v>39</v>
      </c>
      <c r="L37" s="5">
        <f>86399 / 86400</f>
        <v>0.99998842592592596</v>
      </c>
      <c r="M37" s="5">
        <f>0 / 86400</f>
        <v>0</v>
      </c>
    </row>
    <row r="38" spans="1:13" x14ac:dyDescent="0.25">
      <c r="A38" t="s">
        <v>335</v>
      </c>
      <c r="B38" s="3">
        <v>45690.547800925924</v>
      </c>
      <c r="C38" t="s">
        <v>80</v>
      </c>
      <c r="D38" s="3">
        <v>45690.906215277777</v>
      </c>
      <c r="E38" t="s">
        <v>81</v>
      </c>
      <c r="F38" s="4">
        <v>106.733</v>
      </c>
      <c r="G38" s="4">
        <v>350198.87800000003</v>
      </c>
      <c r="H38" s="4">
        <v>350305.61099999998</v>
      </c>
      <c r="I38" s="5">
        <f>6101 / 86400</f>
        <v>7.0613425925925927E-2</v>
      </c>
      <c r="J38" t="s">
        <v>50</v>
      </c>
      <c r="K38" t="s">
        <v>33</v>
      </c>
      <c r="L38" s="5">
        <f>21885 / 86400</f>
        <v>0.25329861111111113</v>
      </c>
      <c r="M38" s="5">
        <f>64512 / 86400</f>
        <v>0.7466666666666667</v>
      </c>
    </row>
    <row r="39" spans="1:13" x14ac:dyDescent="0.25">
      <c r="A39" t="s">
        <v>336</v>
      </c>
      <c r="B39" s="3">
        <v>45690.330231481479</v>
      </c>
      <c r="C39" t="s">
        <v>82</v>
      </c>
      <c r="D39" s="3">
        <v>45690.74863425926</v>
      </c>
      <c r="E39" t="s">
        <v>82</v>
      </c>
      <c r="F39" s="4">
        <v>56.395000000000003</v>
      </c>
      <c r="G39" s="4">
        <v>409450.951</v>
      </c>
      <c r="H39" s="4">
        <v>409507.34600000002</v>
      </c>
      <c r="I39" s="5">
        <f>2635 / 86400</f>
        <v>3.0497685185185187E-2</v>
      </c>
      <c r="J39" t="s">
        <v>83</v>
      </c>
      <c r="K39" t="s">
        <v>84</v>
      </c>
      <c r="L39" s="5">
        <f>9357 / 86400</f>
        <v>0.10829861111111111</v>
      </c>
      <c r="M39" s="5">
        <f>77040 / 86400</f>
        <v>0.89166666666666672</v>
      </c>
    </row>
    <row r="40" spans="1:13" x14ac:dyDescent="0.25">
      <c r="A40" t="s">
        <v>337</v>
      </c>
      <c r="B40" s="3">
        <v>45690.650891203702</v>
      </c>
      <c r="C40" t="s">
        <v>81</v>
      </c>
      <c r="D40" s="3">
        <v>45690.99998842593</v>
      </c>
      <c r="E40" t="s">
        <v>85</v>
      </c>
      <c r="F40" s="4">
        <v>188.78399999999999</v>
      </c>
      <c r="G40" s="4">
        <v>472507.19099999999</v>
      </c>
      <c r="H40" s="4">
        <v>472695.97499999998</v>
      </c>
      <c r="I40" s="5">
        <f>7957 / 86400</f>
        <v>9.2094907407407403E-2</v>
      </c>
      <c r="J40" t="s">
        <v>50</v>
      </c>
      <c r="K40" t="s">
        <v>86</v>
      </c>
      <c r="L40" s="5">
        <f>29880 / 86400</f>
        <v>0.34583333333333333</v>
      </c>
      <c r="M40" s="5">
        <f>56514 / 86400</f>
        <v>0.65409722222222222</v>
      </c>
    </row>
    <row r="41" spans="1:13" x14ac:dyDescent="0.25">
      <c r="A41" t="s">
        <v>338</v>
      </c>
      <c r="B41" s="3">
        <v>45690.603379629625</v>
      </c>
      <c r="C41" t="s">
        <v>22</v>
      </c>
      <c r="D41" s="3">
        <v>45690.707094907411</v>
      </c>
      <c r="E41" t="s">
        <v>22</v>
      </c>
      <c r="F41" s="4">
        <v>2.4859999999999998</v>
      </c>
      <c r="G41" s="4">
        <v>411570.30699999997</v>
      </c>
      <c r="H41" s="4">
        <v>411572.79300000001</v>
      </c>
      <c r="I41" s="5">
        <f>377 / 86400</f>
        <v>4.363425925925926E-3</v>
      </c>
      <c r="J41" t="s">
        <v>87</v>
      </c>
      <c r="K41" t="s">
        <v>88</v>
      </c>
      <c r="L41" s="5">
        <f>977 / 86400</f>
        <v>1.1307870370370371E-2</v>
      </c>
      <c r="M41" s="5">
        <f>85420 / 86400</f>
        <v>0.98865740740740737</v>
      </c>
    </row>
    <row r="42" spans="1:13" x14ac:dyDescent="0.25">
      <c r="A42" t="s">
        <v>339</v>
      </c>
      <c r="B42" s="3">
        <v>45690</v>
      </c>
      <c r="C42" t="s">
        <v>89</v>
      </c>
      <c r="D42" s="3">
        <v>45690.805451388893</v>
      </c>
      <c r="E42" t="s">
        <v>25</v>
      </c>
      <c r="F42" s="4">
        <v>171.13900000000001</v>
      </c>
      <c r="G42" s="4">
        <v>325483.908</v>
      </c>
      <c r="H42" s="4">
        <v>325655.04700000002</v>
      </c>
      <c r="I42" s="5">
        <f>10417 / 86400</f>
        <v>0.12056712962962964</v>
      </c>
      <c r="J42" t="s">
        <v>64</v>
      </c>
      <c r="K42" t="s">
        <v>58</v>
      </c>
      <c r="L42" s="5">
        <f>31110 / 86400</f>
        <v>0.36006944444444444</v>
      </c>
      <c r="M42" s="5">
        <f>55283 / 86400</f>
        <v>0.63984953703703706</v>
      </c>
    </row>
    <row r="43" spans="1:13" x14ac:dyDescent="0.25">
      <c r="A43" t="s">
        <v>340</v>
      </c>
      <c r="B43" s="3">
        <v>45690.301064814819</v>
      </c>
      <c r="C43" t="s">
        <v>25</v>
      </c>
      <c r="D43" s="3">
        <v>45690.834328703699</v>
      </c>
      <c r="E43" t="s">
        <v>25</v>
      </c>
      <c r="F43" s="4">
        <v>219.929</v>
      </c>
      <c r="G43" s="4">
        <v>358855.64</v>
      </c>
      <c r="H43" s="4">
        <v>359075.56900000002</v>
      </c>
      <c r="I43" s="5">
        <f>13110 / 86400</f>
        <v>0.1517361111111111</v>
      </c>
      <c r="J43" t="s">
        <v>62</v>
      </c>
      <c r="K43" t="s">
        <v>58</v>
      </c>
      <c r="L43" s="5">
        <f>40497 / 86400</f>
        <v>0.46871527777777777</v>
      </c>
      <c r="M43" s="5">
        <f>45900 / 86400</f>
        <v>0.53125</v>
      </c>
    </row>
    <row r="44" spans="1:13" x14ac:dyDescent="0.25">
      <c r="A44" t="s">
        <v>341</v>
      </c>
      <c r="B44" s="3">
        <v>45690.33393518519</v>
      </c>
      <c r="C44" t="s">
        <v>90</v>
      </c>
      <c r="D44" s="3">
        <v>45690.906585648147</v>
      </c>
      <c r="E44" t="s">
        <v>90</v>
      </c>
      <c r="F44" s="4">
        <v>0.20200000000000001</v>
      </c>
      <c r="G44" s="4">
        <v>80377.585999999996</v>
      </c>
      <c r="H44" s="4">
        <v>80377.788</v>
      </c>
      <c r="I44" s="5">
        <f>498 / 86400</f>
        <v>5.7638888888888887E-3</v>
      </c>
      <c r="J44" t="s">
        <v>91</v>
      </c>
      <c r="K44" t="s">
        <v>41</v>
      </c>
      <c r="L44" s="5">
        <f>638 / 86400</f>
        <v>7.3842592592592597E-3</v>
      </c>
      <c r="M44" s="5">
        <f>85760 / 86400</f>
        <v>0.99259259259259258</v>
      </c>
    </row>
    <row r="45" spans="1:13" x14ac:dyDescent="0.25">
      <c r="A45" t="s">
        <v>342</v>
      </c>
      <c r="B45" s="3">
        <v>45690.245451388888</v>
      </c>
      <c r="C45" t="s">
        <v>92</v>
      </c>
      <c r="D45" s="3">
        <v>45690.675069444449</v>
      </c>
      <c r="E45" t="s">
        <v>25</v>
      </c>
      <c r="F45" s="4">
        <v>6.4910000000000005</v>
      </c>
      <c r="G45" s="4">
        <v>468170.55300000001</v>
      </c>
      <c r="H45" s="4">
        <v>468177.04399999999</v>
      </c>
      <c r="I45" s="5">
        <f>717 / 86400</f>
        <v>8.2986111111111108E-3</v>
      </c>
      <c r="J45" t="s">
        <v>93</v>
      </c>
      <c r="K45" t="s">
        <v>24</v>
      </c>
      <c r="L45" s="5">
        <f>2416 / 86400</f>
        <v>2.7962962962962964E-2</v>
      </c>
      <c r="M45" s="5">
        <f>83980 / 86400</f>
        <v>0.97199074074074077</v>
      </c>
    </row>
    <row r="46" spans="1:13" x14ac:dyDescent="0.25">
      <c r="A46" t="s">
        <v>343</v>
      </c>
      <c r="B46" s="3">
        <v>45690.424398148149</v>
      </c>
      <c r="C46" t="s">
        <v>94</v>
      </c>
      <c r="D46" s="3">
        <v>45690.918495370366</v>
      </c>
      <c r="E46" t="s">
        <v>94</v>
      </c>
      <c r="F46" s="4">
        <v>199.04500000000002</v>
      </c>
      <c r="G46" s="4">
        <v>426948.53</v>
      </c>
      <c r="H46" s="4">
        <v>427147.576</v>
      </c>
      <c r="I46" s="5">
        <f>10754 / 86400</f>
        <v>0.12446759259259259</v>
      </c>
      <c r="J46" t="s">
        <v>35</v>
      </c>
      <c r="K46" t="s">
        <v>20</v>
      </c>
      <c r="L46" s="5">
        <f>37875 / 86400</f>
        <v>0.43836805555555558</v>
      </c>
      <c r="M46" s="5">
        <f>48515 / 86400</f>
        <v>0.5615162037037037</v>
      </c>
    </row>
    <row r="47" spans="1:13" x14ac:dyDescent="0.25">
      <c r="A47" t="s">
        <v>344</v>
      </c>
      <c r="B47" s="3">
        <v>45690.248587962968</v>
      </c>
      <c r="C47" t="s">
        <v>25</v>
      </c>
      <c r="D47" s="3">
        <v>45690.940474537041</v>
      </c>
      <c r="E47" t="s">
        <v>25</v>
      </c>
      <c r="F47" s="4">
        <v>256.27999999999997</v>
      </c>
      <c r="G47" s="4">
        <v>573476.70900000003</v>
      </c>
      <c r="H47" s="4">
        <v>573732.98899999994</v>
      </c>
      <c r="I47" s="5">
        <f>15739 / 86400</f>
        <v>0.18216435185185184</v>
      </c>
      <c r="J47" t="s">
        <v>55</v>
      </c>
      <c r="K47" t="s">
        <v>33</v>
      </c>
      <c r="L47" s="5">
        <f>51972 / 86400</f>
        <v>0.60152777777777777</v>
      </c>
      <c r="M47" s="5">
        <f>34423 / 86400</f>
        <v>0.39841435185185187</v>
      </c>
    </row>
    <row r="48" spans="1:13" x14ac:dyDescent="0.25">
      <c r="A48" t="s">
        <v>345</v>
      </c>
      <c r="B48" s="3">
        <v>45690.316643518519</v>
      </c>
      <c r="C48" t="s">
        <v>95</v>
      </c>
      <c r="D48" s="3">
        <v>45690.965648148151</v>
      </c>
      <c r="E48" t="s">
        <v>95</v>
      </c>
      <c r="F48" s="4">
        <v>121.812</v>
      </c>
      <c r="G48" s="4">
        <v>399017.13900000002</v>
      </c>
      <c r="H48" s="4">
        <v>399138.951</v>
      </c>
      <c r="I48" s="5">
        <f>9534 / 86400</f>
        <v>0.11034722222222222</v>
      </c>
      <c r="J48" t="s">
        <v>96</v>
      </c>
      <c r="K48" t="s">
        <v>97</v>
      </c>
      <c r="L48" s="5">
        <f>27922 / 86400</f>
        <v>0.32317129629629632</v>
      </c>
      <c r="M48" s="5">
        <f>58471 / 86400</f>
        <v>0.67674768518518513</v>
      </c>
    </row>
    <row r="49" spans="1:13" x14ac:dyDescent="0.25">
      <c r="A49" t="s">
        <v>346</v>
      </c>
      <c r="B49" s="3">
        <v>45690.285543981481</v>
      </c>
      <c r="C49" t="s">
        <v>98</v>
      </c>
      <c r="D49" s="3">
        <v>45690.820034722223</v>
      </c>
      <c r="E49" t="s">
        <v>98</v>
      </c>
      <c r="F49" s="4">
        <v>205.643</v>
      </c>
      <c r="G49" s="4">
        <v>544042.48300000001</v>
      </c>
      <c r="H49" s="4">
        <v>544248.12600000005</v>
      </c>
      <c r="I49" s="5">
        <f>11098 / 86400</f>
        <v>0.12844907407407408</v>
      </c>
      <c r="J49" t="s">
        <v>57</v>
      </c>
      <c r="K49" t="s">
        <v>20</v>
      </c>
      <c r="L49" s="5">
        <f>38863 / 86400</f>
        <v>0.44980324074074074</v>
      </c>
      <c r="M49" s="5">
        <f>47529 / 86400</f>
        <v>0.55010416666666662</v>
      </c>
    </row>
    <row r="50" spans="1:13" x14ac:dyDescent="0.25">
      <c r="A50" t="s">
        <v>347</v>
      </c>
      <c r="B50" s="3">
        <v>45690</v>
      </c>
      <c r="C50" t="s">
        <v>99</v>
      </c>
      <c r="D50" s="3">
        <v>45690.99998842593</v>
      </c>
      <c r="E50" t="s">
        <v>100</v>
      </c>
      <c r="F50" s="4">
        <v>190.989</v>
      </c>
      <c r="G50" s="4">
        <v>100870.815</v>
      </c>
      <c r="H50" s="4">
        <v>101061.804</v>
      </c>
      <c r="I50" s="5">
        <f>12837 / 86400</f>
        <v>0.14857638888888888</v>
      </c>
      <c r="J50" t="s">
        <v>101</v>
      </c>
      <c r="K50" t="s">
        <v>20</v>
      </c>
      <c r="L50" s="5">
        <f>35321 / 86400</f>
        <v>0.40880787037037036</v>
      </c>
      <c r="M50" s="5">
        <f>51078 / 86400</f>
        <v>0.5911805555555556</v>
      </c>
    </row>
    <row r="51" spans="1:13" x14ac:dyDescent="0.25">
      <c r="A51" t="s">
        <v>348</v>
      </c>
      <c r="B51" s="3">
        <v>45690.21</v>
      </c>
      <c r="C51" t="s">
        <v>102</v>
      </c>
      <c r="D51" s="3">
        <v>45690.88449074074</v>
      </c>
      <c r="E51" t="s">
        <v>25</v>
      </c>
      <c r="F51" s="4">
        <v>265.69</v>
      </c>
      <c r="G51" s="4">
        <v>52261.677000000003</v>
      </c>
      <c r="H51" s="4">
        <v>52527.366999999998</v>
      </c>
      <c r="I51" s="5">
        <f>14342 / 86400</f>
        <v>0.16599537037037038</v>
      </c>
      <c r="J51" t="s">
        <v>103</v>
      </c>
      <c r="K51" t="s">
        <v>58</v>
      </c>
      <c r="L51" s="5">
        <f>47109 / 86400</f>
        <v>0.54524305555555552</v>
      </c>
      <c r="M51" s="5">
        <f>39290 / 86400</f>
        <v>0.45474537037037038</v>
      </c>
    </row>
    <row r="52" spans="1:13" x14ac:dyDescent="0.25">
      <c r="A52" t="s">
        <v>349</v>
      </c>
      <c r="B52" s="3">
        <v>45690.345486111109</v>
      </c>
      <c r="C52" t="s">
        <v>104</v>
      </c>
      <c r="D52" s="3">
        <v>45690.354386574079</v>
      </c>
      <c r="E52" t="s">
        <v>104</v>
      </c>
      <c r="F52" s="4">
        <v>0</v>
      </c>
      <c r="G52" s="4">
        <v>76740.941000000006</v>
      </c>
      <c r="H52" s="4">
        <v>76740.941000000006</v>
      </c>
      <c r="I52" s="5">
        <f>758 / 86400</f>
        <v>8.773148148148148E-3</v>
      </c>
      <c r="J52" t="s">
        <v>39</v>
      </c>
      <c r="K52" t="s">
        <v>39</v>
      </c>
      <c r="L52" s="5">
        <f>769 / 86400</f>
        <v>8.9004629629629625E-3</v>
      </c>
      <c r="M52" s="5">
        <f>85630 / 86400</f>
        <v>0.99108796296296298</v>
      </c>
    </row>
    <row r="53" spans="1:13" x14ac:dyDescent="0.25">
      <c r="A53" t="s">
        <v>350</v>
      </c>
      <c r="B53" s="3">
        <v>45690.011215277773</v>
      </c>
      <c r="C53" t="s">
        <v>37</v>
      </c>
      <c r="D53" s="3">
        <v>45690.99728009259</v>
      </c>
      <c r="E53" t="s">
        <v>105</v>
      </c>
      <c r="F53" s="4">
        <v>191.84299999999999</v>
      </c>
      <c r="G53" s="4">
        <v>37466.139000000003</v>
      </c>
      <c r="H53" s="4">
        <v>37657.982000000004</v>
      </c>
      <c r="I53" s="5">
        <f>11431 / 86400</f>
        <v>0.13230324074074074</v>
      </c>
      <c r="J53" t="s">
        <v>29</v>
      </c>
      <c r="K53" t="s">
        <v>58</v>
      </c>
      <c r="L53" s="5">
        <f>35058 / 86400</f>
        <v>0.40576388888888887</v>
      </c>
      <c r="M53" s="5">
        <f>51341 / 86400</f>
        <v>0.59422453703703704</v>
      </c>
    </row>
    <row r="54" spans="1:13" x14ac:dyDescent="0.25">
      <c r="A54" t="s">
        <v>351</v>
      </c>
      <c r="B54" s="3">
        <v>45690.289502314816</v>
      </c>
      <c r="C54" t="s">
        <v>90</v>
      </c>
      <c r="D54" s="3">
        <v>45690.902638888889</v>
      </c>
      <c r="E54" t="s">
        <v>90</v>
      </c>
      <c r="F54" s="4">
        <v>221.30799999999999</v>
      </c>
      <c r="G54" s="4">
        <v>520297.79700000002</v>
      </c>
      <c r="H54" s="4">
        <v>520519.10499999998</v>
      </c>
      <c r="I54" s="5">
        <f>13802 / 86400</f>
        <v>0.15974537037037037</v>
      </c>
      <c r="J54" t="s">
        <v>106</v>
      </c>
      <c r="K54" t="s">
        <v>33</v>
      </c>
      <c r="L54" s="5">
        <f>43261 / 86400</f>
        <v>0.50070601851851848</v>
      </c>
      <c r="M54" s="5">
        <f>43132 / 86400</f>
        <v>0.49921296296296297</v>
      </c>
    </row>
    <row r="55" spans="1:13" x14ac:dyDescent="0.25">
      <c r="A55" t="s">
        <v>352</v>
      </c>
      <c r="B55" s="3">
        <v>45690.261215277773</v>
      </c>
      <c r="C55" t="s">
        <v>94</v>
      </c>
      <c r="D55" s="3">
        <v>45690.80678240741</v>
      </c>
      <c r="E55" t="s">
        <v>94</v>
      </c>
      <c r="F55" s="4">
        <v>203.733</v>
      </c>
      <c r="G55" s="4">
        <v>20936.934000000001</v>
      </c>
      <c r="H55" s="4">
        <v>21140.667000000001</v>
      </c>
      <c r="I55" s="5">
        <f>11521 / 86400</f>
        <v>0.1333449074074074</v>
      </c>
      <c r="J55" t="s">
        <v>31</v>
      </c>
      <c r="K55" t="s">
        <v>33</v>
      </c>
      <c r="L55" s="5">
        <f>41394 / 86400</f>
        <v>0.47909722222222223</v>
      </c>
      <c r="M55" s="5">
        <f>45002 / 86400</f>
        <v>0.52085648148148145</v>
      </c>
    </row>
    <row r="56" spans="1:13" x14ac:dyDescent="0.25">
      <c r="A56" t="s">
        <v>353</v>
      </c>
      <c r="B56" s="3">
        <v>45690.134351851855</v>
      </c>
      <c r="C56" t="s">
        <v>107</v>
      </c>
      <c r="D56" s="3">
        <v>45690.71775462963</v>
      </c>
      <c r="E56" t="s">
        <v>37</v>
      </c>
      <c r="F56" s="4">
        <v>256.13100000000003</v>
      </c>
      <c r="G56" s="4">
        <v>62369.241999999998</v>
      </c>
      <c r="H56" s="4">
        <v>62625.373</v>
      </c>
      <c r="I56" s="5">
        <f>10871 / 86400</f>
        <v>0.12582175925925926</v>
      </c>
      <c r="J56" t="s">
        <v>64</v>
      </c>
      <c r="K56" t="s">
        <v>84</v>
      </c>
      <c r="L56" s="5">
        <f>42275 / 86400</f>
        <v>0.48929398148148145</v>
      </c>
      <c r="M56" s="5">
        <f>44119 / 86400</f>
        <v>0.51063657407407403</v>
      </c>
    </row>
    <row r="57" spans="1:13" x14ac:dyDescent="0.25">
      <c r="A57" t="s">
        <v>354</v>
      </c>
      <c r="B57" s="3">
        <v>45690.265381944446</v>
      </c>
      <c r="C57" t="s">
        <v>108</v>
      </c>
      <c r="D57" s="3">
        <v>45690.894270833334</v>
      </c>
      <c r="E57" t="s">
        <v>108</v>
      </c>
      <c r="F57" s="4">
        <v>3.9E-2</v>
      </c>
      <c r="G57" s="4">
        <v>3885.4940000000001</v>
      </c>
      <c r="H57" s="4">
        <v>3885.5329999999999</v>
      </c>
      <c r="I57" s="5">
        <f>19709 / 86400</f>
        <v>0.22811342592592593</v>
      </c>
      <c r="J57" t="s">
        <v>91</v>
      </c>
      <c r="K57" t="s">
        <v>39</v>
      </c>
      <c r="L57" s="5">
        <f>20010 / 86400</f>
        <v>0.23159722222222223</v>
      </c>
      <c r="M57" s="5">
        <f>66379 / 86400</f>
        <v>0.76827546296296301</v>
      </c>
    </row>
    <row r="58" spans="1:13" x14ac:dyDescent="0.25">
      <c r="A58" t="s">
        <v>355</v>
      </c>
      <c r="B58" s="3">
        <v>45690</v>
      </c>
      <c r="C58" t="s">
        <v>109</v>
      </c>
      <c r="D58" s="3">
        <v>45690.99998842593</v>
      </c>
      <c r="E58" t="s">
        <v>110</v>
      </c>
      <c r="F58" s="4">
        <v>242.34700000000001</v>
      </c>
      <c r="G58" s="4">
        <v>405824.266</v>
      </c>
      <c r="H58" s="4">
        <v>406066.61300000001</v>
      </c>
      <c r="I58" s="5">
        <f>10949 / 86400</f>
        <v>0.12672453703703704</v>
      </c>
      <c r="J58" t="s">
        <v>111</v>
      </c>
      <c r="K58" t="s">
        <v>84</v>
      </c>
      <c r="L58" s="5">
        <f>39092 / 86400</f>
        <v>0.45245370370370369</v>
      </c>
      <c r="M58" s="5">
        <f>47300 / 86400</f>
        <v>0.54745370370370372</v>
      </c>
    </row>
    <row r="59" spans="1:13" x14ac:dyDescent="0.25">
      <c r="A59" t="s">
        <v>356</v>
      </c>
      <c r="B59" s="3">
        <v>45690.006666666668</v>
      </c>
      <c r="C59" t="s">
        <v>112</v>
      </c>
      <c r="D59" s="3">
        <v>45690.99998842593</v>
      </c>
      <c r="E59" t="s">
        <v>113</v>
      </c>
      <c r="F59" s="4">
        <v>321.10300000000001</v>
      </c>
      <c r="G59" s="4">
        <v>546904.58400000003</v>
      </c>
      <c r="H59" s="4">
        <v>547225.68700000003</v>
      </c>
      <c r="I59" s="5">
        <f>18141 / 86400</f>
        <v>0.20996527777777776</v>
      </c>
      <c r="J59" t="s">
        <v>62</v>
      </c>
      <c r="K59" t="s">
        <v>20</v>
      </c>
      <c r="L59" s="5">
        <f>61750 / 86400</f>
        <v>0.71469907407407407</v>
      </c>
      <c r="M59" s="5">
        <f>24647 / 86400</f>
        <v>0.2852662037037037</v>
      </c>
    </row>
    <row r="60" spans="1:13" x14ac:dyDescent="0.25">
      <c r="A60" t="s">
        <v>357</v>
      </c>
      <c r="B60" s="3">
        <v>45690.661053240736</v>
      </c>
      <c r="C60" t="s">
        <v>114</v>
      </c>
      <c r="D60" s="3">
        <v>45690.99998842593</v>
      </c>
      <c r="E60" t="s">
        <v>115</v>
      </c>
      <c r="F60" s="4">
        <v>725.62</v>
      </c>
      <c r="G60" s="4">
        <v>43474.724999999999</v>
      </c>
      <c r="H60" s="4">
        <v>44200.345000000001</v>
      </c>
      <c r="I60" s="5">
        <f>6256 / 86400</f>
        <v>7.2407407407407406E-2</v>
      </c>
      <c r="J60" t="s">
        <v>116</v>
      </c>
      <c r="K60" t="s">
        <v>74</v>
      </c>
      <c r="L60" s="5">
        <f>27687 / 86400</f>
        <v>0.32045138888888891</v>
      </c>
      <c r="M60" s="5">
        <f>58711 / 86400</f>
        <v>0.67952546296296301</v>
      </c>
    </row>
    <row r="61" spans="1:13" x14ac:dyDescent="0.25">
      <c r="A61" t="s">
        <v>358</v>
      </c>
      <c r="B61" s="3">
        <v>45690</v>
      </c>
      <c r="C61" t="s">
        <v>65</v>
      </c>
      <c r="D61" s="3">
        <v>45690.99998842593</v>
      </c>
      <c r="E61" t="s">
        <v>117</v>
      </c>
      <c r="F61" s="4">
        <v>376.267</v>
      </c>
      <c r="G61" s="4">
        <v>56035.612999999998</v>
      </c>
      <c r="H61" s="4">
        <v>56411.88</v>
      </c>
      <c r="I61" s="5">
        <f>16827 / 86400</f>
        <v>0.19475694444444444</v>
      </c>
      <c r="J61" t="s">
        <v>118</v>
      </c>
      <c r="K61" t="s">
        <v>30</v>
      </c>
      <c r="L61" s="5">
        <f>63621 / 86400</f>
        <v>0.73635416666666664</v>
      </c>
      <c r="M61" s="5">
        <f>22767 / 86400</f>
        <v>0.26350694444444445</v>
      </c>
    </row>
    <row r="62" spans="1:13" x14ac:dyDescent="0.25">
      <c r="A62" t="s">
        <v>359</v>
      </c>
      <c r="B62" s="3">
        <v>45690.412858796291</v>
      </c>
      <c r="C62" t="s">
        <v>119</v>
      </c>
      <c r="D62" s="3">
        <v>45690.986990740741</v>
      </c>
      <c r="E62" t="s">
        <v>44</v>
      </c>
      <c r="F62" s="4">
        <v>218.02199999999999</v>
      </c>
      <c r="G62" s="4">
        <v>59343.146000000001</v>
      </c>
      <c r="H62" s="4">
        <v>59561.167999999998</v>
      </c>
      <c r="I62" s="5">
        <f>14750 / 86400</f>
        <v>0.17071759259259259</v>
      </c>
      <c r="J62" t="s">
        <v>120</v>
      </c>
      <c r="K62" t="s">
        <v>20</v>
      </c>
      <c r="L62" s="5">
        <f>41317 / 86400</f>
        <v>0.47820601851851852</v>
      </c>
      <c r="M62" s="5">
        <f>45081 / 86400</f>
        <v>0.52177083333333329</v>
      </c>
    </row>
    <row r="63" spans="1:13" x14ac:dyDescent="0.25">
      <c r="A63" s="6" t="s">
        <v>121</v>
      </c>
      <c r="B63" s="6" t="s">
        <v>122</v>
      </c>
      <c r="C63" s="6" t="s">
        <v>122</v>
      </c>
      <c r="D63" s="6" t="s">
        <v>122</v>
      </c>
      <c r="E63" s="6" t="s">
        <v>122</v>
      </c>
      <c r="F63" s="7">
        <v>9489.8694972922203</v>
      </c>
      <c r="G63" s="6" t="s">
        <v>122</v>
      </c>
      <c r="H63" s="6" t="s">
        <v>122</v>
      </c>
      <c r="I63" s="8">
        <f>583370 / 86400</f>
        <v>6.7519675925925924</v>
      </c>
      <c r="J63" s="6" t="s">
        <v>122</v>
      </c>
      <c r="K63" s="6" t="s">
        <v>122</v>
      </c>
      <c r="L63" s="8">
        <f>1731259 / 86400</f>
        <v>20.037719907407407</v>
      </c>
      <c r="M63" s="8">
        <f>3020490 / 86400</f>
        <v>34.959375000000001</v>
      </c>
    </row>
    <row r="64" spans="1:1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2" s="9" customFormat="1" x14ac:dyDescent="0.25">
      <c r="A65" s="14" t="s">
        <v>123</v>
      </c>
      <c r="B65" s="14"/>
      <c r="C65" s="14"/>
      <c r="D65" s="14"/>
      <c r="E65" s="14"/>
      <c r="F65" s="14"/>
      <c r="G65" s="14"/>
      <c r="H65" s="14"/>
      <c r="I65" s="14"/>
      <c r="J65" s="14"/>
    </row>
    <row r="66" spans="1:1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2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 spans="1:12" s="10" customFormat="1" ht="20.100000000000001" customHeight="1" x14ac:dyDescent="0.35">
      <c r="A68" s="15" t="s">
        <v>305</v>
      </c>
      <c r="B68" s="15"/>
      <c r="C68" s="15"/>
      <c r="D68" s="15"/>
      <c r="E68" s="15"/>
      <c r="F68" s="15"/>
      <c r="G68" s="15"/>
      <c r="H68" s="15"/>
      <c r="I68" s="15"/>
      <c r="J68" s="15"/>
    </row>
    <row r="69" spans="1:12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2" ht="30" x14ac:dyDescent="0.25">
      <c r="A70" s="2" t="s">
        <v>6</v>
      </c>
      <c r="B70" s="2" t="s">
        <v>7</v>
      </c>
      <c r="C70" s="2" t="s">
        <v>8</v>
      </c>
      <c r="D70" s="2" t="s">
        <v>9</v>
      </c>
      <c r="E70" s="2" t="s">
        <v>10</v>
      </c>
      <c r="F70" s="2" t="s">
        <v>11</v>
      </c>
      <c r="G70" s="2" t="s">
        <v>12</v>
      </c>
      <c r="H70" s="2" t="s">
        <v>13</v>
      </c>
      <c r="I70" s="2" t="s">
        <v>14</v>
      </c>
      <c r="J70" s="2" t="s">
        <v>15</v>
      </c>
      <c r="K70" s="2" t="s">
        <v>16</v>
      </c>
      <c r="L70" s="2" t="s">
        <v>17</v>
      </c>
    </row>
    <row r="71" spans="1:12" x14ac:dyDescent="0.25">
      <c r="A71" s="3">
        <v>45690.308946759258</v>
      </c>
      <c r="B71" t="s">
        <v>18</v>
      </c>
      <c r="C71" s="3">
        <v>45690.311412037037</v>
      </c>
      <c r="D71" t="s">
        <v>18</v>
      </c>
      <c r="E71" s="4">
        <v>3.6999999999999998E-2</v>
      </c>
      <c r="F71" s="4">
        <v>512051.38199999998</v>
      </c>
      <c r="G71" s="4">
        <v>512051.41899999999</v>
      </c>
      <c r="H71" s="5">
        <f>139 / 86400</f>
        <v>1.6087962962962963E-3</v>
      </c>
      <c r="I71" t="s">
        <v>60</v>
      </c>
      <c r="J71" t="s">
        <v>41</v>
      </c>
      <c r="K71" s="5">
        <f>213 / 86400</f>
        <v>2.4652777777777776E-3</v>
      </c>
      <c r="L71" s="5">
        <f>27631 / 86400</f>
        <v>0.31980324074074074</v>
      </c>
    </row>
    <row r="72" spans="1:12" x14ac:dyDescent="0.25">
      <c r="A72" s="3">
        <v>45690.322268518517</v>
      </c>
      <c r="B72" t="s">
        <v>18</v>
      </c>
      <c r="C72" s="3">
        <v>45690.327870370369</v>
      </c>
      <c r="D72" t="s">
        <v>124</v>
      </c>
      <c r="E72" s="4">
        <v>1.552</v>
      </c>
      <c r="F72" s="4">
        <v>512051.41899999999</v>
      </c>
      <c r="G72" s="4">
        <v>512052.97100000002</v>
      </c>
      <c r="H72" s="5">
        <f>179 / 86400</f>
        <v>2.0717592592592593E-3</v>
      </c>
      <c r="I72" t="s">
        <v>87</v>
      </c>
      <c r="J72" t="s">
        <v>125</v>
      </c>
      <c r="K72" s="5">
        <f>483 / 86400</f>
        <v>5.5902777777777773E-3</v>
      </c>
      <c r="L72" s="5">
        <f>1869 / 86400</f>
        <v>2.1631944444444443E-2</v>
      </c>
    </row>
    <row r="73" spans="1:12" x14ac:dyDescent="0.25">
      <c r="A73" s="3">
        <v>45690.349502314813</v>
      </c>
      <c r="B73" t="s">
        <v>124</v>
      </c>
      <c r="C73" s="3">
        <v>45690.353310185186</v>
      </c>
      <c r="D73" t="s">
        <v>18</v>
      </c>
      <c r="E73" s="4">
        <v>1.3220000000000001</v>
      </c>
      <c r="F73" s="4">
        <v>512052.97100000002</v>
      </c>
      <c r="G73" s="4">
        <v>512054.29300000001</v>
      </c>
      <c r="H73" s="5">
        <f>20 / 86400</f>
        <v>2.3148148148148149E-4</v>
      </c>
      <c r="I73" t="s">
        <v>126</v>
      </c>
      <c r="J73" t="s">
        <v>127</v>
      </c>
      <c r="K73" s="5">
        <f>329 / 86400</f>
        <v>3.8078703703703703E-3</v>
      </c>
      <c r="L73" s="5">
        <f>3691 / 86400</f>
        <v>4.2719907407407408E-2</v>
      </c>
    </row>
    <row r="74" spans="1:12" x14ac:dyDescent="0.25">
      <c r="A74" s="3">
        <v>45690.396030092597</v>
      </c>
      <c r="B74" t="s">
        <v>18</v>
      </c>
      <c r="C74" s="3">
        <v>45690.491296296299</v>
      </c>
      <c r="D74" t="s">
        <v>128</v>
      </c>
      <c r="E74" s="4">
        <v>45.808999999999997</v>
      </c>
      <c r="F74" s="4">
        <v>512054.29300000001</v>
      </c>
      <c r="G74" s="4">
        <v>512100.10200000001</v>
      </c>
      <c r="H74" s="5">
        <f>3059 / 86400</f>
        <v>3.5405092592592592E-2</v>
      </c>
      <c r="I74" t="s">
        <v>45</v>
      </c>
      <c r="J74" t="s">
        <v>58</v>
      </c>
      <c r="K74" s="5">
        <f>8231 / 86400</f>
        <v>9.52662037037037E-2</v>
      </c>
      <c r="L74" s="5">
        <f>1966 / 86400</f>
        <v>2.2754629629629628E-2</v>
      </c>
    </row>
    <row r="75" spans="1:12" x14ac:dyDescent="0.25">
      <c r="A75" s="3">
        <v>45690.514050925922</v>
      </c>
      <c r="B75" t="s">
        <v>128</v>
      </c>
      <c r="C75" s="3">
        <v>45690.591585648144</v>
      </c>
      <c r="D75" t="s">
        <v>129</v>
      </c>
      <c r="E75" s="4">
        <v>40.573</v>
      </c>
      <c r="F75" s="4">
        <v>512100.10200000001</v>
      </c>
      <c r="G75" s="4">
        <v>512140.67499999999</v>
      </c>
      <c r="H75" s="5">
        <f>1760 / 86400</f>
        <v>2.0370370370370372E-2</v>
      </c>
      <c r="I75" t="s">
        <v>45</v>
      </c>
      <c r="J75" t="s">
        <v>84</v>
      </c>
      <c r="K75" s="5">
        <f>6699 / 86400</f>
        <v>7.7534722222222227E-2</v>
      </c>
      <c r="L75" s="5">
        <f>196 / 86400</f>
        <v>2.2685185185185187E-3</v>
      </c>
    </row>
    <row r="76" spans="1:12" x14ac:dyDescent="0.25">
      <c r="A76" s="3">
        <v>45690.593854166669</v>
      </c>
      <c r="B76" t="s">
        <v>129</v>
      </c>
      <c r="C76" s="3">
        <v>45690.655949074076</v>
      </c>
      <c r="D76" t="s">
        <v>130</v>
      </c>
      <c r="E76" s="4">
        <v>34.911000000000001</v>
      </c>
      <c r="F76" s="4">
        <v>512140.67499999999</v>
      </c>
      <c r="G76" s="4">
        <v>512175.58600000001</v>
      </c>
      <c r="H76" s="5">
        <f>1938 / 86400</f>
        <v>2.2430555555555554E-2</v>
      </c>
      <c r="I76" t="s">
        <v>83</v>
      </c>
      <c r="J76" t="s">
        <v>86</v>
      </c>
      <c r="K76" s="5">
        <f>5364 / 86400</f>
        <v>6.2083333333333331E-2</v>
      </c>
      <c r="L76" s="5">
        <f>2873 / 86400</f>
        <v>3.3252314814814818E-2</v>
      </c>
    </row>
    <row r="77" spans="1:12" x14ac:dyDescent="0.25">
      <c r="A77" s="3">
        <v>45690.689201388886</v>
      </c>
      <c r="B77" t="s">
        <v>130</v>
      </c>
      <c r="C77" s="3">
        <v>45690.693159722221</v>
      </c>
      <c r="D77" t="s">
        <v>131</v>
      </c>
      <c r="E77" s="4">
        <v>0.84499999999999997</v>
      </c>
      <c r="F77" s="4">
        <v>512175.58600000001</v>
      </c>
      <c r="G77" s="4">
        <v>512176.43099999998</v>
      </c>
      <c r="H77" s="5">
        <f>40 / 86400</f>
        <v>4.6296296296296298E-4</v>
      </c>
      <c r="I77" t="s">
        <v>132</v>
      </c>
      <c r="J77" t="s">
        <v>88</v>
      </c>
      <c r="K77" s="5">
        <f>342 / 86400</f>
        <v>3.9583333333333337E-3</v>
      </c>
      <c r="L77" s="5">
        <f>50 / 86400</f>
        <v>5.7870370370370367E-4</v>
      </c>
    </row>
    <row r="78" spans="1:12" x14ac:dyDescent="0.25">
      <c r="A78" s="3">
        <v>45690.693738425922</v>
      </c>
      <c r="B78" t="s">
        <v>131</v>
      </c>
      <c r="C78" s="3">
        <v>45690.693796296298</v>
      </c>
      <c r="D78" t="s">
        <v>131</v>
      </c>
      <c r="E78" s="4">
        <v>0</v>
      </c>
      <c r="F78" s="4">
        <v>512176.43099999998</v>
      </c>
      <c r="G78" s="4">
        <v>512176.43099999998</v>
      </c>
      <c r="H78" s="5">
        <f>0 / 86400</f>
        <v>0</v>
      </c>
      <c r="I78" t="s">
        <v>39</v>
      </c>
      <c r="J78" t="s">
        <v>39</v>
      </c>
      <c r="K78" s="5">
        <f>4 / 86400</f>
        <v>4.6296296296296294E-5</v>
      </c>
      <c r="L78" s="5">
        <f>93 / 86400</f>
        <v>1.0763888888888889E-3</v>
      </c>
    </row>
    <row r="79" spans="1:12" x14ac:dyDescent="0.25">
      <c r="A79" s="3">
        <v>45690.694872685184</v>
      </c>
      <c r="B79" t="s">
        <v>131</v>
      </c>
      <c r="C79" s="3">
        <v>45690.860775462963</v>
      </c>
      <c r="D79" t="s">
        <v>133</v>
      </c>
      <c r="E79" s="4">
        <v>66.915999999999997</v>
      </c>
      <c r="F79" s="4">
        <v>512176.43099999998</v>
      </c>
      <c r="G79" s="4">
        <v>512243.34700000001</v>
      </c>
      <c r="H79" s="5">
        <f>4102 / 86400</f>
        <v>4.7476851851851853E-2</v>
      </c>
      <c r="I79" t="s">
        <v>19</v>
      </c>
      <c r="J79" t="s">
        <v>27</v>
      </c>
      <c r="K79" s="5">
        <f>14333 / 86400</f>
        <v>0.16589120370370369</v>
      </c>
      <c r="L79" s="5">
        <f>388 / 86400</f>
        <v>4.4907407407407405E-3</v>
      </c>
    </row>
    <row r="80" spans="1:12" x14ac:dyDescent="0.25">
      <c r="A80" s="3">
        <v>45690.865266203706</v>
      </c>
      <c r="B80" t="s">
        <v>133</v>
      </c>
      <c r="C80" s="3">
        <v>45690.869039351848</v>
      </c>
      <c r="D80" t="s">
        <v>18</v>
      </c>
      <c r="E80" s="4">
        <v>0.49399999999999999</v>
      </c>
      <c r="F80" s="4">
        <v>512243.34700000001</v>
      </c>
      <c r="G80" s="4">
        <v>512243.84100000001</v>
      </c>
      <c r="H80" s="5">
        <f>180 / 86400</f>
        <v>2.0833333333333333E-3</v>
      </c>
      <c r="I80" t="s">
        <v>134</v>
      </c>
      <c r="J80" t="s">
        <v>60</v>
      </c>
      <c r="K80" s="5">
        <f>325 / 86400</f>
        <v>3.7615740740740739E-3</v>
      </c>
      <c r="L80" s="5">
        <f>136 / 86400</f>
        <v>1.5740740740740741E-3</v>
      </c>
    </row>
    <row r="81" spans="1:12" x14ac:dyDescent="0.25">
      <c r="A81" s="3">
        <v>45690.870613425926</v>
      </c>
      <c r="B81" t="s">
        <v>18</v>
      </c>
      <c r="C81" s="3">
        <v>45690.871678240743</v>
      </c>
      <c r="D81" t="s">
        <v>18</v>
      </c>
      <c r="E81" s="4">
        <v>2.5000000000000001E-2</v>
      </c>
      <c r="F81" s="4">
        <v>512243.84100000001</v>
      </c>
      <c r="G81" s="4">
        <v>512243.86599999998</v>
      </c>
      <c r="H81" s="5">
        <f>60 / 86400</f>
        <v>6.9444444444444447E-4</v>
      </c>
      <c r="I81" t="s">
        <v>41</v>
      </c>
      <c r="J81" t="s">
        <v>41</v>
      </c>
      <c r="K81" s="5">
        <f>92 / 86400</f>
        <v>1.0648148148148149E-3</v>
      </c>
      <c r="L81" s="5">
        <f>11086 / 86400</f>
        <v>0.12831018518518519</v>
      </c>
    </row>
    <row r="82" spans="1:12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</row>
    <row r="83" spans="1:12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2" s="10" customFormat="1" ht="20.100000000000001" customHeight="1" x14ac:dyDescent="0.35">
      <c r="A84" s="15" t="s">
        <v>306</v>
      </c>
      <c r="B84" s="15"/>
      <c r="C84" s="15"/>
      <c r="D84" s="15"/>
      <c r="E84" s="15"/>
      <c r="F84" s="15"/>
      <c r="G84" s="15"/>
      <c r="H84" s="15"/>
      <c r="I84" s="15"/>
      <c r="J84" s="15"/>
    </row>
    <row r="85" spans="1:12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2" ht="30" x14ac:dyDescent="0.25">
      <c r="A86" s="2" t="s">
        <v>6</v>
      </c>
      <c r="B86" s="2" t="s">
        <v>7</v>
      </c>
      <c r="C86" s="2" t="s">
        <v>8</v>
      </c>
      <c r="D86" s="2" t="s">
        <v>9</v>
      </c>
      <c r="E86" s="2" t="s">
        <v>10</v>
      </c>
      <c r="F86" s="2" t="s">
        <v>11</v>
      </c>
      <c r="G86" s="2" t="s">
        <v>12</v>
      </c>
      <c r="H86" s="2" t="s">
        <v>13</v>
      </c>
      <c r="I86" s="2" t="s">
        <v>14</v>
      </c>
      <c r="J86" s="2" t="s">
        <v>15</v>
      </c>
      <c r="K86" s="2" t="s">
        <v>16</v>
      </c>
      <c r="L86" s="2" t="s">
        <v>17</v>
      </c>
    </row>
    <row r="87" spans="1:12" x14ac:dyDescent="0.25">
      <c r="A87" s="3">
        <v>45690.238541666666</v>
      </c>
      <c r="B87" t="s">
        <v>21</v>
      </c>
      <c r="C87" s="3">
        <v>45690.239004629635</v>
      </c>
      <c r="D87" t="s">
        <v>21</v>
      </c>
      <c r="E87" s="4">
        <v>6.0000000000000001E-3</v>
      </c>
      <c r="F87" s="4">
        <v>326539.96999999997</v>
      </c>
      <c r="G87" s="4">
        <v>326539.97600000002</v>
      </c>
      <c r="H87" s="5">
        <f>20 / 86400</f>
        <v>2.3148148148148149E-4</v>
      </c>
      <c r="I87" t="s">
        <v>41</v>
      </c>
      <c r="J87" t="s">
        <v>41</v>
      </c>
      <c r="K87" s="5">
        <f>40 / 86400</f>
        <v>4.6296296296296298E-4</v>
      </c>
      <c r="L87" s="5">
        <f>20657 / 86400</f>
        <v>0.23908564814814814</v>
      </c>
    </row>
    <row r="88" spans="1:12" x14ac:dyDescent="0.25">
      <c r="A88" s="3">
        <v>45690.239548611113</v>
      </c>
      <c r="B88" t="s">
        <v>21</v>
      </c>
      <c r="C88" s="3">
        <v>45690.240208333329</v>
      </c>
      <c r="D88" t="s">
        <v>102</v>
      </c>
      <c r="E88" s="4">
        <v>3.5000000000000003E-2</v>
      </c>
      <c r="F88" s="4">
        <v>326539.97600000002</v>
      </c>
      <c r="G88" s="4">
        <v>326540.011</v>
      </c>
      <c r="H88" s="5">
        <f>0 / 86400</f>
        <v>0</v>
      </c>
      <c r="I88" t="s">
        <v>75</v>
      </c>
      <c r="J88" t="s">
        <v>79</v>
      </c>
      <c r="K88" s="5">
        <f>56 / 86400</f>
        <v>6.4814814814814813E-4</v>
      </c>
      <c r="L88" s="5">
        <f>944 / 86400</f>
        <v>1.0925925925925926E-2</v>
      </c>
    </row>
    <row r="89" spans="1:12" x14ac:dyDescent="0.25">
      <c r="A89" s="3">
        <v>45690.251134259262</v>
      </c>
      <c r="B89" t="s">
        <v>102</v>
      </c>
      <c r="C89" s="3">
        <v>45690.252303240741</v>
      </c>
      <c r="D89" t="s">
        <v>21</v>
      </c>
      <c r="E89" s="4">
        <v>4.9000000000000002E-2</v>
      </c>
      <c r="F89" s="4">
        <v>326540.011</v>
      </c>
      <c r="G89" s="4">
        <v>326540.06</v>
      </c>
      <c r="H89" s="5">
        <f>60 / 86400</f>
        <v>6.9444444444444447E-4</v>
      </c>
      <c r="I89" t="s">
        <v>60</v>
      </c>
      <c r="J89" t="s">
        <v>79</v>
      </c>
      <c r="K89" s="5">
        <f>101 / 86400</f>
        <v>1.1689814814814816E-3</v>
      </c>
      <c r="L89" s="5">
        <f>2549 / 86400</f>
        <v>2.9502314814814815E-2</v>
      </c>
    </row>
    <row r="90" spans="1:12" x14ac:dyDescent="0.25">
      <c r="A90" s="3">
        <v>45690.281805555554</v>
      </c>
      <c r="B90" t="s">
        <v>102</v>
      </c>
      <c r="C90" s="3">
        <v>45690.284930555557</v>
      </c>
      <c r="D90" t="s">
        <v>22</v>
      </c>
      <c r="E90" s="4">
        <v>0.66600000000000004</v>
      </c>
      <c r="F90" s="4">
        <v>326540.06</v>
      </c>
      <c r="G90" s="4">
        <v>326540.72600000002</v>
      </c>
      <c r="H90" s="5">
        <f>120 / 86400</f>
        <v>1.3888888888888889E-3</v>
      </c>
      <c r="I90" t="s">
        <v>135</v>
      </c>
      <c r="J90" t="s">
        <v>88</v>
      </c>
      <c r="K90" s="5">
        <f>270 / 86400</f>
        <v>3.1250000000000002E-3</v>
      </c>
      <c r="L90" s="5">
        <f>36984 / 86400</f>
        <v>0.42805555555555558</v>
      </c>
    </row>
    <row r="91" spans="1:12" x14ac:dyDescent="0.25">
      <c r="A91" s="3">
        <v>45690.71298611111</v>
      </c>
      <c r="B91" t="s">
        <v>22</v>
      </c>
      <c r="C91" s="3">
        <v>45690.716840277775</v>
      </c>
      <c r="D91" t="s">
        <v>112</v>
      </c>
      <c r="E91" s="4">
        <v>1.115</v>
      </c>
      <c r="F91" s="4">
        <v>326540.72600000002</v>
      </c>
      <c r="G91" s="4">
        <v>326541.84100000001</v>
      </c>
      <c r="H91" s="5">
        <f>82 / 86400</f>
        <v>9.4907407407407408E-4</v>
      </c>
      <c r="I91" t="s">
        <v>135</v>
      </c>
      <c r="J91" t="s">
        <v>125</v>
      </c>
      <c r="K91" s="5">
        <f>333 / 86400</f>
        <v>3.8541666666666668E-3</v>
      </c>
      <c r="L91" s="5">
        <f>228 / 86400</f>
        <v>2.638888888888889E-3</v>
      </c>
    </row>
    <row r="92" spans="1:12" x14ac:dyDescent="0.25">
      <c r="A92" s="3">
        <v>45690.71947916667</v>
      </c>
      <c r="B92" t="s">
        <v>112</v>
      </c>
      <c r="C92" s="3">
        <v>45690.724907407406</v>
      </c>
      <c r="D92" t="s">
        <v>22</v>
      </c>
      <c r="E92" s="4">
        <v>1.5389999999999999</v>
      </c>
      <c r="F92" s="4">
        <v>326541.84100000001</v>
      </c>
      <c r="G92" s="4">
        <v>326543.38</v>
      </c>
      <c r="H92" s="5">
        <f>140 / 86400</f>
        <v>1.6203703703703703E-3</v>
      </c>
      <c r="I92" t="s">
        <v>23</v>
      </c>
      <c r="J92" t="s">
        <v>125</v>
      </c>
      <c r="K92" s="5">
        <f>469 / 86400</f>
        <v>5.4282407407407404E-3</v>
      </c>
      <c r="L92" s="5">
        <f>23767 / 86400</f>
        <v>0.27508101851851852</v>
      </c>
    </row>
    <row r="93" spans="1:12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</row>
    <row r="94" spans="1:1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2" s="10" customFormat="1" ht="20.100000000000001" customHeight="1" x14ac:dyDescent="0.35">
      <c r="A95" s="15" t="s">
        <v>307</v>
      </c>
      <c r="B95" s="15"/>
      <c r="C95" s="15"/>
      <c r="D95" s="15"/>
      <c r="E95" s="15"/>
      <c r="F95" s="15"/>
      <c r="G95" s="15"/>
      <c r="H95" s="15"/>
      <c r="I95" s="15"/>
      <c r="J95" s="15"/>
    </row>
    <row r="96" spans="1:1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2" ht="30" x14ac:dyDescent="0.25">
      <c r="A97" s="2" t="s">
        <v>6</v>
      </c>
      <c r="B97" s="2" t="s">
        <v>7</v>
      </c>
      <c r="C97" s="2" t="s">
        <v>8</v>
      </c>
      <c r="D97" s="2" t="s">
        <v>9</v>
      </c>
      <c r="E97" s="2" t="s">
        <v>10</v>
      </c>
      <c r="F97" s="2" t="s">
        <v>11</v>
      </c>
      <c r="G97" s="2" t="s">
        <v>12</v>
      </c>
      <c r="H97" s="2" t="s">
        <v>13</v>
      </c>
      <c r="I97" s="2" t="s">
        <v>14</v>
      </c>
      <c r="J97" s="2" t="s">
        <v>15</v>
      </c>
      <c r="K97" s="2" t="s">
        <v>16</v>
      </c>
      <c r="L97" s="2" t="s">
        <v>17</v>
      </c>
    </row>
    <row r="98" spans="1:12" x14ac:dyDescent="0.25">
      <c r="A98" s="3">
        <v>45690.368402777778</v>
      </c>
      <c r="B98" t="s">
        <v>25</v>
      </c>
      <c r="C98" s="3">
        <v>45690.380196759259</v>
      </c>
      <c r="D98" t="s">
        <v>25</v>
      </c>
      <c r="E98" s="4">
        <v>2.1019999999999999</v>
      </c>
      <c r="F98" s="4">
        <v>19544.166000000001</v>
      </c>
      <c r="G98" s="4">
        <v>19546.268</v>
      </c>
      <c r="H98" s="5">
        <f>559 / 86400</f>
        <v>6.4699074074074077E-3</v>
      </c>
      <c r="I98" t="s">
        <v>136</v>
      </c>
      <c r="J98" t="s">
        <v>91</v>
      </c>
      <c r="K98" s="5">
        <f>1018 / 86400</f>
        <v>1.1782407407407408E-2</v>
      </c>
      <c r="L98" s="5">
        <f>32031 / 86400</f>
        <v>0.37072916666666667</v>
      </c>
    </row>
    <row r="99" spans="1:12" x14ac:dyDescent="0.25">
      <c r="A99" s="3">
        <v>45690.382523148146</v>
      </c>
      <c r="B99" t="s">
        <v>25</v>
      </c>
      <c r="C99" s="3">
        <v>45690.434594907405</v>
      </c>
      <c r="D99" t="s">
        <v>137</v>
      </c>
      <c r="E99" s="4">
        <v>18.762</v>
      </c>
      <c r="F99" s="4">
        <v>19546.271000000001</v>
      </c>
      <c r="G99" s="4">
        <v>19565.032999999999</v>
      </c>
      <c r="H99" s="5">
        <f>1720 / 86400</f>
        <v>1.9907407407407408E-2</v>
      </c>
      <c r="I99" t="s">
        <v>138</v>
      </c>
      <c r="J99" t="s">
        <v>139</v>
      </c>
      <c r="K99" s="5">
        <f>4499 / 86400</f>
        <v>5.2071759259259262E-2</v>
      </c>
      <c r="L99" s="5">
        <f>265 / 86400</f>
        <v>3.0671296296296297E-3</v>
      </c>
    </row>
    <row r="100" spans="1:12" x14ac:dyDescent="0.25">
      <c r="A100" s="3">
        <v>45690.437662037039</v>
      </c>
      <c r="B100" t="s">
        <v>137</v>
      </c>
      <c r="C100" s="3">
        <v>45690.437754629631</v>
      </c>
      <c r="D100" t="s">
        <v>137</v>
      </c>
      <c r="E100" s="4">
        <v>0</v>
      </c>
      <c r="F100" s="4">
        <v>19565.032999999999</v>
      </c>
      <c r="G100" s="4">
        <v>19565.032999999999</v>
      </c>
      <c r="H100" s="5">
        <f>0 / 86400</f>
        <v>0</v>
      </c>
      <c r="I100" t="s">
        <v>39</v>
      </c>
      <c r="J100" t="s">
        <v>39</v>
      </c>
      <c r="K100" s="5">
        <f>8 / 86400</f>
        <v>9.2592592592592588E-5</v>
      </c>
      <c r="L100" s="5">
        <f>100 / 86400</f>
        <v>1.1574074074074073E-3</v>
      </c>
    </row>
    <row r="101" spans="1:12" x14ac:dyDescent="0.25">
      <c r="A101" s="3">
        <v>45690.438912037032</v>
      </c>
      <c r="B101" t="s">
        <v>137</v>
      </c>
      <c r="C101" s="3">
        <v>45690.44226851852</v>
      </c>
      <c r="D101" t="s">
        <v>137</v>
      </c>
      <c r="E101" s="4">
        <v>0.105</v>
      </c>
      <c r="F101" s="4">
        <v>19565.032999999999</v>
      </c>
      <c r="G101" s="4">
        <v>19565.137999999999</v>
      </c>
      <c r="H101" s="5">
        <f>240 / 86400</f>
        <v>2.7777777777777779E-3</v>
      </c>
      <c r="I101" t="s">
        <v>60</v>
      </c>
      <c r="J101" t="s">
        <v>41</v>
      </c>
      <c r="K101" s="5">
        <f>290 / 86400</f>
        <v>3.3564814814814816E-3</v>
      </c>
      <c r="L101" s="5">
        <f>284 / 86400</f>
        <v>3.2870370370370371E-3</v>
      </c>
    </row>
    <row r="102" spans="1:12" x14ac:dyDescent="0.25">
      <c r="A102" s="3">
        <v>45690.445555555554</v>
      </c>
      <c r="B102" t="s">
        <v>137</v>
      </c>
      <c r="C102" s="3">
        <v>45690.482997685191</v>
      </c>
      <c r="D102" t="s">
        <v>140</v>
      </c>
      <c r="E102" s="4">
        <v>14.818</v>
      </c>
      <c r="F102" s="4">
        <v>19565.137999999999</v>
      </c>
      <c r="G102" s="4">
        <v>19579.955999999998</v>
      </c>
      <c r="H102" s="5">
        <f>921 / 86400</f>
        <v>1.0659722222222221E-2</v>
      </c>
      <c r="I102" t="s">
        <v>141</v>
      </c>
      <c r="J102" t="s">
        <v>97</v>
      </c>
      <c r="K102" s="5">
        <f>3235 / 86400</f>
        <v>3.7442129629629631E-2</v>
      </c>
      <c r="L102" s="5">
        <f>575 / 86400</f>
        <v>6.6550925925925927E-3</v>
      </c>
    </row>
    <row r="103" spans="1:12" x14ac:dyDescent="0.25">
      <c r="A103" s="3">
        <v>45690.489652777775</v>
      </c>
      <c r="B103" t="s">
        <v>140</v>
      </c>
      <c r="C103" s="3">
        <v>45690.490694444445</v>
      </c>
      <c r="D103" t="s">
        <v>142</v>
      </c>
      <c r="E103" s="4">
        <v>5.8999999999999997E-2</v>
      </c>
      <c r="F103" s="4">
        <v>19579.955999999998</v>
      </c>
      <c r="G103" s="4">
        <v>19580.014999999999</v>
      </c>
      <c r="H103" s="5">
        <f>39 / 86400</f>
        <v>4.5138888888888887E-4</v>
      </c>
      <c r="I103" t="s">
        <v>60</v>
      </c>
      <c r="J103" t="s">
        <v>79</v>
      </c>
      <c r="K103" s="5">
        <f>90 / 86400</f>
        <v>1.0416666666666667E-3</v>
      </c>
      <c r="L103" s="5">
        <f>355 / 86400</f>
        <v>4.1087962962962962E-3</v>
      </c>
    </row>
    <row r="104" spans="1:12" x14ac:dyDescent="0.25">
      <c r="A104" s="3">
        <v>45690.494803240741</v>
      </c>
      <c r="B104" t="s">
        <v>142</v>
      </c>
      <c r="C104" s="3">
        <v>45690.49728009259</v>
      </c>
      <c r="D104" t="s">
        <v>143</v>
      </c>
      <c r="E104" s="4">
        <v>0.65400000000000003</v>
      </c>
      <c r="F104" s="4">
        <v>19580.014999999999</v>
      </c>
      <c r="G104" s="4">
        <v>19580.669000000002</v>
      </c>
      <c r="H104" s="5">
        <f>40 / 86400</f>
        <v>4.6296296296296298E-4</v>
      </c>
      <c r="I104" t="s">
        <v>134</v>
      </c>
      <c r="J104" t="s">
        <v>144</v>
      </c>
      <c r="K104" s="5">
        <f>213 / 86400</f>
        <v>2.4652777777777776E-3</v>
      </c>
      <c r="L104" s="5">
        <f>3192 / 86400</f>
        <v>3.6944444444444446E-2</v>
      </c>
    </row>
    <row r="105" spans="1:12" x14ac:dyDescent="0.25">
      <c r="A105" s="3">
        <v>45690.534224537041</v>
      </c>
      <c r="B105" t="s">
        <v>143</v>
      </c>
      <c r="C105" s="3">
        <v>45690.535520833335</v>
      </c>
      <c r="D105" t="s">
        <v>143</v>
      </c>
      <c r="E105" s="4">
        <v>0.19600000000000001</v>
      </c>
      <c r="F105" s="4">
        <v>19580.669000000002</v>
      </c>
      <c r="G105" s="4">
        <v>19580.865000000002</v>
      </c>
      <c r="H105" s="5">
        <f>39 / 86400</f>
        <v>4.5138888888888887E-4</v>
      </c>
      <c r="I105" t="s">
        <v>97</v>
      </c>
      <c r="J105" t="s">
        <v>38</v>
      </c>
      <c r="K105" s="5">
        <f>112 / 86400</f>
        <v>1.2962962962962963E-3</v>
      </c>
      <c r="L105" s="5">
        <f>1306 / 86400</f>
        <v>1.511574074074074E-2</v>
      </c>
    </row>
    <row r="106" spans="1:12" x14ac:dyDescent="0.25">
      <c r="A106" s="3">
        <v>45690.550636574073</v>
      </c>
      <c r="B106" t="s">
        <v>143</v>
      </c>
      <c r="C106" s="3">
        <v>45690.552002314813</v>
      </c>
      <c r="D106" t="s">
        <v>145</v>
      </c>
      <c r="E106" s="4">
        <v>4.1000000000000002E-2</v>
      </c>
      <c r="F106" s="4">
        <v>19580.865000000002</v>
      </c>
      <c r="G106" s="4">
        <v>19580.905999999999</v>
      </c>
      <c r="H106" s="5">
        <f>79 / 86400</f>
        <v>9.1435185185185185E-4</v>
      </c>
      <c r="I106" t="s">
        <v>60</v>
      </c>
      <c r="J106" t="s">
        <v>41</v>
      </c>
      <c r="K106" s="5">
        <f>117 / 86400</f>
        <v>1.3541666666666667E-3</v>
      </c>
      <c r="L106" s="5">
        <f>177 / 86400</f>
        <v>2.0486111111111113E-3</v>
      </c>
    </row>
    <row r="107" spans="1:12" x14ac:dyDescent="0.25">
      <c r="A107" s="3">
        <v>45690.55405092593</v>
      </c>
      <c r="B107" t="s">
        <v>145</v>
      </c>
      <c r="C107" s="3">
        <v>45690.554236111115</v>
      </c>
      <c r="D107" t="s">
        <v>145</v>
      </c>
      <c r="E107" s="4">
        <v>8.0000000000000002E-3</v>
      </c>
      <c r="F107" s="4">
        <v>19580.905999999999</v>
      </c>
      <c r="G107" s="4">
        <v>19580.914000000001</v>
      </c>
      <c r="H107" s="5">
        <f>0 / 86400</f>
        <v>0</v>
      </c>
      <c r="I107" t="s">
        <v>39</v>
      </c>
      <c r="J107" t="s">
        <v>79</v>
      </c>
      <c r="K107" s="5">
        <f>15 / 86400</f>
        <v>1.7361111111111112E-4</v>
      </c>
      <c r="L107" s="5">
        <f>399 / 86400</f>
        <v>4.6180555555555558E-3</v>
      </c>
    </row>
    <row r="108" spans="1:12" x14ac:dyDescent="0.25">
      <c r="A108" s="3">
        <v>45690.558854166666</v>
      </c>
      <c r="B108" t="s">
        <v>145</v>
      </c>
      <c r="C108" s="3">
        <v>45690.564062500001</v>
      </c>
      <c r="D108" t="s">
        <v>146</v>
      </c>
      <c r="E108" s="4">
        <v>0.79600000000000004</v>
      </c>
      <c r="F108" s="4">
        <v>19580.914000000001</v>
      </c>
      <c r="G108" s="4">
        <v>19581.71</v>
      </c>
      <c r="H108" s="5">
        <f>339 / 86400</f>
        <v>3.9236111111111112E-3</v>
      </c>
      <c r="I108" t="s">
        <v>147</v>
      </c>
      <c r="J108" t="s">
        <v>38</v>
      </c>
      <c r="K108" s="5">
        <f>450 / 86400</f>
        <v>5.208333333333333E-3</v>
      </c>
      <c r="L108" s="5">
        <f>10 / 86400</f>
        <v>1.1574074074074075E-4</v>
      </c>
    </row>
    <row r="109" spans="1:12" x14ac:dyDescent="0.25">
      <c r="A109" s="3">
        <v>45690.56417824074</v>
      </c>
      <c r="B109" t="s">
        <v>146</v>
      </c>
      <c r="C109" s="3">
        <v>45690.743067129632</v>
      </c>
      <c r="D109" t="s">
        <v>148</v>
      </c>
      <c r="E109" s="4">
        <v>85.596000000000004</v>
      </c>
      <c r="F109" s="4">
        <v>19581.71</v>
      </c>
      <c r="G109" s="4">
        <v>19667.306</v>
      </c>
      <c r="H109" s="5">
        <f>4698 / 86400</f>
        <v>5.4375E-2</v>
      </c>
      <c r="I109" t="s">
        <v>57</v>
      </c>
      <c r="J109" t="s">
        <v>58</v>
      </c>
      <c r="K109" s="5">
        <f>15456 / 86400</f>
        <v>0.17888888888888888</v>
      </c>
      <c r="L109" s="5">
        <f>616 / 86400</f>
        <v>7.1296296296296299E-3</v>
      </c>
    </row>
    <row r="110" spans="1:12" x14ac:dyDescent="0.25">
      <c r="A110" s="3">
        <v>45690.750196759254</v>
      </c>
      <c r="B110" t="s">
        <v>148</v>
      </c>
      <c r="C110" s="3">
        <v>45690.801111111112</v>
      </c>
      <c r="D110" t="s">
        <v>25</v>
      </c>
      <c r="E110" s="4">
        <v>19.896000000000001</v>
      </c>
      <c r="F110" s="4">
        <v>19667.306</v>
      </c>
      <c r="G110" s="4">
        <v>19687.202000000001</v>
      </c>
      <c r="H110" s="5">
        <f>1494 / 86400</f>
        <v>1.7291666666666667E-2</v>
      </c>
      <c r="I110" t="s">
        <v>26</v>
      </c>
      <c r="J110" t="s">
        <v>97</v>
      </c>
      <c r="K110" s="5">
        <f>4399 / 86400</f>
        <v>5.091435185185185E-2</v>
      </c>
      <c r="L110" s="5">
        <f>11428 / 86400</f>
        <v>0.13226851851851851</v>
      </c>
    </row>
    <row r="111" spans="1:12" x14ac:dyDescent="0.25">
      <c r="A111" s="3">
        <v>45690.933379629627</v>
      </c>
      <c r="B111" t="s">
        <v>25</v>
      </c>
      <c r="C111" s="3">
        <v>45690.942048611112</v>
      </c>
      <c r="D111" t="s">
        <v>25</v>
      </c>
      <c r="E111" s="4">
        <v>2.069</v>
      </c>
      <c r="F111" s="4">
        <v>19687.202000000001</v>
      </c>
      <c r="G111" s="4">
        <v>19689.271000000001</v>
      </c>
      <c r="H111" s="5">
        <f>159 / 86400</f>
        <v>1.8402777777777777E-3</v>
      </c>
      <c r="I111" t="s">
        <v>87</v>
      </c>
      <c r="J111" t="s">
        <v>24</v>
      </c>
      <c r="K111" s="5">
        <f>749 / 86400</f>
        <v>8.6689814814814806E-3</v>
      </c>
      <c r="L111" s="5">
        <f>1514 / 86400</f>
        <v>1.7523148148148149E-2</v>
      </c>
    </row>
    <row r="112" spans="1:12" x14ac:dyDescent="0.25">
      <c r="A112" s="3">
        <v>45690.95957175926</v>
      </c>
      <c r="B112" t="s">
        <v>25</v>
      </c>
      <c r="C112" s="3">
        <v>45690.967245370368</v>
      </c>
      <c r="D112" t="s">
        <v>25</v>
      </c>
      <c r="E112" s="4">
        <v>2.12</v>
      </c>
      <c r="F112" s="4">
        <v>19689.271000000001</v>
      </c>
      <c r="G112" s="4">
        <v>19691.391</v>
      </c>
      <c r="H112" s="5">
        <f>140 / 86400</f>
        <v>1.6203703703703703E-3</v>
      </c>
      <c r="I112" t="s">
        <v>149</v>
      </c>
      <c r="J112" t="s">
        <v>125</v>
      </c>
      <c r="K112" s="5">
        <f>662 / 86400</f>
        <v>7.6620370370370366E-3</v>
      </c>
      <c r="L112" s="5">
        <f>2829 / 86400</f>
        <v>3.2743055555555553E-2</v>
      </c>
    </row>
    <row r="113" spans="1:12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2" s="10" customFormat="1" ht="20.100000000000001" customHeight="1" x14ac:dyDescent="0.35">
      <c r="A115" s="15" t="s">
        <v>308</v>
      </c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2" ht="30" x14ac:dyDescent="0.25">
      <c r="A117" s="2" t="s">
        <v>6</v>
      </c>
      <c r="B117" s="2" t="s">
        <v>7</v>
      </c>
      <c r="C117" s="2" t="s">
        <v>8</v>
      </c>
      <c r="D117" s="2" t="s">
        <v>9</v>
      </c>
      <c r="E117" s="2" t="s">
        <v>10</v>
      </c>
      <c r="F117" s="2" t="s">
        <v>11</v>
      </c>
      <c r="G117" s="2" t="s">
        <v>12</v>
      </c>
      <c r="H117" s="2" t="s">
        <v>13</v>
      </c>
      <c r="I117" s="2" t="s">
        <v>14</v>
      </c>
      <c r="J117" s="2" t="s">
        <v>15</v>
      </c>
      <c r="K117" s="2" t="s">
        <v>16</v>
      </c>
      <c r="L117" s="2" t="s">
        <v>17</v>
      </c>
    </row>
    <row r="118" spans="1:12" x14ac:dyDescent="0.25">
      <c r="A118" s="3">
        <v>45690.226469907408</v>
      </c>
      <c r="B118" t="s">
        <v>28</v>
      </c>
      <c r="C118" s="3">
        <v>45690.243784722217</v>
      </c>
      <c r="D118" t="s">
        <v>28</v>
      </c>
      <c r="E118" s="4">
        <v>0</v>
      </c>
      <c r="F118" s="4">
        <v>511399.21299999999</v>
      </c>
      <c r="G118" s="4">
        <v>511399.21299999999</v>
      </c>
      <c r="H118" s="5">
        <f>1479 / 86400</f>
        <v>1.7118055555555556E-2</v>
      </c>
      <c r="I118" t="s">
        <v>39</v>
      </c>
      <c r="J118" t="s">
        <v>39</v>
      </c>
      <c r="K118" s="5">
        <f>1495 / 86400</f>
        <v>1.7303240740740741E-2</v>
      </c>
      <c r="L118" s="5">
        <f>20018 / 86400</f>
        <v>0.23168981481481482</v>
      </c>
    </row>
    <row r="119" spans="1:12" x14ac:dyDescent="0.25">
      <c r="A119" s="3">
        <v>45690.24900462963</v>
      </c>
      <c r="B119" t="s">
        <v>28</v>
      </c>
      <c r="C119" s="3">
        <v>45690.261041666672</v>
      </c>
      <c r="D119" t="s">
        <v>115</v>
      </c>
      <c r="E119" s="4">
        <v>3.649</v>
      </c>
      <c r="F119" s="4">
        <v>511399.21299999999</v>
      </c>
      <c r="G119" s="4">
        <v>511402.86200000002</v>
      </c>
      <c r="H119" s="5">
        <f>499 / 86400</f>
        <v>5.7754629629629631E-3</v>
      </c>
      <c r="I119" t="s">
        <v>150</v>
      </c>
      <c r="J119" t="s">
        <v>151</v>
      </c>
      <c r="K119" s="5">
        <f>1039 / 86400</f>
        <v>1.2025462962962963E-2</v>
      </c>
      <c r="L119" s="5">
        <f>510 / 86400</f>
        <v>5.9027777777777776E-3</v>
      </c>
    </row>
    <row r="120" spans="1:12" x14ac:dyDescent="0.25">
      <c r="A120" s="3">
        <v>45690.266944444447</v>
      </c>
      <c r="B120" t="s">
        <v>115</v>
      </c>
      <c r="C120" s="3">
        <v>45690.313807870371</v>
      </c>
      <c r="D120" t="s">
        <v>152</v>
      </c>
      <c r="E120" s="4">
        <v>29.747</v>
      </c>
      <c r="F120" s="4">
        <v>511402.86200000002</v>
      </c>
      <c r="G120" s="4">
        <v>511432.609</v>
      </c>
      <c r="H120" s="5">
        <f>480 / 86400</f>
        <v>5.5555555555555558E-3</v>
      </c>
      <c r="I120" t="s">
        <v>43</v>
      </c>
      <c r="J120" t="s">
        <v>132</v>
      </c>
      <c r="K120" s="5">
        <f>4049 / 86400</f>
        <v>4.6863425925925926E-2</v>
      </c>
      <c r="L120" s="5">
        <f>3283 / 86400</f>
        <v>3.7997685185185183E-2</v>
      </c>
    </row>
    <row r="121" spans="1:12" x14ac:dyDescent="0.25">
      <c r="A121" s="3">
        <v>45690.351805555554</v>
      </c>
      <c r="B121" t="s">
        <v>152</v>
      </c>
      <c r="C121" s="3">
        <v>45690.355034722219</v>
      </c>
      <c r="D121" t="s">
        <v>128</v>
      </c>
      <c r="E121" s="4">
        <v>0.89900000000000002</v>
      </c>
      <c r="F121" s="4">
        <v>511432.609</v>
      </c>
      <c r="G121" s="4">
        <v>511433.50799999997</v>
      </c>
      <c r="H121" s="5">
        <f>0 / 86400</f>
        <v>0</v>
      </c>
      <c r="I121" t="s">
        <v>132</v>
      </c>
      <c r="J121" t="s">
        <v>125</v>
      </c>
      <c r="K121" s="5">
        <f>278 / 86400</f>
        <v>3.2175925925925926E-3</v>
      </c>
      <c r="L121" s="5">
        <f>3409 / 86400</f>
        <v>3.9456018518518515E-2</v>
      </c>
    </row>
    <row r="122" spans="1:12" x14ac:dyDescent="0.25">
      <c r="A122" s="3">
        <v>45690.394490740742</v>
      </c>
      <c r="B122" t="s">
        <v>128</v>
      </c>
      <c r="C122" s="3">
        <v>45690.398587962962</v>
      </c>
      <c r="D122" t="s">
        <v>142</v>
      </c>
      <c r="E122" s="4">
        <v>1.3169999999999999</v>
      </c>
      <c r="F122" s="4">
        <v>511433.50799999997</v>
      </c>
      <c r="G122" s="4">
        <v>511434.82500000001</v>
      </c>
      <c r="H122" s="5">
        <f>80 / 86400</f>
        <v>9.2592592592592596E-4</v>
      </c>
      <c r="I122" t="s">
        <v>153</v>
      </c>
      <c r="J122" t="s">
        <v>151</v>
      </c>
      <c r="K122" s="5">
        <f>354 / 86400</f>
        <v>4.0972222222222226E-3</v>
      </c>
      <c r="L122" s="5">
        <f>2711 / 86400</f>
        <v>3.1377314814814816E-2</v>
      </c>
    </row>
    <row r="123" spans="1:12" x14ac:dyDescent="0.25">
      <c r="A123" s="3">
        <v>45690.429965277777</v>
      </c>
      <c r="B123" t="s">
        <v>142</v>
      </c>
      <c r="C123" s="3">
        <v>45690.524745370371</v>
      </c>
      <c r="D123" t="s">
        <v>154</v>
      </c>
      <c r="E123" s="4">
        <v>49.811999999999998</v>
      </c>
      <c r="F123" s="4">
        <v>511434.82500000001</v>
      </c>
      <c r="G123" s="4">
        <v>511484.63699999999</v>
      </c>
      <c r="H123" s="5">
        <f>2080 / 86400</f>
        <v>2.4074074074074074E-2</v>
      </c>
      <c r="I123" t="s">
        <v>29</v>
      </c>
      <c r="J123" t="s">
        <v>84</v>
      </c>
      <c r="K123" s="5">
        <f>8189 / 86400</f>
        <v>9.4780092592592596E-2</v>
      </c>
      <c r="L123" s="5">
        <f>747 / 86400</f>
        <v>8.6458333333333335E-3</v>
      </c>
    </row>
    <row r="124" spans="1:12" x14ac:dyDescent="0.25">
      <c r="A124" s="3">
        <v>45690.533391203702</v>
      </c>
      <c r="B124" t="s">
        <v>154</v>
      </c>
      <c r="C124" s="3">
        <v>45690.637048611112</v>
      </c>
      <c r="D124" t="s">
        <v>152</v>
      </c>
      <c r="E124" s="4">
        <v>51.173999999999999</v>
      </c>
      <c r="F124" s="4">
        <v>511484.63699999999</v>
      </c>
      <c r="G124" s="4">
        <v>511535.81099999999</v>
      </c>
      <c r="H124" s="5">
        <f>2360 / 86400</f>
        <v>2.7314814814814816E-2</v>
      </c>
      <c r="I124" t="s">
        <v>57</v>
      </c>
      <c r="J124" t="s">
        <v>30</v>
      </c>
      <c r="K124" s="5">
        <f>8956 / 86400</f>
        <v>0.10365740740740741</v>
      </c>
      <c r="L124" s="5">
        <f>2560 / 86400</f>
        <v>2.9629629629629631E-2</v>
      </c>
    </row>
    <row r="125" spans="1:12" x14ac:dyDescent="0.25">
      <c r="A125" s="3">
        <v>45690.666678240741</v>
      </c>
      <c r="B125" t="s">
        <v>155</v>
      </c>
      <c r="C125" s="3">
        <v>45690.669328703705</v>
      </c>
      <c r="D125" t="s">
        <v>140</v>
      </c>
      <c r="E125" s="4">
        <v>0.93899999999999995</v>
      </c>
      <c r="F125" s="4">
        <v>511535.81099999999</v>
      </c>
      <c r="G125" s="4">
        <v>511536.75</v>
      </c>
      <c r="H125" s="5">
        <f>0 / 86400</f>
        <v>0</v>
      </c>
      <c r="I125" t="s">
        <v>156</v>
      </c>
      <c r="J125" t="s">
        <v>139</v>
      </c>
      <c r="K125" s="5">
        <f>229 / 86400</f>
        <v>2.650462962962963E-3</v>
      </c>
      <c r="L125" s="5">
        <f>463 / 86400</f>
        <v>5.3587962962962964E-3</v>
      </c>
    </row>
    <row r="126" spans="1:12" x14ac:dyDescent="0.25">
      <c r="A126" s="3">
        <v>45690.674687499995</v>
      </c>
      <c r="B126" t="s">
        <v>140</v>
      </c>
      <c r="C126" s="3">
        <v>45690.677476851852</v>
      </c>
      <c r="D126" t="s">
        <v>142</v>
      </c>
      <c r="E126" s="4">
        <v>7.6999999999999999E-2</v>
      </c>
      <c r="F126" s="4">
        <v>511536.75</v>
      </c>
      <c r="G126" s="4">
        <v>511536.82699999999</v>
      </c>
      <c r="H126" s="5">
        <f>180 / 86400</f>
        <v>2.0833333333333333E-3</v>
      </c>
      <c r="I126" t="s">
        <v>144</v>
      </c>
      <c r="J126" t="s">
        <v>41</v>
      </c>
      <c r="K126" s="5">
        <f>241 / 86400</f>
        <v>2.7893518518518519E-3</v>
      </c>
      <c r="L126" s="5">
        <f>590 / 86400</f>
        <v>6.828703703703704E-3</v>
      </c>
    </row>
    <row r="127" spans="1:12" x14ac:dyDescent="0.25">
      <c r="A127" s="3">
        <v>45690.684305555551</v>
      </c>
      <c r="B127" t="s">
        <v>142</v>
      </c>
      <c r="C127" s="3">
        <v>45690.762083333335</v>
      </c>
      <c r="D127" t="s">
        <v>157</v>
      </c>
      <c r="E127" s="4">
        <v>36.006</v>
      </c>
      <c r="F127" s="4">
        <v>511536.82699999999</v>
      </c>
      <c r="G127" s="4">
        <v>511572.83299999998</v>
      </c>
      <c r="H127" s="5">
        <f>2259 / 86400</f>
        <v>2.6145833333333333E-2</v>
      </c>
      <c r="I127" t="s">
        <v>106</v>
      </c>
      <c r="J127" t="s">
        <v>20</v>
      </c>
      <c r="K127" s="5">
        <f>6720 / 86400</f>
        <v>7.7777777777777779E-2</v>
      </c>
      <c r="L127" s="5">
        <f>303 / 86400</f>
        <v>3.5069444444444445E-3</v>
      </c>
    </row>
    <row r="128" spans="1:12" x14ac:dyDescent="0.25">
      <c r="A128" s="3">
        <v>45690.765590277777</v>
      </c>
      <c r="B128" t="s">
        <v>157</v>
      </c>
      <c r="C128" s="3">
        <v>45690.879861111112</v>
      </c>
      <c r="D128" t="s">
        <v>158</v>
      </c>
      <c r="E128" s="4">
        <v>67.409000000000006</v>
      </c>
      <c r="F128" s="4">
        <v>511572.83299999998</v>
      </c>
      <c r="G128" s="4">
        <v>511640.24200000003</v>
      </c>
      <c r="H128" s="5">
        <f>2319 / 86400</f>
        <v>2.6840277777777779E-2</v>
      </c>
      <c r="I128" t="s">
        <v>106</v>
      </c>
      <c r="J128" t="s">
        <v>159</v>
      </c>
      <c r="K128" s="5">
        <f>9872 / 86400</f>
        <v>0.11425925925925925</v>
      </c>
      <c r="L128" s="5">
        <f>218 / 86400</f>
        <v>2.5231481481481481E-3</v>
      </c>
    </row>
    <row r="129" spans="1:12" x14ac:dyDescent="0.25">
      <c r="A129" s="3">
        <v>45690.882384259261</v>
      </c>
      <c r="B129" t="s">
        <v>158</v>
      </c>
      <c r="C129" s="3">
        <v>45690.911261574074</v>
      </c>
      <c r="D129" t="s">
        <v>160</v>
      </c>
      <c r="E129" s="4">
        <v>12.744</v>
      </c>
      <c r="F129" s="4">
        <v>511640.24200000003</v>
      </c>
      <c r="G129" s="4">
        <v>511652.98599999998</v>
      </c>
      <c r="H129" s="5">
        <f>679 / 86400</f>
        <v>7.858796296296296E-3</v>
      </c>
      <c r="I129" t="s">
        <v>161</v>
      </c>
      <c r="J129" t="s">
        <v>33</v>
      </c>
      <c r="K129" s="5">
        <f>2495 / 86400</f>
        <v>2.8877314814814814E-2</v>
      </c>
      <c r="L129" s="5">
        <f>525 / 86400</f>
        <v>6.076388888888889E-3</v>
      </c>
    </row>
    <row r="130" spans="1:12" x14ac:dyDescent="0.25">
      <c r="A130" s="3">
        <v>45690.917337962965</v>
      </c>
      <c r="B130" t="s">
        <v>160</v>
      </c>
      <c r="C130" s="3">
        <v>45690.917800925927</v>
      </c>
      <c r="D130" t="s">
        <v>162</v>
      </c>
      <c r="E130" s="4">
        <v>2.1999999999999999E-2</v>
      </c>
      <c r="F130" s="4">
        <v>511652.98599999998</v>
      </c>
      <c r="G130" s="4">
        <v>511653.00799999997</v>
      </c>
      <c r="H130" s="5">
        <f>0 / 86400</f>
        <v>0</v>
      </c>
      <c r="I130" t="s">
        <v>163</v>
      </c>
      <c r="J130" t="s">
        <v>79</v>
      </c>
      <c r="K130" s="5">
        <f>39 / 86400</f>
        <v>4.5138888888888887E-4</v>
      </c>
      <c r="L130" s="5">
        <f>107 / 86400</f>
        <v>1.238425925925926E-3</v>
      </c>
    </row>
    <row r="131" spans="1:12" x14ac:dyDescent="0.25">
      <c r="A131" s="3">
        <v>45690.919039351851</v>
      </c>
      <c r="B131" t="s">
        <v>162</v>
      </c>
      <c r="C131" s="3">
        <v>45690.922210648147</v>
      </c>
      <c r="D131" t="s">
        <v>164</v>
      </c>
      <c r="E131" s="4">
        <v>1.175</v>
      </c>
      <c r="F131" s="4">
        <v>511653.00799999997</v>
      </c>
      <c r="G131" s="4">
        <v>511654.18300000002</v>
      </c>
      <c r="H131" s="5">
        <f>79 / 86400</f>
        <v>9.1435185185185185E-4</v>
      </c>
      <c r="I131" t="s">
        <v>87</v>
      </c>
      <c r="J131" t="s">
        <v>139</v>
      </c>
      <c r="K131" s="5">
        <f>273 / 86400</f>
        <v>3.1597222222222222E-3</v>
      </c>
      <c r="L131" s="5">
        <f>1119 / 86400</f>
        <v>1.2951388888888889E-2</v>
      </c>
    </row>
    <row r="132" spans="1:12" x14ac:dyDescent="0.25">
      <c r="A132" s="3">
        <v>45690.935162037036</v>
      </c>
      <c r="B132" t="s">
        <v>164</v>
      </c>
      <c r="C132" s="3">
        <v>45690.939699074079</v>
      </c>
      <c r="D132" t="s">
        <v>28</v>
      </c>
      <c r="E132" s="4">
        <v>0.23200000000000001</v>
      </c>
      <c r="F132" s="4">
        <v>511654.18300000002</v>
      </c>
      <c r="G132" s="4">
        <v>511654.41499999998</v>
      </c>
      <c r="H132" s="5">
        <f>260 / 86400</f>
        <v>3.0092592592592593E-3</v>
      </c>
      <c r="I132" t="s">
        <v>24</v>
      </c>
      <c r="J132" t="s">
        <v>79</v>
      </c>
      <c r="K132" s="5">
        <f>391 / 86400</f>
        <v>4.5254629629629629E-3</v>
      </c>
      <c r="L132" s="5">
        <f>5209 / 86400</f>
        <v>6.0289351851851851E-2</v>
      </c>
    </row>
    <row r="133" spans="1:12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2" s="10" customFormat="1" ht="20.100000000000001" customHeight="1" x14ac:dyDescent="0.35">
      <c r="A135" s="15" t="s">
        <v>309</v>
      </c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2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1:12" ht="30" x14ac:dyDescent="0.25">
      <c r="A137" s="2" t="s">
        <v>6</v>
      </c>
      <c r="B137" s="2" t="s">
        <v>7</v>
      </c>
      <c r="C137" s="2" t="s">
        <v>8</v>
      </c>
      <c r="D137" s="2" t="s">
        <v>9</v>
      </c>
      <c r="E137" s="2" t="s">
        <v>10</v>
      </c>
      <c r="F137" s="2" t="s">
        <v>11</v>
      </c>
      <c r="G137" s="2" t="s">
        <v>12</v>
      </c>
      <c r="H137" s="2" t="s">
        <v>13</v>
      </c>
      <c r="I137" s="2" t="s">
        <v>14</v>
      </c>
      <c r="J137" s="2" t="s">
        <v>15</v>
      </c>
      <c r="K137" s="2" t="s">
        <v>16</v>
      </c>
      <c r="L137" s="2" t="s">
        <v>17</v>
      </c>
    </row>
    <row r="138" spans="1:12" x14ac:dyDescent="0.25">
      <c r="A138" s="3">
        <v>45690.2265625</v>
      </c>
      <c r="B138" t="s">
        <v>25</v>
      </c>
      <c r="C138" s="3">
        <v>45690.243842592594</v>
      </c>
      <c r="D138" t="s">
        <v>165</v>
      </c>
      <c r="E138" s="4">
        <v>5.7590000000000003</v>
      </c>
      <c r="F138" s="4">
        <v>90525.153000000006</v>
      </c>
      <c r="G138" s="4">
        <v>90530.911999999997</v>
      </c>
      <c r="H138" s="5">
        <f>599 / 86400</f>
        <v>6.9328703703703705E-3</v>
      </c>
      <c r="I138" t="s">
        <v>166</v>
      </c>
      <c r="J138" t="s">
        <v>127</v>
      </c>
      <c r="K138" s="5">
        <f>1493 / 86400</f>
        <v>1.7280092592592593E-2</v>
      </c>
      <c r="L138" s="5">
        <f>22120 / 86400</f>
        <v>0.25601851851851853</v>
      </c>
    </row>
    <row r="139" spans="1:12" x14ac:dyDescent="0.25">
      <c r="A139" s="3">
        <v>45690.273298611108</v>
      </c>
      <c r="B139" t="s">
        <v>165</v>
      </c>
      <c r="C139" s="3">
        <v>45690.276874999996</v>
      </c>
      <c r="D139" t="s">
        <v>117</v>
      </c>
      <c r="E139" s="4">
        <v>0.89400000000000002</v>
      </c>
      <c r="F139" s="4">
        <v>90530.911999999997</v>
      </c>
      <c r="G139" s="4">
        <v>90531.805999999997</v>
      </c>
      <c r="H139" s="5">
        <f>20 / 86400</f>
        <v>2.3148148148148149E-4</v>
      </c>
      <c r="I139" t="s">
        <v>84</v>
      </c>
      <c r="J139" t="s">
        <v>24</v>
      </c>
      <c r="K139" s="5">
        <f>308 / 86400</f>
        <v>3.5648148148148149E-3</v>
      </c>
      <c r="L139" s="5">
        <f>1316 / 86400</f>
        <v>1.5231481481481481E-2</v>
      </c>
    </row>
    <row r="140" spans="1:12" x14ac:dyDescent="0.25">
      <c r="A140" s="3">
        <v>45690.29210648148</v>
      </c>
      <c r="B140" t="s">
        <v>117</v>
      </c>
      <c r="C140" s="3">
        <v>45690.500451388885</v>
      </c>
      <c r="D140" t="s">
        <v>48</v>
      </c>
      <c r="E140" s="4">
        <v>81.281000000000006</v>
      </c>
      <c r="F140" s="4">
        <v>90531.805999999997</v>
      </c>
      <c r="G140" s="4">
        <v>90613.087</v>
      </c>
      <c r="H140" s="5">
        <f>5141 / 86400</f>
        <v>5.9502314814814813E-2</v>
      </c>
      <c r="I140" t="s">
        <v>138</v>
      </c>
      <c r="J140" t="s">
        <v>97</v>
      </c>
      <c r="K140" s="5">
        <f>18001 / 86400</f>
        <v>0.20834490740740741</v>
      </c>
      <c r="L140" s="5">
        <f>2530 / 86400</f>
        <v>2.9282407407407406E-2</v>
      </c>
    </row>
    <row r="141" spans="1:12" x14ac:dyDescent="0.25">
      <c r="A141" s="3">
        <v>45690.529733796298</v>
      </c>
      <c r="B141" t="s">
        <v>48</v>
      </c>
      <c r="C141" s="3">
        <v>45690.531956018516</v>
      </c>
      <c r="D141" t="s">
        <v>167</v>
      </c>
      <c r="E141" s="4">
        <v>0.373</v>
      </c>
      <c r="F141" s="4">
        <v>90613.087</v>
      </c>
      <c r="G141" s="4">
        <v>90613.46</v>
      </c>
      <c r="H141" s="5">
        <f>40 / 86400</f>
        <v>4.6296296296296298E-4</v>
      </c>
      <c r="I141" t="s">
        <v>139</v>
      </c>
      <c r="J141" t="s">
        <v>91</v>
      </c>
      <c r="K141" s="5">
        <f>192 / 86400</f>
        <v>2.2222222222222222E-3</v>
      </c>
      <c r="L141" s="5">
        <f>870 / 86400</f>
        <v>1.0069444444444445E-2</v>
      </c>
    </row>
    <row r="142" spans="1:12" x14ac:dyDescent="0.25">
      <c r="A142" s="3">
        <v>45690.542025462964</v>
      </c>
      <c r="B142" t="s">
        <v>167</v>
      </c>
      <c r="C142" s="3">
        <v>45690.54414351852</v>
      </c>
      <c r="D142" t="s">
        <v>140</v>
      </c>
      <c r="E142" s="4">
        <v>0.74199999999999999</v>
      </c>
      <c r="F142" s="4">
        <v>90613.46</v>
      </c>
      <c r="G142" s="4">
        <v>90614.202000000005</v>
      </c>
      <c r="H142" s="5">
        <f>20 / 86400</f>
        <v>2.3148148148148149E-4</v>
      </c>
      <c r="I142" t="s">
        <v>168</v>
      </c>
      <c r="J142" t="s">
        <v>139</v>
      </c>
      <c r="K142" s="5">
        <f>182 / 86400</f>
        <v>2.1064814814814813E-3</v>
      </c>
      <c r="L142" s="5">
        <f>290 / 86400</f>
        <v>3.3564814814814816E-3</v>
      </c>
    </row>
    <row r="143" spans="1:12" x14ac:dyDescent="0.25">
      <c r="A143" s="3">
        <v>45690.547500000001</v>
      </c>
      <c r="B143" t="s">
        <v>140</v>
      </c>
      <c r="C143" s="3">
        <v>45690.551030092596</v>
      </c>
      <c r="D143" t="s">
        <v>128</v>
      </c>
      <c r="E143" s="4">
        <v>1.3109999999999999</v>
      </c>
      <c r="F143" s="4">
        <v>90614.202000000005</v>
      </c>
      <c r="G143" s="4">
        <v>90615.513000000006</v>
      </c>
      <c r="H143" s="5">
        <f>0 / 86400</f>
        <v>0</v>
      </c>
      <c r="I143" t="s">
        <v>126</v>
      </c>
      <c r="J143" t="s">
        <v>97</v>
      </c>
      <c r="K143" s="5">
        <f>304 / 86400</f>
        <v>3.5185185185185185E-3</v>
      </c>
      <c r="L143" s="5">
        <f>712 / 86400</f>
        <v>8.2407407407407412E-3</v>
      </c>
    </row>
    <row r="144" spans="1:12" x14ac:dyDescent="0.25">
      <c r="A144" s="3">
        <v>45690.559270833328</v>
      </c>
      <c r="B144" t="s">
        <v>128</v>
      </c>
      <c r="C144" s="3">
        <v>45690.798530092594</v>
      </c>
      <c r="D144" t="s">
        <v>169</v>
      </c>
      <c r="E144" s="4">
        <v>99.554000000000002</v>
      </c>
      <c r="F144" s="4">
        <v>90615.513000000006</v>
      </c>
      <c r="G144" s="4">
        <v>90715.066999999995</v>
      </c>
      <c r="H144" s="5">
        <f>5884 / 86400</f>
        <v>6.8101851851851858E-2</v>
      </c>
      <c r="I144" t="s">
        <v>31</v>
      </c>
      <c r="J144" t="s">
        <v>27</v>
      </c>
      <c r="K144" s="5">
        <f>20672 / 86400</f>
        <v>0.23925925925925925</v>
      </c>
      <c r="L144" s="5">
        <f>167 / 86400</f>
        <v>1.9328703703703704E-3</v>
      </c>
    </row>
    <row r="145" spans="1:12" x14ac:dyDescent="0.25">
      <c r="A145" s="3">
        <v>45690.800462962958</v>
      </c>
      <c r="B145" t="s">
        <v>169</v>
      </c>
      <c r="C145" s="3">
        <v>45690.800833333335</v>
      </c>
      <c r="D145" t="s">
        <v>169</v>
      </c>
      <c r="E145" s="4">
        <v>2.3E-2</v>
      </c>
      <c r="F145" s="4">
        <v>90715.066999999995</v>
      </c>
      <c r="G145" s="4">
        <v>90715.09</v>
      </c>
      <c r="H145" s="5">
        <f>0 / 86400</f>
        <v>0</v>
      </c>
      <c r="I145" t="s">
        <v>38</v>
      </c>
      <c r="J145" t="s">
        <v>75</v>
      </c>
      <c r="K145" s="5">
        <f>31 / 86400</f>
        <v>3.5879629629629629E-4</v>
      </c>
      <c r="L145" s="5">
        <f>794 / 86400</f>
        <v>9.1898148148148156E-3</v>
      </c>
    </row>
    <row r="146" spans="1:12" x14ac:dyDescent="0.25">
      <c r="A146" s="3">
        <v>45690.810023148151</v>
      </c>
      <c r="B146" t="s">
        <v>25</v>
      </c>
      <c r="C146" s="3">
        <v>45690.814027777778</v>
      </c>
      <c r="D146" t="s">
        <v>25</v>
      </c>
      <c r="E146" s="4">
        <v>0.59099999999999997</v>
      </c>
      <c r="F146" s="4">
        <v>90715.09</v>
      </c>
      <c r="G146" s="4">
        <v>90715.680999999997</v>
      </c>
      <c r="H146" s="5">
        <f>80 / 86400</f>
        <v>9.2592592592592596E-4</v>
      </c>
      <c r="I146" t="s">
        <v>139</v>
      </c>
      <c r="J146" t="s">
        <v>38</v>
      </c>
      <c r="K146" s="5">
        <f>345 / 86400</f>
        <v>3.9930555555555552E-3</v>
      </c>
      <c r="L146" s="5">
        <f>16067 / 86400</f>
        <v>0.18596064814814814</v>
      </c>
    </row>
    <row r="147" spans="1:1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2" s="10" customFormat="1" ht="20.100000000000001" customHeight="1" x14ac:dyDescent="0.35">
      <c r="A149" s="15" t="s">
        <v>310</v>
      </c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2" ht="30" x14ac:dyDescent="0.25">
      <c r="A151" s="2" t="s">
        <v>6</v>
      </c>
      <c r="B151" s="2" t="s">
        <v>7</v>
      </c>
      <c r="C151" s="2" t="s">
        <v>8</v>
      </c>
      <c r="D151" s="2" t="s">
        <v>9</v>
      </c>
      <c r="E151" s="2" t="s">
        <v>10</v>
      </c>
      <c r="F151" s="2" t="s">
        <v>11</v>
      </c>
      <c r="G151" s="2" t="s">
        <v>12</v>
      </c>
      <c r="H151" s="2" t="s">
        <v>13</v>
      </c>
      <c r="I151" s="2" t="s">
        <v>14</v>
      </c>
      <c r="J151" s="2" t="s">
        <v>15</v>
      </c>
      <c r="K151" s="2" t="s">
        <v>16</v>
      </c>
      <c r="L151" s="2" t="s">
        <v>17</v>
      </c>
    </row>
    <row r="152" spans="1:12" x14ac:dyDescent="0.25">
      <c r="A152" s="3">
        <v>45690.235833333332</v>
      </c>
      <c r="B152" t="s">
        <v>18</v>
      </c>
      <c r="C152" s="3">
        <v>45690.255115740743</v>
      </c>
      <c r="D152" t="s">
        <v>170</v>
      </c>
      <c r="E152" s="4">
        <v>8.6609999999999996</v>
      </c>
      <c r="F152" s="4">
        <v>135201.73499999999</v>
      </c>
      <c r="G152" s="4">
        <v>135210.39600000001</v>
      </c>
      <c r="H152" s="5">
        <f>579 / 86400</f>
        <v>6.7013888888888887E-3</v>
      </c>
      <c r="I152" t="s">
        <v>171</v>
      </c>
      <c r="J152" t="s">
        <v>20</v>
      </c>
      <c r="K152" s="5">
        <f>1665 / 86400</f>
        <v>1.9270833333333334E-2</v>
      </c>
      <c r="L152" s="5">
        <f>20670 / 86400</f>
        <v>0.23923611111111112</v>
      </c>
    </row>
    <row r="153" spans="1:12" x14ac:dyDescent="0.25">
      <c r="A153" s="3">
        <v>45690.258518518516</v>
      </c>
      <c r="B153" t="s">
        <v>170</v>
      </c>
      <c r="C153" s="3">
        <v>45690.331597222219</v>
      </c>
      <c r="D153" t="s">
        <v>128</v>
      </c>
      <c r="E153" s="4">
        <v>39.558</v>
      </c>
      <c r="F153" s="4">
        <v>135210.39600000001</v>
      </c>
      <c r="G153" s="4">
        <v>135249.954</v>
      </c>
      <c r="H153" s="5">
        <f>1659 / 86400</f>
        <v>1.9201388888888889E-2</v>
      </c>
      <c r="I153" t="s">
        <v>31</v>
      </c>
      <c r="J153" t="s">
        <v>86</v>
      </c>
      <c r="K153" s="5">
        <f>6314 / 86400</f>
        <v>7.3078703703703701E-2</v>
      </c>
      <c r="L153" s="5">
        <f>1891 / 86400</f>
        <v>2.1886574074074076E-2</v>
      </c>
    </row>
    <row r="154" spans="1:12" x14ac:dyDescent="0.25">
      <c r="A154" s="3">
        <v>45690.353483796294</v>
      </c>
      <c r="B154" t="s">
        <v>128</v>
      </c>
      <c r="C154" s="3">
        <v>45690.357534722221</v>
      </c>
      <c r="D154" t="s">
        <v>140</v>
      </c>
      <c r="E154" s="4">
        <v>1.3280000000000001</v>
      </c>
      <c r="F154" s="4">
        <v>135249.954</v>
      </c>
      <c r="G154" s="4">
        <v>135251.28200000001</v>
      </c>
      <c r="H154" s="5">
        <f>20 / 86400</f>
        <v>2.3148148148148149E-4</v>
      </c>
      <c r="I154" t="s">
        <v>126</v>
      </c>
      <c r="J154" t="s">
        <v>127</v>
      </c>
      <c r="K154" s="5">
        <f>349 / 86400</f>
        <v>4.0393518518518521E-3</v>
      </c>
      <c r="L154" s="5">
        <f>55 / 86400</f>
        <v>6.3657407407407413E-4</v>
      </c>
    </row>
    <row r="155" spans="1:12" x14ac:dyDescent="0.25">
      <c r="A155" s="3">
        <v>45690.358171296291</v>
      </c>
      <c r="B155" t="s">
        <v>140</v>
      </c>
      <c r="C155" s="3">
        <v>45690.358564814815</v>
      </c>
      <c r="D155" t="s">
        <v>140</v>
      </c>
      <c r="E155" s="4">
        <v>0</v>
      </c>
      <c r="F155" s="4">
        <v>135251.28200000001</v>
      </c>
      <c r="G155" s="4">
        <v>135251.28200000001</v>
      </c>
      <c r="H155" s="5">
        <f>19 / 86400</f>
        <v>2.199074074074074E-4</v>
      </c>
      <c r="I155" t="s">
        <v>39</v>
      </c>
      <c r="J155" t="s">
        <v>39</v>
      </c>
      <c r="K155" s="5">
        <f>33 / 86400</f>
        <v>3.8194444444444446E-4</v>
      </c>
      <c r="L155" s="5">
        <f>572 / 86400</f>
        <v>6.6203703703703702E-3</v>
      </c>
    </row>
    <row r="156" spans="1:12" x14ac:dyDescent="0.25">
      <c r="A156" s="3">
        <v>45690.36518518519</v>
      </c>
      <c r="B156" t="s">
        <v>140</v>
      </c>
      <c r="C156" s="3">
        <v>45690.470034722224</v>
      </c>
      <c r="D156" t="s">
        <v>172</v>
      </c>
      <c r="E156" s="4">
        <v>50.720999999999997</v>
      </c>
      <c r="F156" s="4">
        <v>135251.28200000001</v>
      </c>
      <c r="G156" s="4">
        <v>135302.003</v>
      </c>
      <c r="H156" s="5">
        <f>2819 / 86400</f>
        <v>3.2627314814814817E-2</v>
      </c>
      <c r="I156" t="s">
        <v>50</v>
      </c>
      <c r="J156" t="s">
        <v>58</v>
      </c>
      <c r="K156" s="5">
        <f>9058 / 86400</f>
        <v>0.10483796296296297</v>
      </c>
      <c r="L156" s="5">
        <f>1819 / 86400</f>
        <v>2.105324074074074E-2</v>
      </c>
    </row>
    <row r="157" spans="1:12" x14ac:dyDescent="0.25">
      <c r="A157" s="3">
        <v>45690.491087962961</v>
      </c>
      <c r="B157" t="s">
        <v>172</v>
      </c>
      <c r="C157" s="3">
        <v>45690.608564814815</v>
      </c>
      <c r="D157" t="s">
        <v>143</v>
      </c>
      <c r="E157" s="4">
        <v>49.889000000000003</v>
      </c>
      <c r="F157" s="4">
        <v>135302.003</v>
      </c>
      <c r="G157" s="4">
        <v>135351.89199999999</v>
      </c>
      <c r="H157" s="5">
        <f>3019 / 86400</f>
        <v>3.4942129629629629E-2</v>
      </c>
      <c r="I157" t="s">
        <v>83</v>
      </c>
      <c r="J157" t="s">
        <v>33</v>
      </c>
      <c r="K157" s="5">
        <f>10150 / 86400</f>
        <v>0.11747685185185185</v>
      </c>
      <c r="L157" s="5">
        <f>374 / 86400</f>
        <v>4.3287037037037035E-3</v>
      </c>
    </row>
    <row r="158" spans="1:12" x14ac:dyDescent="0.25">
      <c r="A158" s="3">
        <v>45690.612893518519</v>
      </c>
      <c r="B158" t="s">
        <v>143</v>
      </c>
      <c r="C158" s="3">
        <v>45690.61445601852</v>
      </c>
      <c r="D158" t="s">
        <v>143</v>
      </c>
      <c r="E158" s="4">
        <v>2.5999999999999999E-2</v>
      </c>
      <c r="F158" s="4">
        <v>135351.89199999999</v>
      </c>
      <c r="G158" s="4">
        <v>135351.91800000001</v>
      </c>
      <c r="H158" s="5">
        <f>80 / 86400</f>
        <v>9.2592592592592596E-4</v>
      </c>
      <c r="I158" t="s">
        <v>173</v>
      </c>
      <c r="J158" t="s">
        <v>41</v>
      </c>
      <c r="K158" s="5">
        <f>134 / 86400</f>
        <v>1.5509259259259259E-3</v>
      </c>
      <c r="L158" s="5">
        <f>3202 / 86400</f>
        <v>3.7060185185185182E-2</v>
      </c>
    </row>
    <row r="159" spans="1:12" x14ac:dyDescent="0.25">
      <c r="A159" s="3">
        <v>45690.651516203703</v>
      </c>
      <c r="B159" t="s">
        <v>143</v>
      </c>
      <c r="C159" s="3">
        <v>45690.656527777777</v>
      </c>
      <c r="D159" t="s">
        <v>140</v>
      </c>
      <c r="E159" s="4">
        <v>0.77</v>
      </c>
      <c r="F159" s="4">
        <v>135351.91800000001</v>
      </c>
      <c r="G159" s="4">
        <v>135352.68799999999</v>
      </c>
      <c r="H159" s="5">
        <f>220 / 86400</f>
        <v>2.5462962962962965E-3</v>
      </c>
      <c r="I159" t="s">
        <v>87</v>
      </c>
      <c r="J159" t="s">
        <v>38</v>
      </c>
      <c r="K159" s="5">
        <f>432 / 86400</f>
        <v>5.0000000000000001E-3</v>
      </c>
      <c r="L159" s="5">
        <f>284 / 86400</f>
        <v>3.2870370370370371E-3</v>
      </c>
    </row>
    <row r="160" spans="1:12" x14ac:dyDescent="0.25">
      <c r="A160" s="3">
        <v>45690.659814814819</v>
      </c>
      <c r="B160" t="s">
        <v>140</v>
      </c>
      <c r="C160" s="3">
        <v>45690.660104166665</v>
      </c>
      <c r="D160" t="s">
        <v>140</v>
      </c>
      <c r="E160" s="4">
        <v>7.0000000000000001E-3</v>
      </c>
      <c r="F160" s="4">
        <v>135352.68799999999</v>
      </c>
      <c r="G160" s="4">
        <v>135352.69500000001</v>
      </c>
      <c r="H160" s="5">
        <f>0 / 86400</f>
        <v>0</v>
      </c>
      <c r="I160" t="s">
        <v>163</v>
      </c>
      <c r="J160" t="s">
        <v>41</v>
      </c>
      <c r="K160" s="5">
        <f>25 / 86400</f>
        <v>2.8935185185185184E-4</v>
      </c>
      <c r="L160" s="5">
        <f>149 / 86400</f>
        <v>1.724537037037037E-3</v>
      </c>
    </row>
    <row r="161" spans="1:12" x14ac:dyDescent="0.25">
      <c r="A161" s="3">
        <v>45690.661828703705</v>
      </c>
      <c r="B161" t="s">
        <v>140</v>
      </c>
      <c r="C161" s="3">
        <v>45690.668657407412</v>
      </c>
      <c r="D161" t="s">
        <v>145</v>
      </c>
      <c r="E161" s="4">
        <v>0.84</v>
      </c>
      <c r="F161" s="4">
        <v>135352.69500000001</v>
      </c>
      <c r="G161" s="4">
        <v>135353.535</v>
      </c>
      <c r="H161" s="5">
        <f>419 / 86400</f>
        <v>4.8495370370370368E-3</v>
      </c>
      <c r="I161" t="s">
        <v>166</v>
      </c>
      <c r="J161" t="s">
        <v>60</v>
      </c>
      <c r="K161" s="5">
        <f>590 / 86400</f>
        <v>6.828703703703704E-3</v>
      </c>
      <c r="L161" s="5">
        <f>143 / 86400</f>
        <v>1.6550925925925926E-3</v>
      </c>
    </row>
    <row r="162" spans="1:12" x14ac:dyDescent="0.25">
      <c r="A162" s="3">
        <v>45690.670312499999</v>
      </c>
      <c r="B162" t="s">
        <v>145</v>
      </c>
      <c r="C162" s="3">
        <v>45690.67087962963</v>
      </c>
      <c r="D162" t="s">
        <v>174</v>
      </c>
      <c r="E162" s="4">
        <v>4.0000000000000001E-3</v>
      </c>
      <c r="F162" s="4">
        <v>135353.535</v>
      </c>
      <c r="G162" s="4">
        <v>135353.53899999999</v>
      </c>
      <c r="H162" s="5">
        <f>39 / 86400</f>
        <v>4.5138888888888887E-4</v>
      </c>
      <c r="I162" t="s">
        <v>39</v>
      </c>
      <c r="J162" t="s">
        <v>39</v>
      </c>
      <c r="K162" s="5">
        <f>49 / 86400</f>
        <v>5.6712962962962967E-4</v>
      </c>
      <c r="L162" s="5">
        <f>342 / 86400</f>
        <v>3.9583333333333337E-3</v>
      </c>
    </row>
    <row r="163" spans="1:12" x14ac:dyDescent="0.25">
      <c r="A163" s="3">
        <v>45690.674837962964</v>
      </c>
      <c r="B163" t="s">
        <v>145</v>
      </c>
      <c r="C163" s="3">
        <v>45690.677951388891</v>
      </c>
      <c r="D163" t="s">
        <v>145</v>
      </c>
      <c r="E163" s="4">
        <v>7.0000000000000001E-3</v>
      </c>
      <c r="F163" s="4">
        <v>135353.53899999999</v>
      </c>
      <c r="G163" s="4">
        <v>135353.546</v>
      </c>
      <c r="H163" s="5">
        <f>259 / 86400</f>
        <v>2.9976851851851853E-3</v>
      </c>
      <c r="I163" t="s">
        <v>39</v>
      </c>
      <c r="J163" t="s">
        <v>39</v>
      </c>
      <c r="K163" s="5">
        <f>269 / 86400</f>
        <v>3.1134259259259257E-3</v>
      </c>
      <c r="L163" s="5">
        <f>272 / 86400</f>
        <v>3.1481481481481482E-3</v>
      </c>
    </row>
    <row r="164" spans="1:12" x14ac:dyDescent="0.25">
      <c r="A164" s="3">
        <v>45690.681099537032</v>
      </c>
      <c r="B164" t="s">
        <v>145</v>
      </c>
      <c r="C164" s="3">
        <v>45690.68368055555</v>
      </c>
      <c r="D164" t="s">
        <v>145</v>
      </c>
      <c r="E164" s="4">
        <v>8.0000000000000002E-3</v>
      </c>
      <c r="F164" s="4">
        <v>135353.546</v>
      </c>
      <c r="G164" s="4">
        <v>135353.554</v>
      </c>
      <c r="H164" s="5">
        <f>219 / 86400</f>
        <v>2.5347222222222221E-3</v>
      </c>
      <c r="I164" t="s">
        <v>39</v>
      </c>
      <c r="J164" t="s">
        <v>39</v>
      </c>
      <c r="K164" s="5">
        <f>223 / 86400</f>
        <v>2.5810185185185185E-3</v>
      </c>
      <c r="L164" s="5">
        <f>278 / 86400</f>
        <v>3.2175925925925926E-3</v>
      </c>
    </row>
    <row r="165" spans="1:12" x14ac:dyDescent="0.25">
      <c r="A165" s="3">
        <v>45690.686898148153</v>
      </c>
      <c r="B165" t="s">
        <v>145</v>
      </c>
      <c r="C165" s="3">
        <v>45690.800023148149</v>
      </c>
      <c r="D165" t="s">
        <v>172</v>
      </c>
      <c r="E165" s="4">
        <v>49.66</v>
      </c>
      <c r="F165" s="4">
        <v>135353.554</v>
      </c>
      <c r="G165" s="4">
        <v>135403.21400000001</v>
      </c>
      <c r="H165" s="5">
        <f>3538 / 86400</f>
        <v>4.0949074074074075E-2</v>
      </c>
      <c r="I165" t="s">
        <v>32</v>
      </c>
      <c r="J165" t="s">
        <v>33</v>
      </c>
      <c r="K165" s="5">
        <f>9774 / 86400</f>
        <v>0.113125</v>
      </c>
      <c r="L165" s="5">
        <f>8 / 86400</f>
        <v>9.2592592592592588E-5</v>
      </c>
    </row>
    <row r="166" spans="1:12" x14ac:dyDescent="0.25">
      <c r="A166" s="3">
        <v>45690.800115740742</v>
      </c>
      <c r="B166" t="s">
        <v>172</v>
      </c>
      <c r="C166" s="3">
        <v>45690.80023148148</v>
      </c>
      <c r="D166" t="s">
        <v>172</v>
      </c>
      <c r="E166" s="4">
        <v>0</v>
      </c>
      <c r="F166" s="4">
        <v>135403.21400000001</v>
      </c>
      <c r="G166" s="4">
        <v>135403.21400000001</v>
      </c>
      <c r="H166" s="5">
        <f>7 / 86400</f>
        <v>8.1018518518518516E-5</v>
      </c>
      <c r="I166" t="s">
        <v>39</v>
      </c>
      <c r="J166" t="s">
        <v>39</v>
      </c>
      <c r="K166" s="5">
        <f>10 / 86400</f>
        <v>1.1574074074074075E-4</v>
      </c>
      <c r="L166" s="5">
        <f>442 / 86400</f>
        <v>5.115740740740741E-3</v>
      </c>
    </row>
    <row r="167" spans="1:12" x14ac:dyDescent="0.25">
      <c r="A167" s="3">
        <v>45690.805347222224</v>
      </c>
      <c r="B167" t="s">
        <v>172</v>
      </c>
      <c r="C167" s="3">
        <v>45690.860509259262</v>
      </c>
      <c r="D167" t="s">
        <v>175</v>
      </c>
      <c r="E167" s="4">
        <v>18.995999999999999</v>
      </c>
      <c r="F167" s="4">
        <v>135403.21400000001</v>
      </c>
      <c r="G167" s="4">
        <v>135422.21</v>
      </c>
      <c r="H167" s="5">
        <f>1879 / 86400</f>
        <v>2.1747685185185186E-2</v>
      </c>
      <c r="I167" t="s">
        <v>176</v>
      </c>
      <c r="J167" t="s">
        <v>127</v>
      </c>
      <c r="K167" s="5">
        <f>4766 / 86400</f>
        <v>5.5162037037037037E-2</v>
      </c>
      <c r="L167" s="5">
        <f>349 / 86400</f>
        <v>4.0393518518518521E-3</v>
      </c>
    </row>
    <row r="168" spans="1:12" x14ac:dyDescent="0.25">
      <c r="A168" s="3">
        <v>45690.864548611113</v>
      </c>
      <c r="B168" t="s">
        <v>177</v>
      </c>
      <c r="C168" s="3">
        <v>45690.871805555551</v>
      </c>
      <c r="D168" t="s">
        <v>18</v>
      </c>
      <c r="E168" s="4">
        <v>0.55500000000000005</v>
      </c>
      <c r="F168" s="4">
        <v>135422.21</v>
      </c>
      <c r="G168" s="4">
        <v>135422.76500000001</v>
      </c>
      <c r="H168" s="5">
        <f>479 / 86400</f>
        <v>5.5439814814814813E-3</v>
      </c>
      <c r="I168" t="s">
        <v>86</v>
      </c>
      <c r="J168" t="s">
        <v>75</v>
      </c>
      <c r="K168" s="5">
        <f>626 / 86400</f>
        <v>7.2453703703703708E-3</v>
      </c>
      <c r="L168" s="5">
        <f>5070 / 86400</f>
        <v>5.8680555555555555E-2</v>
      </c>
    </row>
    <row r="169" spans="1:12" x14ac:dyDescent="0.25">
      <c r="A169" s="3">
        <v>45690.930486111116</v>
      </c>
      <c r="B169" t="s">
        <v>18</v>
      </c>
      <c r="C169" s="3">
        <v>45690.931932870371</v>
      </c>
      <c r="D169" t="s">
        <v>18</v>
      </c>
      <c r="E169" s="4">
        <v>1.7000000000000001E-2</v>
      </c>
      <c r="F169" s="4">
        <v>135422.76500000001</v>
      </c>
      <c r="G169" s="4">
        <v>135422.78200000001</v>
      </c>
      <c r="H169" s="5">
        <f>99 / 86400</f>
        <v>1.1458333333333333E-3</v>
      </c>
      <c r="I169" t="s">
        <v>41</v>
      </c>
      <c r="J169" t="s">
        <v>39</v>
      </c>
      <c r="K169" s="5">
        <f>124 / 86400</f>
        <v>1.4351851851851852E-3</v>
      </c>
      <c r="L169" s="5">
        <f>5880 / 86400</f>
        <v>6.805555555555555E-2</v>
      </c>
    </row>
    <row r="170" spans="1:12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12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12" s="10" customFormat="1" ht="20.100000000000001" customHeight="1" x14ac:dyDescent="0.35">
      <c r="A172" s="15" t="s">
        <v>311</v>
      </c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2" ht="30" x14ac:dyDescent="0.25">
      <c r="A174" s="2" t="s">
        <v>6</v>
      </c>
      <c r="B174" s="2" t="s">
        <v>7</v>
      </c>
      <c r="C174" s="2" t="s">
        <v>8</v>
      </c>
      <c r="D174" s="2" t="s">
        <v>9</v>
      </c>
      <c r="E174" s="2" t="s">
        <v>10</v>
      </c>
      <c r="F174" s="2" t="s">
        <v>11</v>
      </c>
      <c r="G174" s="2" t="s">
        <v>12</v>
      </c>
      <c r="H174" s="2" t="s">
        <v>13</v>
      </c>
      <c r="I174" s="2" t="s">
        <v>14</v>
      </c>
      <c r="J174" s="2" t="s">
        <v>15</v>
      </c>
      <c r="K174" s="2" t="s">
        <v>16</v>
      </c>
      <c r="L174" s="2" t="s">
        <v>17</v>
      </c>
    </row>
    <row r="175" spans="1:12" x14ac:dyDescent="0.25">
      <c r="A175" s="3">
        <v>45690.236990740741</v>
      </c>
      <c r="B175" t="s">
        <v>25</v>
      </c>
      <c r="C175" s="3">
        <v>45690.249976851846</v>
      </c>
      <c r="D175" t="s">
        <v>178</v>
      </c>
      <c r="E175" s="4">
        <v>11.681374459803104</v>
      </c>
      <c r="F175" s="4">
        <v>345988.65599517943</v>
      </c>
      <c r="G175" s="4">
        <v>346000.33736963919</v>
      </c>
      <c r="H175" s="5">
        <f t="shared" ref="H175:H221" si="0">0 / 86400</f>
        <v>0</v>
      </c>
      <c r="I175" t="s">
        <v>179</v>
      </c>
      <c r="J175" t="s">
        <v>153</v>
      </c>
      <c r="K175" s="5">
        <f>1122 / 86400</f>
        <v>1.2986111111111111E-2</v>
      </c>
      <c r="L175" s="5">
        <f>24514 / 86400</f>
        <v>0.28372685185185187</v>
      </c>
    </row>
    <row r="176" spans="1:12" x14ac:dyDescent="0.25">
      <c r="A176" s="3">
        <v>45690.296712962961</v>
      </c>
      <c r="B176" t="s">
        <v>178</v>
      </c>
      <c r="C176" s="3">
        <v>45690.299224537041</v>
      </c>
      <c r="D176" t="s">
        <v>180</v>
      </c>
      <c r="E176" s="4">
        <v>2.2150132712125776</v>
      </c>
      <c r="F176" s="4">
        <v>346000.35779728781</v>
      </c>
      <c r="G176" s="4">
        <v>346002.57281055901</v>
      </c>
      <c r="H176" s="5">
        <f t="shared" si="0"/>
        <v>0</v>
      </c>
      <c r="I176" t="s">
        <v>179</v>
      </c>
      <c r="J176" t="s">
        <v>153</v>
      </c>
      <c r="K176" s="5">
        <f>217 / 86400</f>
        <v>2.5115740740740741E-3</v>
      </c>
      <c r="L176" s="5">
        <f>80 / 86400</f>
        <v>9.2592592592592596E-4</v>
      </c>
    </row>
    <row r="177" spans="1:12" x14ac:dyDescent="0.25">
      <c r="A177" s="3">
        <v>45690.300150462965</v>
      </c>
      <c r="B177" t="s">
        <v>181</v>
      </c>
      <c r="C177" s="3">
        <v>45690.300381944442</v>
      </c>
      <c r="D177" t="s">
        <v>180</v>
      </c>
      <c r="E177" s="4">
        <v>1.424496293067932E-3</v>
      </c>
      <c r="F177" s="4">
        <v>346002.58271071204</v>
      </c>
      <c r="G177" s="4">
        <v>346002.58413520834</v>
      </c>
      <c r="H177" s="5">
        <f t="shared" si="0"/>
        <v>0</v>
      </c>
      <c r="I177" t="s">
        <v>41</v>
      </c>
      <c r="J177" t="s">
        <v>39</v>
      </c>
      <c r="K177" s="5">
        <f>20 / 86400</f>
        <v>2.3148148148148149E-4</v>
      </c>
      <c r="L177" s="5">
        <f>40 / 86400</f>
        <v>4.6296296296296298E-4</v>
      </c>
    </row>
    <row r="178" spans="1:12" x14ac:dyDescent="0.25">
      <c r="A178" s="3">
        <v>45690.300844907411</v>
      </c>
      <c r="B178" t="s">
        <v>180</v>
      </c>
      <c r="C178" s="3">
        <v>45690.301307870366</v>
      </c>
      <c r="D178" t="s">
        <v>181</v>
      </c>
      <c r="E178" s="4">
        <v>7.0376865863800049E-3</v>
      </c>
      <c r="F178" s="4">
        <v>346002.58722432749</v>
      </c>
      <c r="G178" s="4">
        <v>346002.59426201408</v>
      </c>
      <c r="H178" s="5">
        <f t="shared" si="0"/>
        <v>0</v>
      </c>
      <c r="I178" t="s">
        <v>41</v>
      </c>
      <c r="J178" t="s">
        <v>41</v>
      </c>
      <c r="K178" s="5">
        <f>40 / 86400</f>
        <v>4.6296296296296298E-4</v>
      </c>
      <c r="L178" s="5">
        <f>40 / 86400</f>
        <v>4.6296296296296298E-4</v>
      </c>
    </row>
    <row r="179" spans="1:12" x14ac:dyDescent="0.25">
      <c r="A179" s="3">
        <v>45690.301770833335</v>
      </c>
      <c r="B179" t="s">
        <v>181</v>
      </c>
      <c r="C179" s="3">
        <v>45690.30300925926</v>
      </c>
      <c r="D179" t="s">
        <v>182</v>
      </c>
      <c r="E179" s="4">
        <v>0.42619097548723223</v>
      </c>
      <c r="F179" s="4">
        <v>346002.61290116957</v>
      </c>
      <c r="G179" s="4">
        <v>346003.0390921451</v>
      </c>
      <c r="H179" s="5">
        <f t="shared" si="0"/>
        <v>0</v>
      </c>
      <c r="I179" t="s">
        <v>86</v>
      </c>
      <c r="J179" t="s">
        <v>127</v>
      </c>
      <c r="K179" s="5">
        <f>107 / 86400</f>
        <v>1.238425925925926E-3</v>
      </c>
      <c r="L179" s="5">
        <f>38 / 86400</f>
        <v>4.3981481481481481E-4</v>
      </c>
    </row>
    <row r="180" spans="1:12" x14ac:dyDescent="0.25">
      <c r="A180" s="3">
        <v>45690.303449074076</v>
      </c>
      <c r="B180" t="s">
        <v>182</v>
      </c>
      <c r="C180" s="3">
        <v>45690.30368055556</v>
      </c>
      <c r="D180" t="s">
        <v>180</v>
      </c>
      <c r="E180" s="4">
        <v>3.6551152229309082E-2</v>
      </c>
      <c r="F180" s="4">
        <v>346003.04508738726</v>
      </c>
      <c r="G180" s="4">
        <v>346003.0816385395</v>
      </c>
      <c r="H180" s="5">
        <f t="shared" si="0"/>
        <v>0</v>
      </c>
      <c r="I180" t="s">
        <v>60</v>
      </c>
      <c r="J180" t="s">
        <v>91</v>
      </c>
      <c r="K180" s="5">
        <f>20 / 86400</f>
        <v>2.3148148148148149E-4</v>
      </c>
      <c r="L180" s="5">
        <f>196 / 86400</f>
        <v>2.2685185185185187E-3</v>
      </c>
    </row>
    <row r="181" spans="1:12" x14ac:dyDescent="0.25">
      <c r="A181" s="3">
        <v>45690.305949074071</v>
      </c>
      <c r="B181" t="s">
        <v>180</v>
      </c>
      <c r="C181" s="3">
        <v>45690.308437500003</v>
      </c>
      <c r="D181" t="s">
        <v>117</v>
      </c>
      <c r="E181" s="4">
        <v>2.9185413282513619</v>
      </c>
      <c r="F181" s="4">
        <v>346003.13473931188</v>
      </c>
      <c r="G181" s="4">
        <v>346006.0532806401</v>
      </c>
      <c r="H181" s="5">
        <f t="shared" si="0"/>
        <v>0</v>
      </c>
      <c r="I181" t="s">
        <v>31</v>
      </c>
      <c r="J181" t="s">
        <v>183</v>
      </c>
      <c r="K181" s="5">
        <f>215 / 86400</f>
        <v>2.488425925925926E-3</v>
      </c>
      <c r="L181" s="5">
        <f t="shared" ref="L181:L186" si="1">20 / 86400</f>
        <v>2.3148148148148149E-4</v>
      </c>
    </row>
    <row r="182" spans="1:12" x14ac:dyDescent="0.25">
      <c r="A182" s="3">
        <v>45690.308668981481</v>
      </c>
      <c r="B182" t="s">
        <v>117</v>
      </c>
      <c r="C182" s="3">
        <v>45690.309363425928</v>
      </c>
      <c r="D182" t="s">
        <v>65</v>
      </c>
      <c r="E182" s="4">
        <v>0.50203961247205731</v>
      </c>
      <c r="F182" s="4">
        <v>346006.09843640879</v>
      </c>
      <c r="G182" s="4">
        <v>346006.6004760213</v>
      </c>
      <c r="H182" s="5">
        <f t="shared" si="0"/>
        <v>0</v>
      </c>
      <c r="I182" t="s">
        <v>184</v>
      </c>
      <c r="J182" t="s">
        <v>126</v>
      </c>
      <c r="K182" s="5">
        <f>60 / 86400</f>
        <v>6.9444444444444447E-4</v>
      </c>
      <c r="L182" s="5">
        <f t="shared" si="1"/>
        <v>2.3148148148148149E-4</v>
      </c>
    </row>
    <row r="183" spans="1:12" x14ac:dyDescent="0.25">
      <c r="A183" s="3">
        <v>45690.309594907405</v>
      </c>
      <c r="B183" t="s">
        <v>65</v>
      </c>
      <c r="C183" s="3">
        <v>45690.314687499995</v>
      </c>
      <c r="D183" t="s">
        <v>164</v>
      </c>
      <c r="E183" s="4">
        <v>5.5700782963633539</v>
      </c>
      <c r="F183" s="4">
        <v>346006.60679874785</v>
      </c>
      <c r="G183" s="4">
        <v>346012.1768770442</v>
      </c>
      <c r="H183" s="5">
        <f t="shared" si="0"/>
        <v>0</v>
      </c>
      <c r="I183" t="s">
        <v>185</v>
      </c>
      <c r="J183" t="s">
        <v>186</v>
      </c>
      <c r="K183" s="5">
        <f>440 / 86400</f>
        <v>5.092592592592593E-3</v>
      </c>
      <c r="L183" s="5">
        <f t="shared" si="1"/>
        <v>2.3148148148148149E-4</v>
      </c>
    </row>
    <row r="184" spans="1:12" x14ac:dyDescent="0.25">
      <c r="A184" s="3">
        <v>45690.314918981487</v>
      </c>
      <c r="B184" t="s">
        <v>164</v>
      </c>
      <c r="C184" s="3">
        <v>45690.333333333328</v>
      </c>
      <c r="D184" t="s">
        <v>187</v>
      </c>
      <c r="E184" s="4">
        <v>14.262042557358741</v>
      </c>
      <c r="F184" s="4">
        <v>346012.25620498206</v>
      </c>
      <c r="G184" s="4">
        <v>346026.51824753941</v>
      </c>
      <c r="H184" s="5">
        <f t="shared" si="0"/>
        <v>0</v>
      </c>
      <c r="I184" t="s">
        <v>106</v>
      </c>
      <c r="J184" t="s">
        <v>136</v>
      </c>
      <c r="K184" s="5">
        <f>1591 / 86400</f>
        <v>1.8414351851851852E-2</v>
      </c>
      <c r="L184" s="5">
        <f t="shared" si="1"/>
        <v>2.3148148148148149E-4</v>
      </c>
    </row>
    <row r="185" spans="1:12" x14ac:dyDescent="0.25">
      <c r="A185" s="3">
        <v>45690.333564814813</v>
      </c>
      <c r="B185" t="s">
        <v>187</v>
      </c>
      <c r="C185" s="3">
        <v>45690.335185185184</v>
      </c>
      <c r="D185" t="s">
        <v>188</v>
      </c>
      <c r="E185" s="4">
        <v>0.94548844611644745</v>
      </c>
      <c r="F185" s="4">
        <v>346026.51906825916</v>
      </c>
      <c r="G185" s="4">
        <v>346027.46455670532</v>
      </c>
      <c r="H185" s="5">
        <f t="shared" si="0"/>
        <v>0</v>
      </c>
      <c r="I185" t="s">
        <v>147</v>
      </c>
      <c r="J185" t="s">
        <v>189</v>
      </c>
      <c r="K185" s="5">
        <f>140 / 86400</f>
        <v>1.6203703703703703E-3</v>
      </c>
      <c r="L185" s="5">
        <f t="shared" si="1"/>
        <v>2.3148148148148149E-4</v>
      </c>
    </row>
    <row r="186" spans="1:12" x14ac:dyDescent="0.25">
      <c r="A186" s="3">
        <v>45690.335416666669</v>
      </c>
      <c r="B186" t="s">
        <v>190</v>
      </c>
      <c r="C186" s="3">
        <v>45690.366273148145</v>
      </c>
      <c r="D186" t="s">
        <v>191</v>
      </c>
      <c r="E186" s="4">
        <v>40.139457296788692</v>
      </c>
      <c r="F186" s="4">
        <v>346027.54939024738</v>
      </c>
      <c r="G186" s="4">
        <v>346067.6888475442</v>
      </c>
      <c r="H186" s="5">
        <f t="shared" si="0"/>
        <v>0</v>
      </c>
      <c r="I186" t="s">
        <v>35</v>
      </c>
      <c r="J186" t="s">
        <v>192</v>
      </c>
      <c r="K186" s="5">
        <f>2666 / 86400</f>
        <v>3.0856481481481481E-2</v>
      </c>
      <c r="L186" s="5">
        <f t="shared" si="1"/>
        <v>2.3148148148148149E-4</v>
      </c>
    </row>
    <row r="187" spans="1:12" x14ac:dyDescent="0.25">
      <c r="A187" s="3">
        <v>45690.36650462963</v>
      </c>
      <c r="B187" t="s">
        <v>191</v>
      </c>
      <c r="C187" s="3">
        <v>45690.384768518517</v>
      </c>
      <c r="D187" t="s">
        <v>193</v>
      </c>
      <c r="E187" s="4">
        <v>26.664730563163758</v>
      </c>
      <c r="F187" s="4">
        <v>346068.43795059895</v>
      </c>
      <c r="G187" s="4">
        <v>346095.10268116213</v>
      </c>
      <c r="H187" s="5">
        <f t="shared" si="0"/>
        <v>0</v>
      </c>
      <c r="I187" t="s">
        <v>62</v>
      </c>
      <c r="J187" t="s">
        <v>171</v>
      </c>
      <c r="K187" s="5">
        <f>1578 / 86400</f>
        <v>1.8263888888888889E-2</v>
      </c>
      <c r="L187" s="5">
        <f>60 / 86400</f>
        <v>6.9444444444444447E-4</v>
      </c>
    </row>
    <row r="188" spans="1:12" x14ac:dyDescent="0.25">
      <c r="A188" s="3">
        <v>45690.385462962964</v>
      </c>
      <c r="B188" t="s">
        <v>193</v>
      </c>
      <c r="C188" s="3">
        <v>45690.385694444441</v>
      </c>
      <c r="D188" t="s">
        <v>193</v>
      </c>
      <c r="E188" s="4">
        <v>8.791733324527741E-3</v>
      </c>
      <c r="F188" s="4">
        <v>346095.12746602064</v>
      </c>
      <c r="G188" s="4">
        <v>346095.13625775394</v>
      </c>
      <c r="H188" s="5">
        <f t="shared" si="0"/>
        <v>0</v>
      </c>
      <c r="I188" t="s">
        <v>163</v>
      </c>
      <c r="J188" t="s">
        <v>79</v>
      </c>
      <c r="K188" s="5">
        <f>20 / 86400</f>
        <v>2.3148148148148149E-4</v>
      </c>
      <c r="L188" s="5">
        <f>8 / 86400</f>
        <v>9.2592592592592588E-5</v>
      </c>
    </row>
    <row r="189" spans="1:12" x14ac:dyDescent="0.25">
      <c r="A189" s="3">
        <v>45690.385787037041</v>
      </c>
      <c r="B189" t="s">
        <v>193</v>
      </c>
      <c r="C189" s="3">
        <v>45690.390046296292</v>
      </c>
      <c r="D189" t="s">
        <v>194</v>
      </c>
      <c r="E189" s="4">
        <v>5.4372991622090341</v>
      </c>
      <c r="F189" s="4">
        <v>346095.13792740711</v>
      </c>
      <c r="G189" s="4">
        <v>346100.57522656932</v>
      </c>
      <c r="H189" s="5">
        <f t="shared" si="0"/>
        <v>0</v>
      </c>
      <c r="I189" t="s">
        <v>19</v>
      </c>
      <c r="J189" t="s">
        <v>195</v>
      </c>
      <c r="K189" s="5">
        <f>368 / 86400</f>
        <v>4.2592592592592595E-3</v>
      </c>
      <c r="L189" s="5">
        <f>15 / 86400</f>
        <v>1.7361111111111112E-4</v>
      </c>
    </row>
    <row r="190" spans="1:12" x14ac:dyDescent="0.25">
      <c r="A190" s="3">
        <v>45690.390219907407</v>
      </c>
      <c r="B190" t="s">
        <v>194</v>
      </c>
      <c r="C190" s="3">
        <v>45690.390914351854</v>
      </c>
      <c r="D190" t="s">
        <v>194</v>
      </c>
      <c r="E190" s="4">
        <v>0.46530575668811797</v>
      </c>
      <c r="F190" s="4">
        <v>346100.57929077785</v>
      </c>
      <c r="G190" s="4">
        <v>346101.04459653457</v>
      </c>
      <c r="H190" s="5">
        <f t="shared" si="0"/>
        <v>0</v>
      </c>
      <c r="I190" t="s">
        <v>141</v>
      </c>
      <c r="J190" t="s">
        <v>51</v>
      </c>
      <c r="K190" s="5">
        <f>60 / 86400</f>
        <v>6.9444444444444447E-4</v>
      </c>
      <c r="L190" s="5">
        <f>80 / 86400</f>
        <v>9.2592592592592596E-4</v>
      </c>
    </row>
    <row r="191" spans="1:12" x14ac:dyDescent="0.25">
      <c r="A191" s="3">
        <v>45690.391840277778</v>
      </c>
      <c r="B191" t="s">
        <v>194</v>
      </c>
      <c r="C191" s="3">
        <v>45690.393750000003</v>
      </c>
      <c r="D191" t="s">
        <v>194</v>
      </c>
      <c r="E191" s="4">
        <v>1.7491261998414993</v>
      </c>
      <c r="F191" s="4">
        <v>346101.07875076256</v>
      </c>
      <c r="G191" s="4">
        <v>346102.82787696243</v>
      </c>
      <c r="H191" s="5">
        <f t="shared" si="0"/>
        <v>0</v>
      </c>
      <c r="I191" t="s">
        <v>196</v>
      </c>
      <c r="J191" t="s">
        <v>135</v>
      </c>
      <c r="K191" s="5">
        <f>165 / 86400</f>
        <v>1.9097222222222222E-3</v>
      </c>
      <c r="L191" s="5">
        <f>71 / 86400</f>
        <v>8.2175925925925927E-4</v>
      </c>
    </row>
    <row r="192" spans="1:12" x14ac:dyDescent="0.25">
      <c r="A192" s="3">
        <v>45690.394571759258</v>
      </c>
      <c r="B192" t="s">
        <v>194</v>
      </c>
      <c r="C192" s="3">
        <v>45690.397152777776</v>
      </c>
      <c r="D192" t="s">
        <v>194</v>
      </c>
      <c r="E192" s="4">
        <v>2.2337513483166695</v>
      </c>
      <c r="F192" s="4">
        <v>346102.83546250657</v>
      </c>
      <c r="G192" s="4">
        <v>346105.06921385491</v>
      </c>
      <c r="H192" s="5">
        <f t="shared" si="0"/>
        <v>0</v>
      </c>
      <c r="I192" t="s">
        <v>171</v>
      </c>
      <c r="J192" t="s">
        <v>134</v>
      </c>
      <c r="K192" s="5">
        <f>223 / 86400</f>
        <v>2.5810185185185185E-3</v>
      </c>
      <c r="L192" s="5">
        <f>110 / 86400</f>
        <v>1.2731481481481483E-3</v>
      </c>
    </row>
    <row r="193" spans="1:12" x14ac:dyDescent="0.25">
      <c r="A193" s="3">
        <v>45690.39842592593</v>
      </c>
      <c r="B193" t="s">
        <v>194</v>
      </c>
      <c r="C193" s="3">
        <v>45690.406145833331</v>
      </c>
      <c r="D193" t="s">
        <v>197</v>
      </c>
      <c r="E193" s="4">
        <v>10.155652174293994</v>
      </c>
      <c r="F193" s="4">
        <v>346105.09361901833</v>
      </c>
      <c r="G193" s="4">
        <v>346115.24927119259</v>
      </c>
      <c r="H193" s="5">
        <f t="shared" si="0"/>
        <v>0</v>
      </c>
      <c r="I193" t="s">
        <v>198</v>
      </c>
      <c r="J193" t="s">
        <v>166</v>
      </c>
      <c r="K193" s="5">
        <f>667 / 86400</f>
        <v>7.7199074074074071E-3</v>
      </c>
      <c r="L193" s="5">
        <f>14 / 86400</f>
        <v>1.6203703703703703E-4</v>
      </c>
    </row>
    <row r="194" spans="1:12" x14ac:dyDescent="0.25">
      <c r="A194" s="3">
        <v>45690.406307870369</v>
      </c>
      <c r="B194" t="s">
        <v>197</v>
      </c>
      <c r="C194" s="3">
        <v>45690.406770833331</v>
      </c>
      <c r="D194" t="s">
        <v>197</v>
      </c>
      <c r="E194" s="4">
        <v>5.3917821705341339E-2</v>
      </c>
      <c r="F194" s="4">
        <v>346115.25552221539</v>
      </c>
      <c r="G194" s="4">
        <v>346115.30944003706</v>
      </c>
      <c r="H194" s="5">
        <f t="shared" si="0"/>
        <v>0</v>
      </c>
      <c r="I194" t="s">
        <v>173</v>
      </c>
      <c r="J194" t="s">
        <v>60</v>
      </c>
      <c r="K194" s="5">
        <f>40 / 86400</f>
        <v>4.6296296296296298E-4</v>
      </c>
      <c r="L194" s="5">
        <f>79 / 86400</f>
        <v>9.1435185185185185E-4</v>
      </c>
    </row>
    <row r="195" spans="1:12" x14ac:dyDescent="0.25">
      <c r="A195" s="3">
        <v>45690.407685185186</v>
      </c>
      <c r="B195" t="s">
        <v>197</v>
      </c>
      <c r="C195" s="3">
        <v>45690.408101851848</v>
      </c>
      <c r="D195" t="s">
        <v>197</v>
      </c>
      <c r="E195" s="4">
        <v>2.8075337529182433E-2</v>
      </c>
      <c r="F195" s="4">
        <v>346115.32198765385</v>
      </c>
      <c r="G195" s="4">
        <v>346115.35006299138</v>
      </c>
      <c r="H195" s="5">
        <f t="shared" si="0"/>
        <v>0</v>
      </c>
      <c r="I195" t="s">
        <v>38</v>
      </c>
      <c r="J195" t="s">
        <v>75</v>
      </c>
      <c r="K195" s="5">
        <f>36 / 86400</f>
        <v>4.1666666666666669E-4</v>
      </c>
      <c r="L195" s="5">
        <f>102 / 86400</f>
        <v>1.1805555555555556E-3</v>
      </c>
    </row>
    <row r="196" spans="1:12" x14ac:dyDescent="0.25">
      <c r="A196" s="3">
        <v>45690.409282407403</v>
      </c>
      <c r="B196" t="s">
        <v>197</v>
      </c>
      <c r="C196" s="3">
        <v>45690.409687499996</v>
      </c>
      <c r="D196" t="s">
        <v>197</v>
      </c>
      <c r="E196" s="4">
        <v>0.20362896817922593</v>
      </c>
      <c r="F196" s="4">
        <v>346115.3612125722</v>
      </c>
      <c r="G196" s="4">
        <v>346115.56484154041</v>
      </c>
      <c r="H196" s="5">
        <f t="shared" si="0"/>
        <v>0</v>
      </c>
      <c r="I196" t="s">
        <v>168</v>
      </c>
      <c r="J196" t="s">
        <v>30</v>
      </c>
      <c r="K196" s="5">
        <f>35 / 86400</f>
        <v>4.0509259259259258E-4</v>
      </c>
      <c r="L196" s="5">
        <f>23278 / 86400</f>
        <v>0.2694212962962963</v>
      </c>
    </row>
    <row r="197" spans="1:12" x14ac:dyDescent="0.25">
      <c r="A197" s="3">
        <v>45690.679108796292</v>
      </c>
      <c r="B197" t="s">
        <v>197</v>
      </c>
      <c r="C197" s="3">
        <v>45690.679490740746</v>
      </c>
      <c r="D197" t="s">
        <v>197</v>
      </c>
      <c r="E197" s="4">
        <v>4.0895042479038239E-2</v>
      </c>
      <c r="F197" s="4">
        <v>346115.58745017974</v>
      </c>
      <c r="G197" s="4">
        <v>346115.62834522221</v>
      </c>
      <c r="H197" s="5">
        <f t="shared" si="0"/>
        <v>0</v>
      </c>
      <c r="I197" t="s">
        <v>91</v>
      </c>
      <c r="J197" t="s">
        <v>163</v>
      </c>
      <c r="K197" s="5">
        <f>33 / 86400</f>
        <v>3.8194444444444446E-4</v>
      </c>
      <c r="L197" s="5">
        <f>20 / 86400</f>
        <v>2.3148148148148149E-4</v>
      </c>
    </row>
    <row r="198" spans="1:12" x14ac:dyDescent="0.25">
      <c r="A198" s="3">
        <v>45690.679722222223</v>
      </c>
      <c r="B198" t="s">
        <v>197</v>
      </c>
      <c r="C198" s="3">
        <v>45690.681574074071</v>
      </c>
      <c r="D198" t="s">
        <v>197</v>
      </c>
      <c r="E198" s="4">
        <v>0.53042763674259186</v>
      </c>
      <c r="F198" s="4">
        <v>346115.67140749906</v>
      </c>
      <c r="G198" s="4">
        <v>346116.20183513581</v>
      </c>
      <c r="H198" s="5">
        <f t="shared" si="0"/>
        <v>0</v>
      </c>
      <c r="I198" t="s">
        <v>86</v>
      </c>
      <c r="J198" t="s">
        <v>125</v>
      </c>
      <c r="K198" s="5">
        <f>160 / 86400</f>
        <v>1.8518518518518519E-3</v>
      </c>
      <c r="L198" s="5">
        <f>80 / 86400</f>
        <v>9.2592592592592596E-4</v>
      </c>
    </row>
    <row r="199" spans="1:12" x14ac:dyDescent="0.25">
      <c r="A199" s="3">
        <v>45690.682499999995</v>
      </c>
      <c r="B199" t="s">
        <v>197</v>
      </c>
      <c r="C199" s="3">
        <v>45690.684050925927</v>
      </c>
      <c r="D199" t="s">
        <v>197</v>
      </c>
      <c r="E199" s="4">
        <v>0.48794397193193434</v>
      </c>
      <c r="F199" s="4">
        <v>346116.27900808508</v>
      </c>
      <c r="G199" s="4">
        <v>346116.76695205702</v>
      </c>
      <c r="H199" s="5">
        <f t="shared" si="0"/>
        <v>0</v>
      </c>
      <c r="I199" t="s">
        <v>136</v>
      </c>
      <c r="J199" t="s">
        <v>151</v>
      </c>
      <c r="K199" s="5">
        <f>134 / 86400</f>
        <v>1.5509259259259259E-3</v>
      </c>
      <c r="L199" s="5">
        <f>20 / 86400</f>
        <v>2.3148148148148149E-4</v>
      </c>
    </row>
    <row r="200" spans="1:12" x14ac:dyDescent="0.25">
      <c r="A200" s="3">
        <v>45690.684282407412</v>
      </c>
      <c r="B200" t="s">
        <v>197</v>
      </c>
      <c r="C200" s="3">
        <v>45690.684942129628</v>
      </c>
      <c r="D200" t="s">
        <v>199</v>
      </c>
      <c r="E200" s="4">
        <v>0.27469823998212817</v>
      </c>
      <c r="F200" s="4">
        <v>346116.79360487423</v>
      </c>
      <c r="G200" s="4">
        <v>346117.06830311421</v>
      </c>
      <c r="H200" s="5">
        <f t="shared" si="0"/>
        <v>0</v>
      </c>
      <c r="I200" t="s">
        <v>168</v>
      </c>
      <c r="J200" t="s">
        <v>27</v>
      </c>
      <c r="K200" s="5">
        <f>57 / 86400</f>
        <v>6.5972222222222224E-4</v>
      </c>
      <c r="L200" s="5">
        <f>60 / 86400</f>
        <v>6.9444444444444447E-4</v>
      </c>
    </row>
    <row r="201" spans="1:12" x14ac:dyDescent="0.25">
      <c r="A201" s="3">
        <v>45690.685636574075</v>
      </c>
      <c r="B201" t="s">
        <v>199</v>
      </c>
      <c r="C201" s="3">
        <v>45690.714733796296</v>
      </c>
      <c r="D201" t="s">
        <v>200</v>
      </c>
      <c r="E201" s="4">
        <v>34.539468209743497</v>
      </c>
      <c r="F201" s="4">
        <v>346117.12994553288</v>
      </c>
      <c r="G201" s="4">
        <v>346151.66941374261</v>
      </c>
      <c r="H201" s="5">
        <f t="shared" si="0"/>
        <v>0</v>
      </c>
      <c r="I201" t="s">
        <v>26</v>
      </c>
      <c r="J201" t="s">
        <v>183</v>
      </c>
      <c r="K201" s="5">
        <f>2514 / 86400</f>
        <v>2.9097222222222222E-2</v>
      </c>
      <c r="L201" s="5">
        <f>20 / 86400</f>
        <v>2.3148148148148149E-4</v>
      </c>
    </row>
    <row r="202" spans="1:12" x14ac:dyDescent="0.25">
      <c r="A202" s="3">
        <v>45690.714965277773</v>
      </c>
      <c r="B202" t="s">
        <v>200</v>
      </c>
      <c r="C202" s="3">
        <v>45690.715196759258</v>
      </c>
      <c r="D202" t="s">
        <v>200</v>
      </c>
      <c r="E202" s="4">
        <v>4.4753128290176388E-3</v>
      </c>
      <c r="F202" s="4">
        <v>346151.67692299461</v>
      </c>
      <c r="G202" s="4">
        <v>346151.68139830744</v>
      </c>
      <c r="H202" s="5">
        <f t="shared" si="0"/>
        <v>0</v>
      </c>
      <c r="I202" t="s">
        <v>60</v>
      </c>
      <c r="J202" t="s">
        <v>41</v>
      </c>
      <c r="K202" s="5">
        <f>20 / 86400</f>
        <v>2.3148148148148149E-4</v>
      </c>
      <c r="L202" s="5">
        <f>20 / 86400</f>
        <v>2.3148148148148149E-4</v>
      </c>
    </row>
    <row r="203" spans="1:12" x14ac:dyDescent="0.25">
      <c r="A203" s="3">
        <v>45690.715428240743</v>
      </c>
      <c r="B203" t="s">
        <v>200</v>
      </c>
      <c r="C203" s="3">
        <v>45690.736215277779</v>
      </c>
      <c r="D203" t="s">
        <v>201</v>
      </c>
      <c r="E203" s="4">
        <v>27.548297521710396</v>
      </c>
      <c r="F203" s="4">
        <v>346151.72896755533</v>
      </c>
      <c r="G203" s="4">
        <v>346179.27726507705</v>
      </c>
      <c r="H203" s="5">
        <f t="shared" si="0"/>
        <v>0</v>
      </c>
      <c r="I203" t="s">
        <v>32</v>
      </c>
      <c r="J203" t="s">
        <v>166</v>
      </c>
      <c r="K203" s="5">
        <f>1796 / 86400</f>
        <v>2.0787037037037038E-2</v>
      </c>
      <c r="L203" s="5">
        <f>20 / 86400</f>
        <v>2.3148148148148149E-4</v>
      </c>
    </row>
    <row r="204" spans="1:12" x14ac:dyDescent="0.25">
      <c r="A204" s="3">
        <v>45690.736446759256</v>
      </c>
      <c r="B204" t="s">
        <v>202</v>
      </c>
      <c r="C204" s="3">
        <v>45690.739687499998</v>
      </c>
      <c r="D204" t="s">
        <v>202</v>
      </c>
      <c r="E204" s="4">
        <v>1.4554494711160659</v>
      </c>
      <c r="F204" s="4">
        <v>346179.33156300191</v>
      </c>
      <c r="G204" s="4">
        <v>346180.78701247304</v>
      </c>
      <c r="H204" s="5">
        <f t="shared" si="0"/>
        <v>0</v>
      </c>
      <c r="I204" t="s">
        <v>153</v>
      </c>
      <c r="J204" t="s">
        <v>20</v>
      </c>
      <c r="K204" s="5">
        <f>280 / 86400</f>
        <v>3.2407407407407406E-3</v>
      </c>
      <c r="L204" s="5">
        <f>20 / 86400</f>
        <v>2.3148148148148149E-4</v>
      </c>
    </row>
    <row r="205" spans="1:12" x14ac:dyDescent="0.25">
      <c r="A205" s="3">
        <v>45690.739918981482</v>
      </c>
      <c r="B205" t="s">
        <v>202</v>
      </c>
      <c r="C205" s="3">
        <v>45690.745104166665</v>
      </c>
      <c r="D205" t="s">
        <v>203</v>
      </c>
      <c r="E205" s="4">
        <v>2.2780932514667511</v>
      </c>
      <c r="F205" s="4">
        <v>346180.78886913112</v>
      </c>
      <c r="G205" s="4">
        <v>346183.06696238264</v>
      </c>
      <c r="H205" s="5">
        <f t="shared" si="0"/>
        <v>0</v>
      </c>
      <c r="I205" t="s">
        <v>23</v>
      </c>
      <c r="J205" t="s">
        <v>33</v>
      </c>
      <c r="K205" s="5">
        <f>448 / 86400</f>
        <v>5.185185185185185E-3</v>
      </c>
      <c r="L205" s="5">
        <f>8 / 86400</f>
        <v>9.2592592592592588E-5</v>
      </c>
    </row>
    <row r="206" spans="1:12" x14ac:dyDescent="0.25">
      <c r="A206" s="3">
        <v>45690.745196759264</v>
      </c>
      <c r="B206" t="s">
        <v>203</v>
      </c>
      <c r="C206" s="3">
        <v>45690.749131944445</v>
      </c>
      <c r="D206" t="s">
        <v>203</v>
      </c>
      <c r="E206" s="4">
        <v>1.6782918077111244</v>
      </c>
      <c r="F206" s="4">
        <v>346183.07439606899</v>
      </c>
      <c r="G206" s="4">
        <v>346184.75268787669</v>
      </c>
      <c r="H206" s="5">
        <f t="shared" si="0"/>
        <v>0</v>
      </c>
      <c r="I206" t="s">
        <v>69</v>
      </c>
      <c r="J206" t="s">
        <v>33</v>
      </c>
      <c r="K206" s="5">
        <f>340 / 86400</f>
        <v>3.9351851851851848E-3</v>
      </c>
      <c r="L206" s="5">
        <f>20 / 86400</f>
        <v>2.3148148148148149E-4</v>
      </c>
    </row>
    <row r="207" spans="1:12" x14ac:dyDescent="0.25">
      <c r="A207" s="3">
        <v>45690.74936342593</v>
      </c>
      <c r="B207" t="s">
        <v>203</v>
      </c>
      <c r="C207" s="3">
        <v>45690.764409722222</v>
      </c>
      <c r="D207" t="s">
        <v>204</v>
      </c>
      <c r="E207" s="4">
        <v>10.846637494146824</v>
      </c>
      <c r="F207" s="4">
        <v>346184.85547969927</v>
      </c>
      <c r="G207" s="4">
        <v>346195.70211719337</v>
      </c>
      <c r="H207" s="5">
        <f t="shared" si="0"/>
        <v>0</v>
      </c>
      <c r="I207" t="s">
        <v>57</v>
      </c>
      <c r="J207" t="s">
        <v>126</v>
      </c>
      <c r="K207" s="5">
        <f>1300 / 86400</f>
        <v>1.5046296296296295E-2</v>
      </c>
      <c r="L207" s="5">
        <f>15 / 86400</f>
        <v>1.7361111111111112E-4</v>
      </c>
    </row>
    <row r="208" spans="1:12" x14ac:dyDescent="0.25">
      <c r="A208" s="3">
        <v>45690.764583333337</v>
      </c>
      <c r="B208" t="s">
        <v>204</v>
      </c>
      <c r="C208" s="3">
        <v>45690.764814814815</v>
      </c>
      <c r="D208" t="s">
        <v>204</v>
      </c>
      <c r="E208" s="4">
        <v>3.0695107042789459E-2</v>
      </c>
      <c r="F208" s="4">
        <v>346195.70695881394</v>
      </c>
      <c r="G208" s="4">
        <v>346195.73765392101</v>
      </c>
      <c r="H208" s="5">
        <f t="shared" si="0"/>
        <v>0</v>
      </c>
      <c r="I208" t="s">
        <v>91</v>
      </c>
      <c r="J208" t="s">
        <v>38</v>
      </c>
      <c r="K208" s="5">
        <f>20 / 86400</f>
        <v>2.3148148148148149E-4</v>
      </c>
      <c r="L208" s="5">
        <f>20 / 86400</f>
        <v>2.3148148148148149E-4</v>
      </c>
    </row>
    <row r="209" spans="1:12" x14ac:dyDescent="0.25">
      <c r="A209" s="3">
        <v>45690.765046296292</v>
      </c>
      <c r="B209" t="s">
        <v>205</v>
      </c>
      <c r="C209" s="3">
        <v>45690.765277777777</v>
      </c>
      <c r="D209" t="s">
        <v>206</v>
      </c>
      <c r="E209" s="4">
        <v>9.7766306400299072E-3</v>
      </c>
      <c r="F209" s="4">
        <v>346195.75893131597</v>
      </c>
      <c r="G209" s="4">
        <v>346195.76870794658</v>
      </c>
      <c r="H209" s="5">
        <f t="shared" si="0"/>
        <v>0</v>
      </c>
      <c r="I209" t="s">
        <v>60</v>
      </c>
      <c r="J209" t="s">
        <v>79</v>
      </c>
      <c r="K209" s="5">
        <f>20 / 86400</f>
        <v>2.3148148148148149E-4</v>
      </c>
      <c r="L209" s="5">
        <f>26 / 86400</f>
        <v>3.0092592592592595E-4</v>
      </c>
    </row>
    <row r="210" spans="1:12" x14ac:dyDescent="0.25">
      <c r="A210" s="3">
        <v>45690.765578703707</v>
      </c>
      <c r="B210" t="s">
        <v>206</v>
      </c>
      <c r="C210" s="3">
        <v>45690.766736111109</v>
      </c>
      <c r="D210" t="s">
        <v>205</v>
      </c>
      <c r="E210" s="4">
        <v>4.9806504607200625E-2</v>
      </c>
      <c r="F210" s="4">
        <v>346195.77486723056</v>
      </c>
      <c r="G210" s="4">
        <v>346195.82467373513</v>
      </c>
      <c r="H210" s="5">
        <f t="shared" si="0"/>
        <v>0</v>
      </c>
      <c r="I210" t="s">
        <v>38</v>
      </c>
      <c r="J210" t="s">
        <v>79</v>
      </c>
      <c r="K210" s="5">
        <f>100 / 86400</f>
        <v>1.1574074074074073E-3</v>
      </c>
      <c r="L210" s="5">
        <f>29 / 86400</f>
        <v>3.3564814814814812E-4</v>
      </c>
    </row>
    <row r="211" spans="1:12" x14ac:dyDescent="0.25">
      <c r="A211" s="3">
        <v>45690.767071759255</v>
      </c>
      <c r="B211" t="s">
        <v>205</v>
      </c>
      <c r="C211" s="3">
        <v>45690.776307870372</v>
      </c>
      <c r="D211" t="s">
        <v>207</v>
      </c>
      <c r="E211" s="4">
        <v>14.399774290502071</v>
      </c>
      <c r="F211" s="4">
        <v>346195.83209591254</v>
      </c>
      <c r="G211" s="4">
        <v>346210.23187020305</v>
      </c>
      <c r="H211" s="5">
        <f t="shared" si="0"/>
        <v>0</v>
      </c>
      <c r="I211" t="s">
        <v>208</v>
      </c>
      <c r="J211" t="s">
        <v>67</v>
      </c>
      <c r="K211" s="5">
        <f>798 / 86400</f>
        <v>9.2361111111111116E-3</v>
      </c>
      <c r="L211" s="5">
        <f>20 / 86400</f>
        <v>2.3148148148148149E-4</v>
      </c>
    </row>
    <row r="212" spans="1:12" x14ac:dyDescent="0.25">
      <c r="A212" s="3">
        <v>45690.776539351849</v>
      </c>
      <c r="B212" t="s">
        <v>209</v>
      </c>
      <c r="C212" s="3">
        <v>45690.793391203704</v>
      </c>
      <c r="D212" t="s">
        <v>117</v>
      </c>
      <c r="E212" s="4">
        <v>13.211241077899933</v>
      </c>
      <c r="F212" s="4">
        <v>346210.24870733765</v>
      </c>
      <c r="G212" s="4">
        <v>346223.45994841558</v>
      </c>
      <c r="H212" s="5">
        <f t="shared" si="0"/>
        <v>0</v>
      </c>
      <c r="I212" t="s">
        <v>116</v>
      </c>
      <c r="J212" t="s">
        <v>149</v>
      </c>
      <c r="K212" s="5">
        <f>1456 / 86400</f>
        <v>1.6851851851851851E-2</v>
      </c>
      <c r="L212" s="5">
        <f>20 / 86400</f>
        <v>2.3148148148148149E-4</v>
      </c>
    </row>
    <row r="213" spans="1:12" x14ac:dyDescent="0.25">
      <c r="A213" s="3">
        <v>45690.793622685189</v>
      </c>
      <c r="B213" t="s">
        <v>117</v>
      </c>
      <c r="C213" s="3">
        <v>45690.79482638889</v>
      </c>
      <c r="D213" t="s">
        <v>37</v>
      </c>
      <c r="E213" s="4">
        <v>1.1311525653004646</v>
      </c>
      <c r="F213" s="4">
        <v>346223.46200445696</v>
      </c>
      <c r="G213" s="4">
        <v>346224.59315702226</v>
      </c>
      <c r="H213" s="5">
        <f t="shared" si="0"/>
        <v>0</v>
      </c>
      <c r="I213" t="s">
        <v>161</v>
      </c>
      <c r="J213" t="s">
        <v>23</v>
      </c>
      <c r="K213" s="5">
        <f>104 / 86400</f>
        <v>1.2037037037037038E-3</v>
      </c>
      <c r="L213" s="5">
        <f>20 / 86400</f>
        <v>2.3148148148148149E-4</v>
      </c>
    </row>
    <row r="214" spans="1:12" x14ac:dyDescent="0.25">
      <c r="A214" s="3">
        <v>45690.795057870375</v>
      </c>
      <c r="B214" t="s">
        <v>37</v>
      </c>
      <c r="C214" s="3">
        <v>45690.797581018516</v>
      </c>
      <c r="D214" t="s">
        <v>210</v>
      </c>
      <c r="E214" s="4">
        <v>1.6044157974720001</v>
      </c>
      <c r="F214" s="4">
        <v>346224.59742870188</v>
      </c>
      <c r="G214" s="4">
        <v>346226.20184449933</v>
      </c>
      <c r="H214" s="5">
        <f t="shared" si="0"/>
        <v>0</v>
      </c>
      <c r="I214" t="s">
        <v>196</v>
      </c>
      <c r="J214" t="s">
        <v>132</v>
      </c>
      <c r="K214" s="5">
        <f>218 / 86400</f>
        <v>2.5231481481481481E-3</v>
      </c>
      <c r="L214" s="5">
        <f>60 / 86400</f>
        <v>6.9444444444444447E-4</v>
      </c>
    </row>
    <row r="215" spans="1:12" x14ac:dyDescent="0.25">
      <c r="A215" s="3">
        <v>45690.798275462963</v>
      </c>
      <c r="B215" t="s">
        <v>210</v>
      </c>
      <c r="C215" s="3">
        <v>45690.798564814817</v>
      </c>
      <c r="D215" t="s">
        <v>211</v>
      </c>
      <c r="E215" s="4">
        <v>2.5197174608707427E-2</v>
      </c>
      <c r="F215" s="4">
        <v>346226.21098749386</v>
      </c>
      <c r="G215" s="4">
        <v>346226.23618466849</v>
      </c>
      <c r="H215" s="5">
        <f t="shared" si="0"/>
        <v>0</v>
      </c>
      <c r="I215" t="s">
        <v>91</v>
      </c>
      <c r="J215" t="s">
        <v>163</v>
      </c>
      <c r="K215" s="5">
        <f>25 / 86400</f>
        <v>2.8935185185185184E-4</v>
      </c>
      <c r="L215" s="5">
        <f>20 / 86400</f>
        <v>2.3148148148148149E-4</v>
      </c>
    </row>
    <row r="216" spans="1:12" x14ac:dyDescent="0.25">
      <c r="A216" s="3">
        <v>45690.798796296294</v>
      </c>
      <c r="B216" t="s">
        <v>212</v>
      </c>
      <c r="C216" s="3">
        <v>45690.800185185188</v>
      </c>
      <c r="D216" t="s">
        <v>213</v>
      </c>
      <c r="E216" s="4">
        <v>0.53608097612857819</v>
      </c>
      <c r="F216" s="4">
        <v>346226.27546288434</v>
      </c>
      <c r="G216" s="4">
        <v>346226.81154386047</v>
      </c>
      <c r="H216" s="5">
        <f t="shared" si="0"/>
        <v>0</v>
      </c>
      <c r="I216" t="s">
        <v>87</v>
      </c>
      <c r="J216" t="s">
        <v>97</v>
      </c>
      <c r="K216" s="5">
        <f>120 / 86400</f>
        <v>1.3888888888888889E-3</v>
      </c>
      <c r="L216" s="5">
        <f>40 / 86400</f>
        <v>4.6296296296296298E-4</v>
      </c>
    </row>
    <row r="217" spans="1:12" x14ac:dyDescent="0.25">
      <c r="A217" s="3">
        <v>45690.80064814815</v>
      </c>
      <c r="B217" t="s">
        <v>213</v>
      </c>
      <c r="C217" s="3">
        <v>45690.800879629634</v>
      </c>
      <c r="D217" t="s">
        <v>213</v>
      </c>
      <c r="E217" s="4">
        <v>3.2648845314979555E-3</v>
      </c>
      <c r="F217" s="4">
        <v>346226.81677568855</v>
      </c>
      <c r="G217" s="4">
        <v>346226.82004057307</v>
      </c>
      <c r="H217" s="5">
        <f t="shared" si="0"/>
        <v>0</v>
      </c>
      <c r="I217" t="s">
        <v>41</v>
      </c>
      <c r="J217" t="s">
        <v>41</v>
      </c>
      <c r="K217" s="5">
        <f>20 / 86400</f>
        <v>2.3148148148148149E-4</v>
      </c>
      <c r="L217" s="5">
        <f>200 / 86400</f>
        <v>2.3148148148148147E-3</v>
      </c>
    </row>
    <row r="218" spans="1:12" x14ac:dyDescent="0.25">
      <c r="A218" s="3">
        <v>45690.803194444445</v>
      </c>
      <c r="B218" t="s">
        <v>213</v>
      </c>
      <c r="C218" s="3">
        <v>45690.803425925929</v>
      </c>
      <c r="D218" t="s">
        <v>213</v>
      </c>
      <c r="E218" s="4">
        <v>3.4576513171195983E-3</v>
      </c>
      <c r="F218" s="4">
        <v>346226.84507276968</v>
      </c>
      <c r="G218" s="4">
        <v>346226.84853042103</v>
      </c>
      <c r="H218" s="5">
        <f t="shared" si="0"/>
        <v>0</v>
      </c>
      <c r="I218" t="s">
        <v>41</v>
      </c>
      <c r="J218" t="s">
        <v>41</v>
      </c>
      <c r="K218" s="5">
        <f>20 / 86400</f>
        <v>2.3148148148148149E-4</v>
      </c>
      <c r="L218" s="5">
        <f>18 / 86400</f>
        <v>2.0833333333333335E-4</v>
      </c>
    </row>
    <row r="219" spans="1:12" x14ac:dyDescent="0.25">
      <c r="A219" s="3">
        <v>45690.80363425926</v>
      </c>
      <c r="B219" t="s">
        <v>213</v>
      </c>
      <c r="C219" s="3">
        <v>45690.804363425923</v>
      </c>
      <c r="D219" t="s">
        <v>34</v>
      </c>
      <c r="E219" s="4">
        <v>0.3059166793823242</v>
      </c>
      <c r="F219" s="4">
        <v>346226.85502974625</v>
      </c>
      <c r="G219" s="4">
        <v>346227.16094642563</v>
      </c>
      <c r="H219" s="5">
        <f t="shared" si="0"/>
        <v>0</v>
      </c>
      <c r="I219" t="s">
        <v>136</v>
      </c>
      <c r="J219" t="s">
        <v>27</v>
      </c>
      <c r="K219" s="5">
        <f>63 / 86400</f>
        <v>7.291666666666667E-4</v>
      </c>
      <c r="L219" s="5">
        <f>254 / 86400</f>
        <v>2.9398148148148148E-3</v>
      </c>
    </row>
    <row r="220" spans="1:12" x14ac:dyDescent="0.25">
      <c r="A220" s="3">
        <v>45690.807303240741</v>
      </c>
      <c r="B220" t="s">
        <v>34</v>
      </c>
      <c r="C220" s="3">
        <v>45690.808703703704</v>
      </c>
      <c r="D220" t="s">
        <v>178</v>
      </c>
      <c r="E220" s="4">
        <v>0.41492332029342649</v>
      </c>
      <c r="F220" s="4">
        <v>346227.1800289352</v>
      </c>
      <c r="G220" s="4">
        <v>346227.59495225549</v>
      </c>
      <c r="H220" s="5">
        <f t="shared" si="0"/>
        <v>0</v>
      </c>
      <c r="I220" t="s">
        <v>84</v>
      </c>
      <c r="J220" t="s">
        <v>125</v>
      </c>
      <c r="K220" s="5">
        <f>121 / 86400</f>
        <v>1.4004629629629629E-3</v>
      </c>
      <c r="L220" s="5">
        <f>118 / 86400</f>
        <v>1.3657407407407407E-3</v>
      </c>
    </row>
    <row r="221" spans="1:12" x14ac:dyDescent="0.25">
      <c r="A221" s="3">
        <v>45690.810069444444</v>
      </c>
      <c r="B221" t="s">
        <v>178</v>
      </c>
      <c r="C221" s="3">
        <v>45690.812210648146</v>
      </c>
      <c r="D221" t="s">
        <v>34</v>
      </c>
      <c r="E221" s="4">
        <v>1.5285980284810066</v>
      </c>
      <c r="F221" s="4">
        <v>346227.60916062008</v>
      </c>
      <c r="G221" s="4">
        <v>346229.13775864855</v>
      </c>
      <c r="H221" s="5">
        <f t="shared" si="0"/>
        <v>0</v>
      </c>
      <c r="I221" t="s">
        <v>214</v>
      </c>
      <c r="J221" t="s">
        <v>126</v>
      </c>
      <c r="K221" s="5">
        <f>185 / 86400</f>
        <v>2.1412037037037038E-3</v>
      </c>
      <c r="L221" s="5">
        <f>16224 / 86400</f>
        <v>0.18777777777777777</v>
      </c>
    </row>
    <row r="222" spans="1:12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1:12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1:12" s="10" customFormat="1" ht="20.100000000000001" customHeight="1" x14ac:dyDescent="0.35">
      <c r="A224" s="15" t="s">
        <v>312</v>
      </c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2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1:12" ht="30" x14ac:dyDescent="0.25">
      <c r="A226" s="2" t="s">
        <v>6</v>
      </c>
      <c r="B226" s="2" t="s">
        <v>7</v>
      </c>
      <c r="C226" s="2" t="s">
        <v>8</v>
      </c>
      <c r="D226" s="2" t="s">
        <v>9</v>
      </c>
      <c r="E226" s="2" t="s">
        <v>10</v>
      </c>
      <c r="F226" s="2" t="s">
        <v>11</v>
      </c>
      <c r="G226" s="2" t="s">
        <v>12</v>
      </c>
      <c r="H226" s="2" t="s">
        <v>13</v>
      </c>
      <c r="I226" s="2" t="s">
        <v>14</v>
      </c>
      <c r="J226" s="2" t="s">
        <v>15</v>
      </c>
      <c r="K226" s="2" t="s">
        <v>16</v>
      </c>
      <c r="L226" s="2" t="s">
        <v>17</v>
      </c>
    </row>
    <row r="227" spans="1:12" x14ac:dyDescent="0.25">
      <c r="A227" s="3">
        <v>45690.4846412037</v>
      </c>
      <c r="B227" t="s">
        <v>37</v>
      </c>
      <c r="C227" s="3">
        <v>45690.484756944439</v>
      </c>
      <c r="D227" t="s">
        <v>37</v>
      </c>
      <c r="E227" s="4">
        <v>0</v>
      </c>
      <c r="F227" s="4">
        <v>482796.36200000002</v>
      </c>
      <c r="G227" s="4">
        <v>482796.36200000002</v>
      </c>
      <c r="H227" s="5">
        <f>0 / 86400</f>
        <v>0</v>
      </c>
      <c r="I227" t="s">
        <v>39</v>
      </c>
      <c r="J227" t="s">
        <v>39</v>
      </c>
      <c r="K227" s="5">
        <f>9 / 86400</f>
        <v>1.0416666666666667E-4</v>
      </c>
      <c r="L227" s="5">
        <f>41876 / 86400</f>
        <v>0.4846759259259259</v>
      </c>
    </row>
    <row r="228" spans="1:12" x14ac:dyDescent="0.25">
      <c r="A228" s="3">
        <v>45690.484791666662</v>
      </c>
      <c r="B228" t="s">
        <v>37</v>
      </c>
      <c r="C228" s="3">
        <v>45690.484907407408</v>
      </c>
      <c r="D228" t="s">
        <v>37</v>
      </c>
      <c r="E228" s="4">
        <v>0</v>
      </c>
      <c r="F228" s="4">
        <v>482796.36200000002</v>
      </c>
      <c r="G228" s="4">
        <v>482796.36200000002</v>
      </c>
      <c r="H228" s="5">
        <f>7 / 86400</f>
        <v>8.1018518518518516E-5</v>
      </c>
      <c r="I228" t="s">
        <v>39</v>
      </c>
      <c r="J228" t="s">
        <v>39</v>
      </c>
      <c r="K228" s="5">
        <f>10 / 86400</f>
        <v>1.1574074074074075E-4</v>
      </c>
      <c r="L228" s="5">
        <f>17612 / 86400</f>
        <v>0.2038425925925926</v>
      </c>
    </row>
    <row r="229" spans="1:12" x14ac:dyDescent="0.25">
      <c r="A229" s="3">
        <v>45690.688750000001</v>
      </c>
      <c r="B229" t="s">
        <v>37</v>
      </c>
      <c r="C229" s="3">
        <v>45690.688912037032</v>
      </c>
      <c r="D229" t="s">
        <v>37</v>
      </c>
      <c r="E229" s="4">
        <v>0</v>
      </c>
      <c r="F229" s="4">
        <v>482796.36200000002</v>
      </c>
      <c r="G229" s="4">
        <v>482796.36200000002</v>
      </c>
      <c r="H229" s="5">
        <f>0 / 86400</f>
        <v>0</v>
      </c>
      <c r="I229" t="s">
        <v>39</v>
      </c>
      <c r="J229" t="s">
        <v>39</v>
      </c>
      <c r="K229" s="5">
        <f>13 / 86400</f>
        <v>1.5046296296296297E-4</v>
      </c>
      <c r="L229" s="5">
        <f>3720 / 86400</f>
        <v>4.3055555555555555E-2</v>
      </c>
    </row>
    <row r="230" spans="1:12" x14ac:dyDescent="0.25">
      <c r="A230" s="3">
        <v>45690.731967592597</v>
      </c>
      <c r="B230" t="s">
        <v>37</v>
      </c>
      <c r="C230" s="3">
        <v>45690.732094907406</v>
      </c>
      <c r="D230" t="s">
        <v>37</v>
      </c>
      <c r="E230" s="4">
        <v>0</v>
      </c>
      <c r="F230" s="4">
        <v>482796.36200000002</v>
      </c>
      <c r="G230" s="4">
        <v>482796.36200000002</v>
      </c>
      <c r="H230" s="5">
        <f>0 / 86400</f>
        <v>0</v>
      </c>
      <c r="I230" t="s">
        <v>39</v>
      </c>
      <c r="J230" t="s">
        <v>39</v>
      </c>
      <c r="K230" s="5">
        <f>11 / 86400</f>
        <v>1.273148148148148E-4</v>
      </c>
      <c r="L230" s="5">
        <f>2378 / 86400</f>
        <v>2.7523148148148147E-2</v>
      </c>
    </row>
    <row r="231" spans="1:12" x14ac:dyDescent="0.25">
      <c r="A231" s="3">
        <v>45690.759618055556</v>
      </c>
      <c r="B231" t="s">
        <v>37</v>
      </c>
      <c r="C231" s="3">
        <v>45690.799930555557</v>
      </c>
      <c r="D231" t="s">
        <v>37</v>
      </c>
      <c r="E231" s="4">
        <v>7.4999999999999997E-2</v>
      </c>
      <c r="F231" s="4">
        <v>482796.36200000002</v>
      </c>
      <c r="G231" s="4">
        <v>482796.43699999998</v>
      </c>
      <c r="H231" s="5">
        <f>3419 / 86400</f>
        <v>3.9571759259259258E-2</v>
      </c>
      <c r="I231" t="s">
        <v>38</v>
      </c>
      <c r="J231" t="s">
        <v>39</v>
      </c>
      <c r="K231" s="5">
        <f>3482 / 86400</f>
        <v>4.0300925925925928E-2</v>
      </c>
      <c r="L231" s="5">
        <f>22 / 86400</f>
        <v>2.5462962962962961E-4</v>
      </c>
    </row>
    <row r="232" spans="1:12" x14ac:dyDescent="0.25">
      <c r="A232" s="3">
        <v>45690.800185185188</v>
      </c>
      <c r="B232" t="s">
        <v>37</v>
      </c>
      <c r="C232" s="3">
        <v>45690.800497685181</v>
      </c>
      <c r="D232" t="s">
        <v>37</v>
      </c>
      <c r="E232" s="4">
        <v>0</v>
      </c>
      <c r="F232" s="4">
        <v>482796.43699999998</v>
      </c>
      <c r="G232" s="4">
        <v>482796.43699999998</v>
      </c>
      <c r="H232" s="5">
        <f>19 / 86400</f>
        <v>2.199074074074074E-4</v>
      </c>
      <c r="I232" t="s">
        <v>39</v>
      </c>
      <c r="J232" t="s">
        <v>39</v>
      </c>
      <c r="K232" s="5">
        <f>27 / 86400</f>
        <v>3.1250000000000001E-4</v>
      </c>
      <c r="L232" s="5">
        <f>17236 / 86400</f>
        <v>0.19949074074074075</v>
      </c>
    </row>
    <row r="233" spans="1:12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1:12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1:12" s="10" customFormat="1" ht="20.100000000000001" customHeight="1" x14ac:dyDescent="0.35">
      <c r="A235" s="15" t="s">
        <v>313</v>
      </c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2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1:12" ht="30" x14ac:dyDescent="0.25">
      <c r="A237" s="2" t="s">
        <v>6</v>
      </c>
      <c r="B237" s="2" t="s">
        <v>7</v>
      </c>
      <c r="C237" s="2" t="s">
        <v>8</v>
      </c>
      <c r="D237" s="2" t="s">
        <v>9</v>
      </c>
      <c r="E237" s="2" t="s">
        <v>10</v>
      </c>
      <c r="F237" s="2" t="s">
        <v>11</v>
      </c>
      <c r="G237" s="2" t="s">
        <v>12</v>
      </c>
      <c r="H237" s="2" t="s">
        <v>13</v>
      </c>
      <c r="I237" s="2" t="s">
        <v>14</v>
      </c>
      <c r="J237" s="2" t="s">
        <v>15</v>
      </c>
      <c r="K237" s="2" t="s">
        <v>16</v>
      </c>
      <c r="L237" s="2" t="s">
        <v>17</v>
      </c>
    </row>
    <row r="238" spans="1:12" x14ac:dyDescent="0.25">
      <c r="A238" s="3">
        <v>45690.828715277778</v>
      </c>
      <c r="B238" t="s">
        <v>40</v>
      </c>
      <c r="C238" s="3">
        <v>45690.829733796301</v>
      </c>
      <c r="D238" t="s">
        <v>40</v>
      </c>
      <c r="E238" s="4">
        <v>0</v>
      </c>
      <c r="F238" s="4">
        <v>506008.54499999998</v>
      </c>
      <c r="G238" s="4">
        <v>506008.54499999998</v>
      </c>
      <c r="H238" s="5">
        <f>79 / 86400</f>
        <v>9.1435185185185185E-4</v>
      </c>
      <c r="I238" t="s">
        <v>39</v>
      </c>
      <c r="J238" t="s">
        <v>39</v>
      </c>
      <c r="K238" s="5">
        <f>88 / 86400</f>
        <v>1.0185185185185184E-3</v>
      </c>
      <c r="L238" s="5">
        <f>71769 / 86400</f>
        <v>0.83065972222222217</v>
      </c>
    </row>
    <row r="239" spans="1:12" x14ac:dyDescent="0.25">
      <c r="A239" s="3">
        <v>45690.831678240742</v>
      </c>
      <c r="B239" t="s">
        <v>40</v>
      </c>
      <c r="C239" s="3">
        <v>45690.831712962958</v>
      </c>
      <c r="D239" t="s">
        <v>40</v>
      </c>
      <c r="E239" s="4">
        <v>0</v>
      </c>
      <c r="F239" s="4">
        <v>506008.54499999998</v>
      </c>
      <c r="G239" s="4">
        <v>506008.54499999998</v>
      </c>
      <c r="H239" s="5">
        <f t="shared" ref="H239:H244" si="2">0 / 86400</f>
        <v>0</v>
      </c>
      <c r="I239" t="s">
        <v>39</v>
      </c>
      <c r="J239" t="s">
        <v>39</v>
      </c>
      <c r="K239" s="5">
        <f>2 / 86400</f>
        <v>2.3148148148148147E-5</v>
      </c>
      <c r="L239" s="5">
        <f>1 / 86400</f>
        <v>1.1574074074074073E-5</v>
      </c>
    </row>
    <row r="240" spans="1:12" x14ac:dyDescent="0.25">
      <c r="A240" s="3">
        <v>45690.831724537042</v>
      </c>
      <c r="B240" t="s">
        <v>40</v>
      </c>
      <c r="C240" s="3">
        <v>45690.831747685181</v>
      </c>
      <c r="D240" t="s">
        <v>40</v>
      </c>
      <c r="E240" s="4">
        <v>0</v>
      </c>
      <c r="F240" s="4">
        <v>506008.54499999998</v>
      </c>
      <c r="G240" s="4">
        <v>506008.54499999998</v>
      </c>
      <c r="H240" s="5">
        <f t="shared" si="2"/>
        <v>0</v>
      </c>
      <c r="I240" t="s">
        <v>39</v>
      </c>
      <c r="J240" t="s">
        <v>39</v>
      </c>
      <c r="K240" s="5">
        <f>2 / 86400</f>
        <v>2.3148148148148147E-5</v>
      </c>
      <c r="L240" s="5">
        <f>2 / 86400</f>
        <v>2.3148148148148147E-5</v>
      </c>
    </row>
    <row r="241" spans="1:12" x14ac:dyDescent="0.25">
      <c r="A241" s="3">
        <v>45690.831770833334</v>
      </c>
      <c r="B241" t="s">
        <v>40</v>
      </c>
      <c r="C241" s="3">
        <v>45690.831793981481</v>
      </c>
      <c r="D241" t="s">
        <v>40</v>
      </c>
      <c r="E241" s="4">
        <v>0</v>
      </c>
      <c r="F241" s="4">
        <v>506008.54499999998</v>
      </c>
      <c r="G241" s="4">
        <v>506008.54499999998</v>
      </c>
      <c r="H241" s="5">
        <f t="shared" si="2"/>
        <v>0</v>
      </c>
      <c r="I241" t="s">
        <v>39</v>
      </c>
      <c r="J241" t="s">
        <v>39</v>
      </c>
      <c r="K241" s="5">
        <f>2 / 86400</f>
        <v>2.3148148148148147E-5</v>
      </c>
      <c r="L241" s="5">
        <f>6 / 86400</f>
        <v>6.9444444444444444E-5</v>
      </c>
    </row>
    <row r="242" spans="1:12" x14ac:dyDescent="0.25">
      <c r="A242" s="3">
        <v>45690.831863425927</v>
      </c>
      <c r="B242" t="s">
        <v>40</v>
      </c>
      <c r="C242" s="3">
        <v>45690.831921296296</v>
      </c>
      <c r="D242" t="s">
        <v>40</v>
      </c>
      <c r="E242" s="4">
        <v>0</v>
      </c>
      <c r="F242" s="4">
        <v>506008.54499999998</v>
      </c>
      <c r="G242" s="4">
        <v>506008.54499999998</v>
      </c>
      <c r="H242" s="5">
        <f t="shared" si="2"/>
        <v>0</v>
      </c>
      <c r="I242" t="s">
        <v>39</v>
      </c>
      <c r="J242" t="s">
        <v>39</v>
      </c>
      <c r="K242" s="5">
        <f>5 / 86400</f>
        <v>5.7870370370370373E-5</v>
      </c>
      <c r="L242" s="5">
        <f>2 / 86400</f>
        <v>2.3148148148148147E-5</v>
      </c>
    </row>
    <row r="243" spans="1:12" x14ac:dyDescent="0.25">
      <c r="A243" s="3">
        <v>45690.83194444445</v>
      </c>
      <c r="B243" t="s">
        <v>40</v>
      </c>
      <c r="C243" s="3">
        <v>45690.831967592589</v>
      </c>
      <c r="D243" t="s">
        <v>40</v>
      </c>
      <c r="E243" s="4">
        <v>0</v>
      </c>
      <c r="F243" s="4">
        <v>506008.54499999998</v>
      </c>
      <c r="G243" s="4">
        <v>506008.54499999998</v>
      </c>
      <c r="H243" s="5">
        <f t="shared" si="2"/>
        <v>0</v>
      </c>
      <c r="I243" t="s">
        <v>39</v>
      </c>
      <c r="J243" t="s">
        <v>39</v>
      </c>
      <c r="K243" s="5">
        <f>2 / 86400</f>
        <v>2.3148148148148147E-5</v>
      </c>
      <c r="L243" s="5">
        <f>2 / 86400</f>
        <v>2.3148148148148147E-5</v>
      </c>
    </row>
    <row r="244" spans="1:12" x14ac:dyDescent="0.25">
      <c r="A244" s="3">
        <v>45690.831990740742</v>
      </c>
      <c r="B244" t="s">
        <v>40</v>
      </c>
      <c r="C244" s="3">
        <v>45690.832881944443</v>
      </c>
      <c r="D244" t="s">
        <v>40</v>
      </c>
      <c r="E244" s="4">
        <v>4.1000000000000002E-2</v>
      </c>
      <c r="F244" s="4">
        <v>506008.54499999998</v>
      </c>
      <c r="G244" s="4">
        <v>506008.58600000001</v>
      </c>
      <c r="H244" s="5">
        <f t="shared" si="2"/>
        <v>0</v>
      </c>
      <c r="I244" t="s">
        <v>24</v>
      </c>
      <c r="J244" t="s">
        <v>79</v>
      </c>
      <c r="K244" s="5">
        <f>77 / 86400</f>
        <v>8.9120370370370373E-4</v>
      </c>
      <c r="L244" s="5">
        <f>14438 / 86400</f>
        <v>0.16710648148148149</v>
      </c>
    </row>
    <row r="245" spans="1:12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1:12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1:12" s="10" customFormat="1" ht="20.100000000000001" customHeight="1" x14ac:dyDescent="0.35">
      <c r="A247" s="15" t="s">
        <v>314</v>
      </c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2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1:12" ht="30" x14ac:dyDescent="0.25">
      <c r="A249" s="2" t="s">
        <v>6</v>
      </c>
      <c r="B249" s="2" t="s">
        <v>7</v>
      </c>
      <c r="C249" s="2" t="s">
        <v>8</v>
      </c>
      <c r="D249" s="2" t="s">
        <v>9</v>
      </c>
      <c r="E249" s="2" t="s">
        <v>10</v>
      </c>
      <c r="F249" s="2" t="s">
        <v>11</v>
      </c>
      <c r="G249" s="2" t="s">
        <v>12</v>
      </c>
      <c r="H249" s="2" t="s">
        <v>13</v>
      </c>
      <c r="I249" s="2" t="s">
        <v>14</v>
      </c>
      <c r="J249" s="2" t="s">
        <v>15</v>
      </c>
      <c r="K249" s="2" t="s">
        <v>16</v>
      </c>
      <c r="L249" s="2" t="s">
        <v>17</v>
      </c>
    </row>
    <row r="250" spans="1:12" x14ac:dyDescent="0.25">
      <c r="A250" s="3">
        <v>45690.330949074079</v>
      </c>
      <c r="B250" t="s">
        <v>42</v>
      </c>
      <c r="C250" s="3">
        <v>45690.332372685181</v>
      </c>
      <c r="D250" t="s">
        <v>42</v>
      </c>
      <c r="E250" s="4">
        <v>0</v>
      </c>
      <c r="F250" s="4">
        <v>406255.07299999997</v>
      </c>
      <c r="G250" s="4">
        <v>406255.07299999997</v>
      </c>
      <c r="H250" s="5">
        <f>119 / 86400</f>
        <v>1.3773148148148147E-3</v>
      </c>
      <c r="I250" t="s">
        <v>39</v>
      </c>
      <c r="J250" t="s">
        <v>39</v>
      </c>
      <c r="K250" s="5">
        <f>122 / 86400</f>
        <v>1.4120370370370369E-3</v>
      </c>
      <c r="L250" s="5">
        <f>30757 / 86400</f>
        <v>0.35598379629629628</v>
      </c>
    </row>
    <row r="251" spans="1:12" x14ac:dyDescent="0.25">
      <c r="A251" s="3">
        <v>45690.357407407406</v>
      </c>
      <c r="B251" t="s">
        <v>42</v>
      </c>
      <c r="C251" s="3">
        <v>45690.364687499998</v>
      </c>
      <c r="D251" t="s">
        <v>215</v>
      </c>
      <c r="E251" s="4">
        <v>1.62</v>
      </c>
      <c r="F251" s="4">
        <v>406255.07299999997</v>
      </c>
      <c r="G251" s="4">
        <v>406256.69300000003</v>
      </c>
      <c r="H251" s="5">
        <f>119 / 86400</f>
        <v>1.3773148148148147E-3</v>
      </c>
      <c r="I251" t="s">
        <v>126</v>
      </c>
      <c r="J251" t="s">
        <v>88</v>
      </c>
      <c r="K251" s="5">
        <f>629 / 86400</f>
        <v>7.2800925925925923E-3</v>
      </c>
      <c r="L251" s="5">
        <f>473 / 86400</f>
        <v>5.4745370370370373E-3</v>
      </c>
    </row>
    <row r="252" spans="1:12" x14ac:dyDescent="0.25">
      <c r="A252" s="3">
        <v>45690.370162037041</v>
      </c>
      <c r="B252" t="s">
        <v>215</v>
      </c>
      <c r="C252" s="3">
        <v>45690.37709490741</v>
      </c>
      <c r="D252" t="s">
        <v>216</v>
      </c>
      <c r="E252" s="4">
        <v>1.615</v>
      </c>
      <c r="F252" s="4">
        <v>406256.69300000003</v>
      </c>
      <c r="G252" s="4">
        <v>406258.30800000002</v>
      </c>
      <c r="H252" s="5">
        <f>180 / 86400</f>
        <v>2.0833333333333333E-3</v>
      </c>
      <c r="I252" t="s">
        <v>156</v>
      </c>
      <c r="J252" t="s">
        <v>24</v>
      </c>
      <c r="K252" s="5">
        <f>599 / 86400</f>
        <v>6.9328703703703705E-3</v>
      </c>
      <c r="L252" s="5">
        <f>848 / 86400</f>
        <v>9.8148148148148144E-3</v>
      </c>
    </row>
    <row r="253" spans="1:12" x14ac:dyDescent="0.25">
      <c r="A253" s="3">
        <v>45690.38690972222</v>
      </c>
      <c r="B253" t="s">
        <v>216</v>
      </c>
      <c r="C253" s="3">
        <v>45690.506851851853</v>
      </c>
      <c r="D253" t="s">
        <v>217</v>
      </c>
      <c r="E253" s="4">
        <v>49.843000000000004</v>
      </c>
      <c r="F253" s="4">
        <v>406258.30800000002</v>
      </c>
      <c r="G253" s="4">
        <v>406308.15100000001</v>
      </c>
      <c r="H253" s="5">
        <f>3519 / 86400</f>
        <v>4.0729166666666664E-2</v>
      </c>
      <c r="I253" t="s">
        <v>43</v>
      </c>
      <c r="J253" t="s">
        <v>27</v>
      </c>
      <c r="K253" s="5">
        <f>10363 / 86400</f>
        <v>0.11994212962962963</v>
      </c>
      <c r="L253" s="5">
        <f>4218 / 86400</f>
        <v>4.8819444444444443E-2</v>
      </c>
    </row>
    <row r="254" spans="1:12" x14ac:dyDescent="0.25">
      <c r="A254" s="3">
        <v>45690.555671296301</v>
      </c>
      <c r="B254" t="s">
        <v>217</v>
      </c>
      <c r="C254" s="3">
        <v>45690.684166666666</v>
      </c>
      <c r="D254" t="s">
        <v>140</v>
      </c>
      <c r="E254" s="4">
        <v>50.115000000000002</v>
      </c>
      <c r="F254" s="4">
        <v>406308.15100000001</v>
      </c>
      <c r="G254" s="4">
        <v>406358.266</v>
      </c>
      <c r="H254" s="5">
        <f>3478 / 86400</f>
        <v>4.0254629629629626E-2</v>
      </c>
      <c r="I254" t="s">
        <v>184</v>
      </c>
      <c r="J254" t="s">
        <v>97</v>
      </c>
      <c r="K254" s="5">
        <f>11101 / 86400</f>
        <v>0.1284837962962963</v>
      </c>
      <c r="L254" s="5">
        <f>396 / 86400</f>
        <v>4.5833333333333334E-3</v>
      </c>
    </row>
    <row r="255" spans="1:12" x14ac:dyDescent="0.25">
      <c r="A255" s="3">
        <v>45690.688750000001</v>
      </c>
      <c r="B255" t="s">
        <v>140</v>
      </c>
      <c r="C255" s="3">
        <v>45690.690162037034</v>
      </c>
      <c r="D255" t="s">
        <v>216</v>
      </c>
      <c r="E255" s="4">
        <v>0.19</v>
      </c>
      <c r="F255" s="4">
        <v>406358.266</v>
      </c>
      <c r="G255" s="4">
        <v>406358.45600000001</v>
      </c>
      <c r="H255" s="5">
        <f>60 / 86400</f>
        <v>6.9444444444444447E-4</v>
      </c>
      <c r="I255" t="s">
        <v>84</v>
      </c>
      <c r="J255" t="s">
        <v>38</v>
      </c>
      <c r="K255" s="5">
        <f>121 / 86400</f>
        <v>1.4004629629629629E-3</v>
      </c>
      <c r="L255" s="5">
        <f>1087 / 86400</f>
        <v>1.2581018518518519E-2</v>
      </c>
    </row>
    <row r="256" spans="1:12" x14ac:dyDescent="0.25">
      <c r="A256" s="3">
        <v>45690.702743055561</v>
      </c>
      <c r="B256" t="s">
        <v>216</v>
      </c>
      <c r="C256" s="3">
        <v>45690.70684027778</v>
      </c>
      <c r="D256" t="s">
        <v>218</v>
      </c>
      <c r="E256" s="4">
        <v>1.6659999999999999</v>
      </c>
      <c r="F256" s="4">
        <v>406358.45600000001</v>
      </c>
      <c r="G256" s="4">
        <v>406360.12199999997</v>
      </c>
      <c r="H256" s="5">
        <f>19 / 86400</f>
        <v>2.199074074074074E-4</v>
      </c>
      <c r="I256" t="s">
        <v>23</v>
      </c>
      <c r="J256" t="s">
        <v>27</v>
      </c>
      <c r="K256" s="5">
        <f>353 / 86400</f>
        <v>4.0856481481481481E-3</v>
      </c>
      <c r="L256" s="5">
        <f>67 / 86400</f>
        <v>7.7546296296296293E-4</v>
      </c>
    </row>
    <row r="257" spans="1:12" x14ac:dyDescent="0.25">
      <c r="A257" s="3">
        <v>45690.707615740743</v>
      </c>
      <c r="B257" t="s">
        <v>218</v>
      </c>
      <c r="C257" s="3">
        <v>45690.845960648148</v>
      </c>
      <c r="D257" t="s">
        <v>172</v>
      </c>
      <c r="E257" s="4">
        <v>55.051000000000002</v>
      </c>
      <c r="F257" s="4">
        <v>406360.12199999997</v>
      </c>
      <c r="G257" s="4">
        <v>406415.17300000001</v>
      </c>
      <c r="H257" s="5">
        <f>3910 / 86400</f>
        <v>4.5254629629629631E-2</v>
      </c>
      <c r="I257" t="s">
        <v>176</v>
      </c>
      <c r="J257" t="s">
        <v>27</v>
      </c>
      <c r="K257" s="5">
        <f>11952 / 86400</f>
        <v>0.13833333333333334</v>
      </c>
      <c r="L257" s="5">
        <f>99 / 86400</f>
        <v>1.1458333333333333E-3</v>
      </c>
    </row>
    <row r="258" spans="1:12" x14ac:dyDescent="0.25">
      <c r="A258" s="3">
        <v>45690.84710648148</v>
      </c>
      <c r="B258" t="s">
        <v>172</v>
      </c>
      <c r="C258" s="3">
        <v>45690.961747685185</v>
      </c>
      <c r="D258" t="s">
        <v>216</v>
      </c>
      <c r="E258" s="4">
        <v>51.322000000000003</v>
      </c>
      <c r="F258" s="4">
        <v>406415.17300000001</v>
      </c>
      <c r="G258" s="4">
        <v>406466.495</v>
      </c>
      <c r="H258" s="5">
        <f>2760 / 86400</f>
        <v>3.1944444444444442E-2</v>
      </c>
      <c r="I258" t="s">
        <v>214</v>
      </c>
      <c r="J258" t="s">
        <v>20</v>
      </c>
      <c r="K258" s="5">
        <f>9904 / 86400</f>
        <v>0.11462962962962962</v>
      </c>
      <c r="L258" s="5">
        <f>463 / 86400</f>
        <v>5.3587962962962964E-3</v>
      </c>
    </row>
    <row r="259" spans="1:12" x14ac:dyDescent="0.25">
      <c r="A259" s="3">
        <v>45690.967106481483</v>
      </c>
      <c r="B259" t="s">
        <v>216</v>
      </c>
      <c r="C259" s="3">
        <v>45690.967337962968</v>
      </c>
      <c r="D259" t="s">
        <v>216</v>
      </c>
      <c r="E259" s="4">
        <v>1.7000000000000001E-2</v>
      </c>
      <c r="F259" s="4">
        <v>406466.495</v>
      </c>
      <c r="G259" s="4">
        <v>406466.51199999999</v>
      </c>
      <c r="H259" s="5">
        <f>0 / 86400</f>
        <v>0</v>
      </c>
      <c r="I259" t="s">
        <v>173</v>
      </c>
      <c r="J259" t="s">
        <v>75</v>
      </c>
      <c r="K259" s="5">
        <f>20 / 86400</f>
        <v>2.3148148148148149E-4</v>
      </c>
      <c r="L259" s="5">
        <f>448 / 86400</f>
        <v>5.185185185185185E-3</v>
      </c>
    </row>
    <row r="260" spans="1:12" x14ac:dyDescent="0.25">
      <c r="A260" s="3">
        <v>45690.97252314815</v>
      </c>
      <c r="B260" t="s">
        <v>216</v>
      </c>
      <c r="C260" s="3">
        <v>45690.9762037037</v>
      </c>
      <c r="D260" t="s">
        <v>219</v>
      </c>
      <c r="E260" s="4">
        <v>0.63800000000000001</v>
      </c>
      <c r="F260" s="4">
        <v>406466.51199999999</v>
      </c>
      <c r="G260" s="4">
        <v>406467.15</v>
      </c>
      <c r="H260" s="5">
        <f>159 / 86400</f>
        <v>1.8402777777777777E-3</v>
      </c>
      <c r="I260" t="s">
        <v>69</v>
      </c>
      <c r="J260" t="s">
        <v>91</v>
      </c>
      <c r="K260" s="5">
        <f>318 / 86400</f>
        <v>3.6805555555555554E-3</v>
      </c>
      <c r="L260" s="5">
        <f>276 / 86400</f>
        <v>3.1944444444444446E-3</v>
      </c>
    </row>
    <row r="261" spans="1:12" x14ac:dyDescent="0.25">
      <c r="A261" s="3">
        <v>45690.979398148149</v>
      </c>
      <c r="B261" t="s">
        <v>219</v>
      </c>
      <c r="C261" s="3">
        <v>45690.982581018514</v>
      </c>
      <c r="D261" t="s">
        <v>42</v>
      </c>
      <c r="E261" s="4">
        <v>0.60499999999999998</v>
      </c>
      <c r="F261" s="4">
        <v>406467.15</v>
      </c>
      <c r="G261" s="4">
        <v>406467.755</v>
      </c>
      <c r="H261" s="5">
        <f>60 / 86400</f>
        <v>6.9444444444444447E-4</v>
      </c>
      <c r="I261" t="s">
        <v>33</v>
      </c>
      <c r="J261" t="s">
        <v>173</v>
      </c>
      <c r="K261" s="5">
        <f>274 / 86400</f>
        <v>3.1712962962962962E-3</v>
      </c>
      <c r="L261" s="5">
        <f>1504 / 86400</f>
        <v>1.7407407407407406E-2</v>
      </c>
    </row>
    <row r="262" spans="1:12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1:12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1:12" s="10" customFormat="1" ht="20.100000000000001" customHeight="1" x14ac:dyDescent="0.35">
      <c r="A264" s="15" t="s">
        <v>315</v>
      </c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2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1:12" ht="30" x14ac:dyDescent="0.25">
      <c r="A266" s="2" t="s">
        <v>6</v>
      </c>
      <c r="B266" s="2" t="s">
        <v>7</v>
      </c>
      <c r="C266" s="2" t="s">
        <v>8</v>
      </c>
      <c r="D266" s="2" t="s">
        <v>9</v>
      </c>
      <c r="E266" s="2" t="s">
        <v>10</v>
      </c>
      <c r="F266" s="2" t="s">
        <v>11</v>
      </c>
      <c r="G266" s="2" t="s">
        <v>12</v>
      </c>
      <c r="H266" s="2" t="s">
        <v>13</v>
      </c>
      <c r="I266" s="2" t="s">
        <v>14</v>
      </c>
      <c r="J266" s="2" t="s">
        <v>15</v>
      </c>
      <c r="K266" s="2" t="s">
        <v>16</v>
      </c>
      <c r="L266" s="2" t="s">
        <v>17</v>
      </c>
    </row>
    <row r="267" spans="1:12" x14ac:dyDescent="0.25">
      <c r="A267" s="3">
        <v>45690.267025462963</v>
      </c>
      <c r="B267" t="s">
        <v>44</v>
      </c>
      <c r="C267" s="3">
        <v>45690.506840277776</v>
      </c>
      <c r="D267" t="s">
        <v>142</v>
      </c>
      <c r="E267" s="4">
        <v>103.376</v>
      </c>
      <c r="F267" s="4">
        <v>435998.90600000002</v>
      </c>
      <c r="G267" s="4">
        <v>436102.28200000001</v>
      </c>
      <c r="H267" s="5">
        <f>6780 / 86400</f>
        <v>7.8472222222222221E-2</v>
      </c>
      <c r="I267" t="s">
        <v>45</v>
      </c>
      <c r="J267" t="s">
        <v>33</v>
      </c>
      <c r="K267" s="5">
        <f>20719 / 86400</f>
        <v>0.23980324074074075</v>
      </c>
      <c r="L267" s="5">
        <f>25316 / 86400</f>
        <v>0.29300925925925925</v>
      </c>
    </row>
    <row r="268" spans="1:12" x14ac:dyDescent="0.25">
      <c r="A268" s="3">
        <v>45690.532824074078</v>
      </c>
      <c r="B268" t="s">
        <v>142</v>
      </c>
      <c r="C268" s="3">
        <v>45690.722199074073</v>
      </c>
      <c r="D268" t="s">
        <v>140</v>
      </c>
      <c r="E268" s="4">
        <v>92.563999999999993</v>
      </c>
      <c r="F268" s="4">
        <v>436102.28200000001</v>
      </c>
      <c r="G268" s="4">
        <v>436194.84600000002</v>
      </c>
      <c r="H268" s="5">
        <f>4578 / 86400</f>
        <v>5.2986111111111109E-2</v>
      </c>
      <c r="I268" t="s">
        <v>116</v>
      </c>
      <c r="J268" t="s">
        <v>58</v>
      </c>
      <c r="K268" s="5">
        <f>16362 / 86400</f>
        <v>0.18937499999999999</v>
      </c>
      <c r="L268" s="5">
        <f>626 / 86400</f>
        <v>7.2453703703703708E-3</v>
      </c>
    </row>
    <row r="269" spans="1:12" x14ac:dyDescent="0.25">
      <c r="A269" s="3">
        <v>45690.729444444441</v>
      </c>
      <c r="B269" t="s">
        <v>140</v>
      </c>
      <c r="C269" s="3">
        <v>45690.73332175926</v>
      </c>
      <c r="D269" t="s">
        <v>44</v>
      </c>
      <c r="E269" s="4">
        <v>0.98099999999999998</v>
      </c>
      <c r="F269" s="4">
        <v>436194.84600000002</v>
      </c>
      <c r="G269" s="4">
        <v>436195.82699999999</v>
      </c>
      <c r="H269" s="5">
        <f>120 / 86400</f>
        <v>1.3888888888888889E-3</v>
      </c>
      <c r="I269" t="s">
        <v>69</v>
      </c>
      <c r="J269" t="s">
        <v>144</v>
      </c>
      <c r="K269" s="5">
        <f>335 / 86400</f>
        <v>3.8773148148148148E-3</v>
      </c>
      <c r="L269" s="5">
        <f>23040 / 86400</f>
        <v>0.26666666666666666</v>
      </c>
    </row>
    <row r="270" spans="1:12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1:12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1:12" s="10" customFormat="1" ht="20.100000000000001" customHeight="1" x14ac:dyDescent="0.35">
      <c r="A272" s="15" t="s">
        <v>316</v>
      </c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2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1:12" ht="30" x14ac:dyDescent="0.25">
      <c r="A274" s="2" t="s">
        <v>6</v>
      </c>
      <c r="B274" s="2" t="s">
        <v>7</v>
      </c>
      <c r="C274" s="2" t="s">
        <v>8</v>
      </c>
      <c r="D274" s="2" t="s">
        <v>9</v>
      </c>
      <c r="E274" s="2" t="s">
        <v>10</v>
      </c>
      <c r="F274" s="2" t="s">
        <v>11</v>
      </c>
      <c r="G274" s="2" t="s">
        <v>12</v>
      </c>
      <c r="H274" s="2" t="s">
        <v>13</v>
      </c>
      <c r="I274" s="2" t="s">
        <v>14</v>
      </c>
      <c r="J274" s="2" t="s">
        <v>15</v>
      </c>
      <c r="K274" s="2" t="s">
        <v>16</v>
      </c>
      <c r="L274" s="2" t="s">
        <v>17</v>
      </c>
    </row>
    <row r="275" spans="1:12" x14ac:dyDescent="0.25">
      <c r="A275" s="3">
        <v>45690.302777777775</v>
      </c>
      <c r="B275" t="s">
        <v>46</v>
      </c>
      <c r="C275" s="3">
        <v>45690.302800925929</v>
      </c>
      <c r="D275" t="s">
        <v>46</v>
      </c>
      <c r="E275" s="4">
        <v>0</v>
      </c>
      <c r="F275" s="4">
        <v>51784.631999999998</v>
      </c>
      <c r="G275" s="4">
        <v>51784.631999999998</v>
      </c>
      <c r="H275" s="5">
        <f>0 / 86400</f>
        <v>0</v>
      </c>
      <c r="I275" t="s">
        <v>39</v>
      </c>
      <c r="J275" t="s">
        <v>39</v>
      </c>
      <c r="K275" s="5">
        <f>1 / 86400</f>
        <v>1.1574074074074073E-5</v>
      </c>
      <c r="L275" s="5">
        <f>26888 / 86400</f>
        <v>0.3112037037037037</v>
      </c>
    </row>
    <row r="276" spans="1:12" x14ac:dyDescent="0.25">
      <c r="A276" s="3">
        <v>45690.311226851853</v>
      </c>
      <c r="B276" t="s">
        <v>46</v>
      </c>
      <c r="C276" s="3">
        <v>45690.323182870372</v>
      </c>
      <c r="D276" t="s">
        <v>128</v>
      </c>
      <c r="E276" s="4">
        <v>3.8130000000000002</v>
      </c>
      <c r="F276" s="4">
        <v>51784.631999999998</v>
      </c>
      <c r="G276" s="4">
        <v>51788.445</v>
      </c>
      <c r="H276" s="5">
        <f>99 / 86400</f>
        <v>1.1458333333333333E-3</v>
      </c>
      <c r="I276" t="s">
        <v>51</v>
      </c>
      <c r="J276" t="s">
        <v>151</v>
      </c>
      <c r="K276" s="5">
        <f>1033 / 86400</f>
        <v>1.1956018518518519E-2</v>
      </c>
      <c r="L276" s="5">
        <f>681 / 86400</f>
        <v>7.8819444444444449E-3</v>
      </c>
    </row>
    <row r="277" spans="1:12" x14ac:dyDescent="0.25">
      <c r="A277" s="3">
        <v>45690.331064814818</v>
      </c>
      <c r="B277" t="s">
        <v>128</v>
      </c>
      <c r="C277" s="3">
        <v>45690.43346064815</v>
      </c>
      <c r="D277" t="s">
        <v>220</v>
      </c>
      <c r="E277" s="4">
        <v>51.411999999999999</v>
      </c>
      <c r="F277" s="4">
        <v>51788.445</v>
      </c>
      <c r="G277" s="4">
        <v>51839.857000000004</v>
      </c>
      <c r="H277" s="5">
        <f>2361 / 86400</f>
        <v>2.732638888888889E-2</v>
      </c>
      <c r="I277" t="s">
        <v>26</v>
      </c>
      <c r="J277" t="s">
        <v>30</v>
      </c>
      <c r="K277" s="5">
        <f>8846 / 86400</f>
        <v>0.10238425925925926</v>
      </c>
      <c r="L277" s="5">
        <f>58 / 86400</f>
        <v>6.7129629629629625E-4</v>
      </c>
    </row>
    <row r="278" spans="1:12" x14ac:dyDescent="0.25">
      <c r="A278" s="3">
        <v>45690.434131944443</v>
      </c>
      <c r="B278" t="s">
        <v>220</v>
      </c>
      <c r="C278" s="3">
        <v>45690.548483796301</v>
      </c>
      <c r="D278" t="s">
        <v>130</v>
      </c>
      <c r="E278" s="4">
        <v>46.262</v>
      </c>
      <c r="F278" s="4">
        <v>51839.857000000004</v>
      </c>
      <c r="G278" s="4">
        <v>51886.118999999999</v>
      </c>
      <c r="H278" s="5">
        <f>3578 / 86400</f>
        <v>4.1412037037037039E-2</v>
      </c>
      <c r="I278" t="s">
        <v>208</v>
      </c>
      <c r="J278" t="s">
        <v>27</v>
      </c>
      <c r="K278" s="5">
        <f>9879 / 86400</f>
        <v>0.11434027777777778</v>
      </c>
      <c r="L278" s="5">
        <f>1542 / 86400</f>
        <v>1.7847222222222223E-2</v>
      </c>
    </row>
    <row r="279" spans="1:12" x14ac:dyDescent="0.25">
      <c r="A279" s="3">
        <v>45690.566331018519</v>
      </c>
      <c r="B279" t="s">
        <v>130</v>
      </c>
      <c r="C279" s="3">
        <v>45690.663460648153</v>
      </c>
      <c r="D279" t="s">
        <v>221</v>
      </c>
      <c r="E279" s="4">
        <v>43.531999999999996</v>
      </c>
      <c r="F279" s="4">
        <v>51886.118999999999</v>
      </c>
      <c r="G279" s="4">
        <v>51929.650999999998</v>
      </c>
      <c r="H279" s="5">
        <f>2999 / 86400</f>
        <v>3.471064814814815E-2</v>
      </c>
      <c r="I279" t="s">
        <v>208</v>
      </c>
      <c r="J279" t="s">
        <v>20</v>
      </c>
      <c r="K279" s="5">
        <f>8391 / 86400</f>
        <v>9.7118055555555555E-2</v>
      </c>
      <c r="L279" s="5">
        <f>89 / 86400</f>
        <v>1.0300925925925926E-3</v>
      </c>
    </row>
    <row r="280" spans="1:12" x14ac:dyDescent="0.25">
      <c r="A280" s="3">
        <v>45690.664490740739</v>
      </c>
      <c r="B280" t="s">
        <v>221</v>
      </c>
      <c r="C280" s="3">
        <v>45690.760254629626</v>
      </c>
      <c r="D280" t="s">
        <v>140</v>
      </c>
      <c r="E280" s="4">
        <v>46.741</v>
      </c>
      <c r="F280" s="4">
        <v>51929.650999999998</v>
      </c>
      <c r="G280" s="4">
        <v>51976.392</v>
      </c>
      <c r="H280" s="5">
        <f>2460 / 86400</f>
        <v>2.8472222222222222E-2</v>
      </c>
      <c r="I280" t="s">
        <v>19</v>
      </c>
      <c r="J280" t="s">
        <v>58</v>
      </c>
      <c r="K280" s="5">
        <f>8274 / 86400</f>
        <v>9.5763888888888885E-2</v>
      </c>
      <c r="L280" s="5">
        <f>763 / 86400</f>
        <v>8.8310185185185193E-3</v>
      </c>
    </row>
    <row r="281" spans="1:12" x14ac:dyDescent="0.25">
      <c r="A281" s="3">
        <v>45690.769085648149</v>
      </c>
      <c r="B281" t="s">
        <v>140</v>
      </c>
      <c r="C281" s="3">
        <v>45690.771296296298</v>
      </c>
      <c r="D281" t="s">
        <v>47</v>
      </c>
      <c r="E281" s="4">
        <v>0.59099999999999997</v>
      </c>
      <c r="F281" s="4">
        <v>51976.392</v>
      </c>
      <c r="G281" s="4">
        <v>51976.983</v>
      </c>
      <c r="H281" s="5">
        <f>20 / 86400</f>
        <v>2.3148148148148149E-4</v>
      </c>
      <c r="I281" t="s">
        <v>156</v>
      </c>
      <c r="J281" t="s">
        <v>144</v>
      </c>
      <c r="K281" s="5">
        <f>191 / 86400</f>
        <v>2.2106481481481482E-3</v>
      </c>
      <c r="L281" s="5">
        <f>13530 / 86400</f>
        <v>0.15659722222222222</v>
      </c>
    </row>
    <row r="282" spans="1:12" x14ac:dyDescent="0.25">
      <c r="A282" s="3">
        <v>45690.927893518514</v>
      </c>
      <c r="B282" t="s">
        <v>47</v>
      </c>
      <c r="C282" s="3">
        <v>45690.928182870368</v>
      </c>
      <c r="D282" t="s">
        <v>47</v>
      </c>
      <c r="E282" s="4">
        <v>6.0000000000000001E-3</v>
      </c>
      <c r="F282" s="4">
        <v>51976.983</v>
      </c>
      <c r="G282" s="4">
        <v>51976.989000000001</v>
      </c>
      <c r="H282" s="5">
        <f>0 / 86400</f>
        <v>0</v>
      </c>
      <c r="I282" t="s">
        <v>41</v>
      </c>
      <c r="J282" t="s">
        <v>41</v>
      </c>
      <c r="K282" s="5">
        <f>25 / 86400</f>
        <v>2.8935185185185184E-4</v>
      </c>
      <c r="L282" s="5">
        <f>4098 / 86400</f>
        <v>4.7430555555555552E-2</v>
      </c>
    </row>
    <row r="283" spans="1:12" x14ac:dyDescent="0.25">
      <c r="A283" s="3">
        <v>45690.975613425922</v>
      </c>
      <c r="B283" t="s">
        <v>47</v>
      </c>
      <c r="C283" s="3">
        <v>45690.975902777776</v>
      </c>
      <c r="D283" t="s">
        <v>47</v>
      </c>
      <c r="E283" s="4">
        <v>6.0000000000000001E-3</v>
      </c>
      <c r="F283" s="4">
        <v>51976.989000000001</v>
      </c>
      <c r="G283" s="4">
        <v>51976.995000000003</v>
      </c>
      <c r="H283" s="5">
        <f>19 / 86400</f>
        <v>2.199074074074074E-4</v>
      </c>
      <c r="I283" t="s">
        <v>39</v>
      </c>
      <c r="J283" t="s">
        <v>41</v>
      </c>
      <c r="K283" s="5">
        <f>25 / 86400</f>
        <v>2.8935185185185184E-4</v>
      </c>
      <c r="L283" s="5">
        <f>2081 / 86400</f>
        <v>2.4085648148148148E-2</v>
      </c>
    </row>
    <row r="284" spans="1:12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1:12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1:12" s="10" customFormat="1" ht="20.100000000000001" customHeight="1" x14ac:dyDescent="0.35">
      <c r="A286" s="15" t="s">
        <v>317</v>
      </c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2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1:12" ht="30" x14ac:dyDescent="0.25">
      <c r="A288" s="2" t="s">
        <v>6</v>
      </c>
      <c r="B288" s="2" t="s">
        <v>7</v>
      </c>
      <c r="C288" s="2" t="s">
        <v>8</v>
      </c>
      <c r="D288" s="2" t="s">
        <v>9</v>
      </c>
      <c r="E288" s="2" t="s">
        <v>10</v>
      </c>
      <c r="F288" s="2" t="s">
        <v>11</v>
      </c>
      <c r="G288" s="2" t="s">
        <v>12</v>
      </c>
      <c r="H288" s="2" t="s">
        <v>13</v>
      </c>
      <c r="I288" s="2" t="s">
        <v>14</v>
      </c>
      <c r="J288" s="2" t="s">
        <v>15</v>
      </c>
      <c r="K288" s="2" t="s">
        <v>16</v>
      </c>
      <c r="L288" s="2" t="s">
        <v>17</v>
      </c>
    </row>
    <row r="289" spans="1:12" x14ac:dyDescent="0.25">
      <c r="A289" s="3">
        <v>45690.152662037042</v>
      </c>
      <c r="B289" t="s">
        <v>48</v>
      </c>
      <c r="C289" s="3">
        <v>45690.152824074074</v>
      </c>
      <c r="D289" t="s">
        <v>48</v>
      </c>
      <c r="E289" s="4">
        <v>2E-3</v>
      </c>
      <c r="F289" s="4">
        <v>213802.117</v>
      </c>
      <c r="G289" s="4">
        <v>213802.11900000001</v>
      </c>
      <c r="H289" s="5">
        <f>0 / 86400</f>
        <v>0</v>
      </c>
      <c r="I289" t="s">
        <v>39</v>
      </c>
      <c r="J289" t="s">
        <v>41</v>
      </c>
      <c r="K289" s="5">
        <f>14 / 86400</f>
        <v>1.6203703703703703E-4</v>
      </c>
      <c r="L289" s="5">
        <f>15292 / 86400</f>
        <v>0.17699074074074075</v>
      </c>
    </row>
    <row r="290" spans="1:12" x14ac:dyDescent="0.25">
      <c r="A290" s="3">
        <v>45690.177152777775</v>
      </c>
      <c r="B290" t="s">
        <v>48</v>
      </c>
      <c r="C290" s="3">
        <v>45690.1871875</v>
      </c>
      <c r="D290" t="s">
        <v>222</v>
      </c>
      <c r="E290" s="4">
        <v>4.2510000000000003</v>
      </c>
      <c r="F290" s="4">
        <v>213802.11900000001</v>
      </c>
      <c r="G290" s="4">
        <v>213806.37</v>
      </c>
      <c r="H290" s="5">
        <f>278 / 86400</f>
        <v>3.2175925925925926E-3</v>
      </c>
      <c r="I290" t="s">
        <v>196</v>
      </c>
      <c r="J290" t="s">
        <v>33</v>
      </c>
      <c r="K290" s="5">
        <f>867 / 86400</f>
        <v>1.0034722222222223E-2</v>
      </c>
      <c r="L290" s="5">
        <f>699 / 86400</f>
        <v>8.0902777777777778E-3</v>
      </c>
    </row>
    <row r="291" spans="1:12" x14ac:dyDescent="0.25">
      <c r="A291" s="3">
        <v>45690.195277777777</v>
      </c>
      <c r="B291" t="s">
        <v>222</v>
      </c>
      <c r="C291" s="3">
        <v>45690.212187500001</v>
      </c>
      <c r="D291" t="s">
        <v>223</v>
      </c>
      <c r="E291" s="4">
        <v>3.9750000000000001</v>
      </c>
      <c r="F291" s="4">
        <v>213806.37</v>
      </c>
      <c r="G291" s="4">
        <v>213810.345</v>
      </c>
      <c r="H291" s="5">
        <f>559 / 86400</f>
        <v>6.4699074074074077E-3</v>
      </c>
      <c r="I291" t="s">
        <v>195</v>
      </c>
      <c r="J291" t="s">
        <v>24</v>
      </c>
      <c r="K291" s="5">
        <f>1460 / 86400</f>
        <v>1.6898148148148148E-2</v>
      </c>
      <c r="L291" s="5">
        <f>167 / 86400</f>
        <v>1.9328703703703704E-3</v>
      </c>
    </row>
    <row r="292" spans="1:12" x14ac:dyDescent="0.25">
      <c r="A292" s="3">
        <v>45690.214120370365</v>
      </c>
      <c r="B292" t="s">
        <v>223</v>
      </c>
      <c r="C292" s="3">
        <v>45690.214849537035</v>
      </c>
      <c r="D292" t="s">
        <v>223</v>
      </c>
      <c r="E292" s="4">
        <v>0</v>
      </c>
      <c r="F292" s="4">
        <v>213810.345</v>
      </c>
      <c r="G292" s="4">
        <v>213810.345</v>
      </c>
      <c r="H292" s="5">
        <f>59 / 86400</f>
        <v>6.8287037037037036E-4</v>
      </c>
      <c r="I292" t="s">
        <v>39</v>
      </c>
      <c r="J292" t="s">
        <v>39</v>
      </c>
      <c r="K292" s="5">
        <f>63 / 86400</f>
        <v>7.291666666666667E-4</v>
      </c>
      <c r="L292" s="5">
        <f>519 / 86400</f>
        <v>6.0069444444444441E-3</v>
      </c>
    </row>
    <row r="293" spans="1:12" x14ac:dyDescent="0.25">
      <c r="A293" s="3">
        <v>45690.220856481479</v>
      </c>
      <c r="B293" t="s">
        <v>223</v>
      </c>
      <c r="C293" s="3">
        <v>45690.230138888888</v>
      </c>
      <c r="D293" t="s">
        <v>224</v>
      </c>
      <c r="E293" s="4">
        <v>1.4590000000000001</v>
      </c>
      <c r="F293" s="4">
        <v>213810.345</v>
      </c>
      <c r="G293" s="4">
        <v>213811.804</v>
      </c>
      <c r="H293" s="5">
        <f>439 / 86400</f>
        <v>5.0810185185185186E-3</v>
      </c>
      <c r="I293" t="s">
        <v>189</v>
      </c>
      <c r="J293" t="s">
        <v>91</v>
      </c>
      <c r="K293" s="5">
        <f>802 / 86400</f>
        <v>9.2824074074074076E-3</v>
      </c>
      <c r="L293" s="5">
        <f>64 / 86400</f>
        <v>7.407407407407407E-4</v>
      </c>
    </row>
    <row r="294" spans="1:12" x14ac:dyDescent="0.25">
      <c r="A294" s="3">
        <v>45690.230879629627</v>
      </c>
      <c r="B294" t="s">
        <v>224</v>
      </c>
      <c r="C294" s="3">
        <v>45690.232546296298</v>
      </c>
      <c r="D294" t="s">
        <v>130</v>
      </c>
      <c r="E294" s="4">
        <v>0.22800000000000001</v>
      </c>
      <c r="F294" s="4">
        <v>213811.804</v>
      </c>
      <c r="G294" s="4">
        <v>213812.03200000001</v>
      </c>
      <c r="H294" s="5">
        <f>80 / 86400</f>
        <v>9.2592592592592596E-4</v>
      </c>
      <c r="I294" t="s">
        <v>86</v>
      </c>
      <c r="J294" t="s">
        <v>38</v>
      </c>
      <c r="K294" s="5">
        <f>144 / 86400</f>
        <v>1.6666666666666668E-3</v>
      </c>
      <c r="L294" s="5">
        <f>21 / 86400</f>
        <v>2.4305555555555555E-4</v>
      </c>
    </row>
    <row r="295" spans="1:12" x14ac:dyDescent="0.25">
      <c r="A295" s="3">
        <v>45690.232789351852</v>
      </c>
      <c r="B295" t="s">
        <v>130</v>
      </c>
      <c r="C295" s="3">
        <v>45690.233101851853</v>
      </c>
      <c r="D295" t="s">
        <v>130</v>
      </c>
      <c r="E295" s="4">
        <v>0</v>
      </c>
      <c r="F295" s="4">
        <v>213812.03200000001</v>
      </c>
      <c r="G295" s="4">
        <v>213812.03200000001</v>
      </c>
      <c r="H295" s="5">
        <f>19 / 86400</f>
        <v>2.199074074074074E-4</v>
      </c>
      <c r="I295" t="s">
        <v>39</v>
      </c>
      <c r="J295" t="s">
        <v>39</v>
      </c>
      <c r="K295" s="5">
        <f>26 / 86400</f>
        <v>3.0092592592592595E-4</v>
      </c>
      <c r="L295" s="5">
        <f>304 / 86400</f>
        <v>3.5185185185185185E-3</v>
      </c>
    </row>
    <row r="296" spans="1:12" x14ac:dyDescent="0.25">
      <c r="A296" s="3">
        <v>45690.236620370371</v>
      </c>
      <c r="B296" t="s">
        <v>130</v>
      </c>
      <c r="C296" s="3">
        <v>45690.23710648148</v>
      </c>
      <c r="D296" t="s">
        <v>130</v>
      </c>
      <c r="E296" s="4">
        <v>0</v>
      </c>
      <c r="F296" s="4">
        <v>213812.03200000001</v>
      </c>
      <c r="G296" s="4">
        <v>213812.03200000001</v>
      </c>
      <c r="H296" s="5">
        <f>39 / 86400</f>
        <v>4.5138888888888887E-4</v>
      </c>
      <c r="I296" t="s">
        <v>39</v>
      </c>
      <c r="J296" t="s">
        <v>39</v>
      </c>
      <c r="K296" s="5">
        <f>42 / 86400</f>
        <v>4.861111111111111E-4</v>
      </c>
      <c r="L296" s="5">
        <f>17 / 86400</f>
        <v>1.9675925925925926E-4</v>
      </c>
    </row>
    <row r="297" spans="1:12" x14ac:dyDescent="0.25">
      <c r="A297" s="3">
        <v>45690.237303240741</v>
      </c>
      <c r="B297" t="s">
        <v>130</v>
      </c>
      <c r="C297" s="3">
        <v>45690.281134259261</v>
      </c>
      <c r="D297" t="s">
        <v>225</v>
      </c>
      <c r="E297" s="4">
        <v>31.65</v>
      </c>
      <c r="F297" s="4">
        <v>213812.03200000001</v>
      </c>
      <c r="G297" s="4">
        <v>213843.682</v>
      </c>
      <c r="H297" s="5">
        <f>881 / 86400</f>
        <v>1.019675925925926E-2</v>
      </c>
      <c r="I297" t="s">
        <v>83</v>
      </c>
      <c r="J297" t="s">
        <v>126</v>
      </c>
      <c r="K297" s="5">
        <f>3787 / 86400</f>
        <v>4.3831018518518519E-2</v>
      </c>
      <c r="L297" s="5">
        <f>570 / 86400</f>
        <v>6.5972222222222222E-3</v>
      </c>
    </row>
    <row r="298" spans="1:12" x14ac:dyDescent="0.25">
      <c r="A298" s="3">
        <v>45690.287731481483</v>
      </c>
      <c r="B298" t="s">
        <v>225</v>
      </c>
      <c r="C298" s="3">
        <v>45690.312789351854</v>
      </c>
      <c r="D298" t="s">
        <v>226</v>
      </c>
      <c r="E298" s="4">
        <v>26.9</v>
      </c>
      <c r="F298" s="4">
        <v>213843.682</v>
      </c>
      <c r="G298" s="4">
        <v>213870.58199999999</v>
      </c>
      <c r="H298" s="5">
        <f>119 / 86400</f>
        <v>1.3773148148148147E-3</v>
      </c>
      <c r="I298" t="s">
        <v>83</v>
      </c>
      <c r="J298" t="s">
        <v>227</v>
      </c>
      <c r="K298" s="5">
        <f>2165 / 86400</f>
        <v>2.5057870370370369E-2</v>
      </c>
      <c r="L298" s="5">
        <f>1057 / 86400</f>
        <v>1.2233796296296296E-2</v>
      </c>
    </row>
    <row r="299" spans="1:12" x14ac:dyDescent="0.25">
      <c r="A299" s="3">
        <v>45690.325023148151</v>
      </c>
      <c r="B299" t="s">
        <v>226</v>
      </c>
      <c r="C299" s="3">
        <v>45690.368518518517</v>
      </c>
      <c r="D299" t="s">
        <v>228</v>
      </c>
      <c r="E299" s="4">
        <v>41.764000000000003</v>
      </c>
      <c r="F299" s="4">
        <v>213870.58199999999</v>
      </c>
      <c r="G299" s="4">
        <v>213912.34599999999</v>
      </c>
      <c r="H299" s="5">
        <f>319 / 86400</f>
        <v>3.6921296296296298E-3</v>
      </c>
      <c r="I299" t="s">
        <v>50</v>
      </c>
      <c r="J299" t="s">
        <v>229</v>
      </c>
      <c r="K299" s="5">
        <f>3757 / 86400</f>
        <v>4.3483796296296298E-2</v>
      </c>
      <c r="L299" s="5">
        <f>233 / 86400</f>
        <v>2.6967592592592594E-3</v>
      </c>
    </row>
    <row r="300" spans="1:12" x14ac:dyDescent="0.25">
      <c r="A300" s="3">
        <v>45690.371215277773</v>
      </c>
      <c r="B300" t="s">
        <v>228</v>
      </c>
      <c r="C300" s="3">
        <v>45690.371493055558</v>
      </c>
      <c r="D300" t="s">
        <v>228</v>
      </c>
      <c r="E300" s="4">
        <v>0</v>
      </c>
      <c r="F300" s="4">
        <v>213912.34599999999</v>
      </c>
      <c r="G300" s="4">
        <v>213912.34599999999</v>
      </c>
      <c r="H300" s="5">
        <f>19 / 86400</f>
        <v>2.199074074074074E-4</v>
      </c>
      <c r="I300" t="s">
        <v>39</v>
      </c>
      <c r="J300" t="s">
        <v>39</v>
      </c>
      <c r="K300" s="5">
        <f>24 / 86400</f>
        <v>2.7777777777777778E-4</v>
      </c>
      <c r="L300" s="5">
        <f>20899 / 86400</f>
        <v>0.24188657407407407</v>
      </c>
    </row>
    <row r="301" spans="1:12" x14ac:dyDescent="0.25">
      <c r="A301" s="3">
        <v>45690.613379629634</v>
      </c>
      <c r="B301" t="s">
        <v>228</v>
      </c>
      <c r="C301" s="3">
        <v>45690.61347222222</v>
      </c>
      <c r="D301" t="s">
        <v>228</v>
      </c>
      <c r="E301" s="4">
        <v>0</v>
      </c>
      <c r="F301" s="4">
        <v>213912.34599999999</v>
      </c>
      <c r="G301" s="4">
        <v>213912.34599999999</v>
      </c>
      <c r="H301" s="5">
        <f t="shared" ref="H301:H306" si="3">0 / 86400</f>
        <v>0</v>
      </c>
      <c r="I301" t="s">
        <v>39</v>
      </c>
      <c r="J301" t="s">
        <v>39</v>
      </c>
      <c r="K301" s="5">
        <f>7 / 86400</f>
        <v>8.1018518518518516E-5</v>
      </c>
      <c r="L301" s="5">
        <f>6221 / 86400</f>
        <v>7.2002314814814811E-2</v>
      </c>
    </row>
    <row r="302" spans="1:12" x14ac:dyDescent="0.25">
      <c r="A302" s="3">
        <v>45690.685474537036</v>
      </c>
      <c r="B302" t="s">
        <v>228</v>
      </c>
      <c r="C302" s="3">
        <v>45690.685590277775</v>
      </c>
      <c r="D302" t="s">
        <v>228</v>
      </c>
      <c r="E302" s="4">
        <v>0</v>
      </c>
      <c r="F302" s="4">
        <v>213912.34599999999</v>
      </c>
      <c r="G302" s="4">
        <v>213912.34599999999</v>
      </c>
      <c r="H302" s="5">
        <f t="shared" si="3"/>
        <v>0</v>
      </c>
      <c r="I302" t="s">
        <v>39</v>
      </c>
      <c r="J302" t="s">
        <v>39</v>
      </c>
      <c r="K302" s="5">
        <f>10 / 86400</f>
        <v>1.1574074074074075E-4</v>
      </c>
      <c r="L302" s="5">
        <f>3 / 86400</f>
        <v>3.4722222222222222E-5</v>
      </c>
    </row>
    <row r="303" spans="1:12" x14ac:dyDescent="0.25">
      <c r="A303" s="3">
        <v>45690.685624999998</v>
      </c>
      <c r="B303" t="s">
        <v>228</v>
      </c>
      <c r="C303" s="3">
        <v>45690.685682870375</v>
      </c>
      <c r="D303" t="s">
        <v>228</v>
      </c>
      <c r="E303" s="4">
        <v>0</v>
      </c>
      <c r="F303" s="4">
        <v>213912.34599999999</v>
      </c>
      <c r="G303" s="4">
        <v>213912.34599999999</v>
      </c>
      <c r="H303" s="5">
        <f t="shared" si="3"/>
        <v>0</v>
      </c>
      <c r="I303" t="s">
        <v>39</v>
      </c>
      <c r="J303" t="s">
        <v>39</v>
      </c>
      <c r="K303" s="5">
        <f>5 / 86400</f>
        <v>5.7870370370370373E-5</v>
      </c>
      <c r="L303" s="5">
        <f>4 / 86400</f>
        <v>4.6296296296296294E-5</v>
      </c>
    </row>
    <row r="304" spans="1:12" x14ac:dyDescent="0.25">
      <c r="A304" s="3">
        <v>45690.685729166667</v>
      </c>
      <c r="B304" t="s">
        <v>228</v>
      </c>
      <c r="C304" s="3">
        <v>45690.685752314814</v>
      </c>
      <c r="D304" t="s">
        <v>228</v>
      </c>
      <c r="E304" s="4">
        <v>0</v>
      </c>
      <c r="F304" s="4">
        <v>213912.34599999999</v>
      </c>
      <c r="G304" s="4">
        <v>213912.34599999999</v>
      </c>
      <c r="H304" s="5">
        <f t="shared" si="3"/>
        <v>0</v>
      </c>
      <c r="I304" t="s">
        <v>39</v>
      </c>
      <c r="J304" t="s">
        <v>39</v>
      </c>
      <c r="K304" s="5">
        <f>1 / 86400</f>
        <v>1.1574074074074073E-5</v>
      </c>
      <c r="L304" s="5">
        <f>10 / 86400</f>
        <v>1.1574074074074075E-4</v>
      </c>
    </row>
    <row r="305" spans="1:12" x14ac:dyDescent="0.25">
      <c r="A305" s="3">
        <v>45690.68586805556</v>
      </c>
      <c r="B305" t="s">
        <v>228</v>
      </c>
      <c r="C305" s="3">
        <v>45690.685879629629</v>
      </c>
      <c r="D305" t="s">
        <v>228</v>
      </c>
      <c r="E305" s="4">
        <v>0</v>
      </c>
      <c r="F305" s="4">
        <v>213912.34599999999</v>
      </c>
      <c r="G305" s="4">
        <v>213912.34599999999</v>
      </c>
      <c r="H305" s="5">
        <f t="shared" si="3"/>
        <v>0</v>
      </c>
      <c r="I305" t="s">
        <v>39</v>
      </c>
      <c r="J305" t="s">
        <v>39</v>
      </c>
      <c r="K305" s="5">
        <f>1 / 86400</f>
        <v>1.1574074074074073E-5</v>
      </c>
      <c r="L305" s="5">
        <f>9 / 86400</f>
        <v>1.0416666666666667E-4</v>
      </c>
    </row>
    <row r="306" spans="1:12" x14ac:dyDescent="0.25">
      <c r="A306" s="3">
        <v>45690.685983796298</v>
      </c>
      <c r="B306" t="s">
        <v>228</v>
      </c>
      <c r="C306" s="3">
        <v>45690.686006944445</v>
      </c>
      <c r="D306" t="s">
        <v>228</v>
      </c>
      <c r="E306" s="4">
        <v>0</v>
      </c>
      <c r="F306" s="4">
        <v>213912.34599999999</v>
      </c>
      <c r="G306" s="4">
        <v>213912.34599999999</v>
      </c>
      <c r="H306" s="5">
        <f t="shared" si="3"/>
        <v>0</v>
      </c>
      <c r="I306" t="s">
        <v>39</v>
      </c>
      <c r="J306" t="s">
        <v>39</v>
      </c>
      <c r="K306" s="5">
        <f>2 / 86400</f>
        <v>2.3148148148148147E-5</v>
      </c>
      <c r="L306" s="5">
        <f>1773 / 86400</f>
        <v>2.0520833333333332E-2</v>
      </c>
    </row>
    <row r="307" spans="1:12" x14ac:dyDescent="0.25">
      <c r="A307" s="3">
        <v>45690.706527777773</v>
      </c>
      <c r="B307" t="s">
        <v>228</v>
      </c>
      <c r="C307" s="3">
        <v>45690.709988425922</v>
      </c>
      <c r="D307" t="s">
        <v>228</v>
      </c>
      <c r="E307" s="4">
        <v>2.5000000000000001E-2</v>
      </c>
      <c r="F307" s="4">
        <v>213912.34599999999</v>
      </c>
      <c r="G307" s="4">
        <v>213912.37100000001</v>
      </c>
      <c r="H307" s="5">
        <f>278 / 86400</f>
        <v>3.2175925925925926E-3</v>
      </c>
      <c r="I307" t="s">
        <v>39</v>
      </c>
      <c r="J307" t="s">
        <v>39</v>
      </c>
      <c r="K307" s="5">
        <f>299 / 86400</f>
        <v>3.460648148148148E-3</v>
      </c>
      <c r="L307" s="5">
        <f>2 / 86400</f>
        <v>2.3148148148148147E-5</v>
      </c>
    </row>
    <row r="308" spans="1:12" x14ac:dyDescent="0.25">
      <c r="A308" s="3">
        <v>45690.710011574076</v>
      </c>
      <c r="B308" t="s">
        <v>228</v>
      </c>
      <c r="C308" s="3">
        <v>45690.724733796298</v>
      </c>
      <c r="D308" t="s">
        <v>228</v>
      </c>
      <c r="E308" s="4">
        <v>0.193</v>
      </c>
      <c r="F308" s="4">
        <v>213912.37100000001</v>
      </c>
      <c r="G308" s="4">
        <v>213912.56400000001</v>
      </c>
      <c r="H308" s="5">
        <f>1160 / 86400</f>
        <v>1.3425925925925926E-2</v>
      </c>
      <c r="I308" t="s">
        <v>127</v>
      </c>
      <c r="J308" t="s">
        <v>41</v>
      </c>
      <c r="K308" s="5">
        <f>1272 / 86400</f>
        <v>1.4722222222222222E-2</v>
      </c>
      <c r="L308" s="5">
        <f>9175 / 86400</f>
        <v>0.10619212962962964</v>
      </c>
    </row>
    <row r="309" spans="1:12" x14ac:dyDescent="0.25">
      <c r="A309" s="3">
        <v>45690.830925925926</v>
      </c>
      <c r="B309" t="s">
        <v>228</v>
      </c>
      <c r="C309" s="3">
        <v>45690.983310185184</v>
      </c>
      <c r="D309" t="s">
        <v>230</v>
      </c>
      <c r="E309" s="4">
        <v>110.825</v>
      </c>
      <c r="F309" s="4">
        <v>213912.56400000001</v>
      </c>
      <c r="G309" s="4">
        <v>214023.389</v>
      </c>
      <c r="H309" s="5">
        <f>1579 / 86400</f>
        <v>1.8275462962962962E-2</v>
      </c>
      <c r="I309" t="s">
        <v>231</v>
      </c>
      <c r="J309" t="s">
        <v>126</v>
      </c>
      <c r="K309" s="5">
        <f>13165 / 86400</f>
        <v>0.15237268518518518</v>
      </c>
      <c r="L309" s="5">
        <f>780 / 86400</f>
        <v>9.0277777777777769E-3</v>
      </c>
    </row>
    <row r="310" spans="1:12" x14ac:dyDescent="0.25">
      <c r="A310" s="3">
        <v>45690.992337962962</v>
      </c>
      <c r="B310" t="s">
        <v>230</v>
      </c>
      <c r="C310" s="3">
        <v>45690.99700231482</v>
      </c>
      <c r="D310" t="s">
        <v>131</v>
      </c>
      <c r="E310" s="4">
        <v>0.98799999999999999</v>
      </c>
      <c r="F310" s="4">
        <v>214023.389</v>
      </c>
      <c r="G310" s="4">
        <v>214024.37700000001</v>
      </c>
      <c r="H310" s="5">
        <f>119 / 86400</f>
        <v>1.3773148148148147E-3</v>
      </c>
      <c r="I310" t="s">
        <v>189</v>
      </c>
      <c r="J310" t="s">
        <v>88</v>
      </c>
      <c r="K310" s="5">
        <f>403 / 86400</f>
        <v>4.6643518518518518E-3</v>
      </c>
      <c r="L310" s="5">
        <f>164 / 86400</f>
        <v>1.8981481481481482E-3</v>
      </c>
    </row>
    <row r="311" spans="1:12" x14ac:dyDescent="0.25">
      <c r="A311" s="3">
        <v>45690.998900462961</v>
      </c>
      <c r="B311" t="s">
        <v>131</v>
      </c>
      <c r="C311" s="3">
        <v>45690.99998842593</v>
      </c>
      <c r="D311" t="s">
        <v>49</v>
      </c>
      <c r="E311" s="4">
        <v>0.17599999999999999</v>
      </c>
      <c r="F311" s="4">
        <v>214024.37700000001</v>
      </c>
      <c r="G311" s="4">
        <v>214024.55300000001</v>
      </c>
      <c r="H311" s="5">
        <f>20 / 86400</f>
        <v>2.3148148148148149E-4</v>
      </c>
      <c r="I311" t="s">
        <v>30</v>
      </c>
      <c r="J311" t="s">
        <v>91</v>
      </c>
      <c r="K311" s="5">
        <f>94 / 86400</f>
        <v>1.0879629629629629E-3</v>
      </c>
      <c r="L311" s="5">
        <f>0 / 86400</f>
        <v>0</v>
      </c>
    </row>
    <row r="312" spans="1:12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</row>
    <row r="313" spans="1:12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</row>
    <row r="314" spans="1:12" s="10" customFormat="1" ht="20.100000000000001" customHeight="1" x14ac:dyDescent="0.35">
      <c r="A314" s="15" t="s">
        <v>318</v>
      </c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2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</row>
    <row r="316" spans="1:12" ht="30" x14ac:dyDescent="0.25">
      <c r="A316" s="2" t="s">
        <v>6</v>
      </c>
      <c r="B316" s="2" t="s">
        <v>7</v>
      </c>
      <c r="C316" s="2" t="s">
        <v>8</v>
      </c>
      <c r="D316" s="2" t="s">
        <v>9</v>
      </c>
      <c r="E316" s="2" t="s">
        <v>10</v>
      </c>
      <c r="F316" s="2" t="s">
        <v>11</v>
      </c>
      <c r="G316" s="2" t="s">
        <v>12</v>
      </c>
      <c r="H316" s="2" t="s">
        <v>13</v>
      </c>
      <c r="I316" s="2" t="s">
        <v>14</v>
      </c>
      <c r="J316" s="2" t="s">
        <v>15</v>
      </c>
      <c r="K316" s="2" t="s">
        <v>16</v>
      </c>
      <c r="L316" s="2" t="s">
        <v>17</v>
      </c>
    </row>
    <row r="317" spans="1:12" x14ac:dyDescent="0.25">
      <c r="A317" s="3">
        <v>45690.25953703704</v>
      </c>
      <c r="B317" t="s">
        <v>52</v>
      </c>
      <c r="C317" s="3">
        <v>45690.26563657407</v>
      </c>
      <c r="D317" t="s">
        <v>232</v>
      </c>
      <c r="E317" s="4">
        <v>1.5369999999999999</v>
      </c>
      <c r="F317" s="4">
        <v>523178.00799999997</v>
      </c>
      <c r="G317" s="4">
        <v>523179.54499999998</v>
      </c>
      <c r="H317" s="5">
        <f>143 / 86400</f>
        <v>1.6550925925925926E-3</v>
      </c>
      <c r="I317" t="s">
        <v>69</v>
      </c>
      <c r="J317" t="s">
        <v>144</v>
      </c>
      <c r="K317" s="5">
        <f>526 / 86400</f>
        <v>6.0879629629629626E-3</v>
      </c>
      <c r="L317" s="5">
        <f>23088 / 86400</f>
        <v>0.26722222222222225</v>
      </c>
    </row>
    <row r="318" spans="1:12" x14ac:dyDescent="0.25">
      <c r="A318" s="3">
        <v>45690.273321759261</v>
      </c>
      <c r="B318" t="s">
        <v>232</v>
      </c>
      <c r="C318" s="3">
        <v>45690.470567129625</v>
      </c>
      <c r="D318" t="s">
        <v>48</v>
      </c>
      <c r="E318" s="4">
        <v>79.242000000000004</v>
      </c>
      <c r="F318" s="4">
        <v>523179.54499999998</v>
      </c>
      <c r="G318" s="4">
        <v>523258.78700000001</v>
      </c>
      <c r="H318" s="5">
        <f>6550 / 86400</f>
        <v>7.5810185185185189E-2</v>
      </c>
      <c r="I318" t="s">
        <v>57</v>
      </c>
      <c r="J318" t="s">
        <v>27</v>
      </c>
      <c r="K318" s="5">
        <f>17042 / 86400</f>
        <v>0.19724537037037038</v>
      </c>
      <c r="L318" s="5">
        <f>1587 / 86400</f>
        <v>1.8368055555555554E-2</v>
      </c>
    </row>
    <row r="319" spans="1:12" x14ac:dyDescent="0.25">
      <c r="A319" s="3">
        <v>45690.488935185189</v>
      </c>
      <c r="B319" t="s">
        <v>48</v>
      </c>
      <c r="C319" s="3">
        <v>45690.492002314815</v>
      </c>
      <c r="D319" t="s">
        <v>142</v>
      </c>
      <c r="E319" s="4">
        <v>0.95899999999999996</v>
      </c>
      <c r="F319" s="4">
        <v>523258.78700000001</v>
      </c>
      <c r="G319" s="4">
        <v>523259.74599999998</v>
      </c>
      <c r="H319" s="5">
        <f>39 / 86400</f>
        <v>4.5138888888888887E-4</v>
      </c>
      <c r="I319" t="s">
        <v>136</v>
      </c>
      <c r="J319" t="s">
        <v>151</v>
      </c>
      <c r="K319" s="5">
        <f>264 / 86400</f>
        <v>3.0555555555555557E-3</v>
      </c>
      <c r="L319" s="5">
        <f>76 / 86400</f>
        <v>8.7962962962962962E-4</v>
      </c>
    </row>
    <row r="320" spans="1:12" x14ac:dyDescent="0.25">
      <c r="A320" s="3">
        <v>45690.492881944447</v>
      </c>
      <c r="B320" t="s">
        <v>142</v>
      </c>
      <c r="C320" s="3">
        <v>45690.493611111116</v>
      </c>
      <c r="D320" t="s">
        <v>140</v>
      </c>
      <c r="E320" s="4">
        <v>3.1E-2</v>
      </c>
      <c r="F320" s="4">
        <v>523259.74599999998</v>
      </c>
      <c r="G320" s="4">
        <v>523259.777</v>
      </c>
      <c r="H320" s="5">
        <f>20 / 86400</f>
        <v>2.3148148148148149E-4</v>
      </c>
      <c r="I320" t="s">
        <v>91</v>
      </c>
      <c r="J320" t="s">
        <v>79</v>
      </c>
      <c r="K320" s="5">
        <f>62 / 86400</f>
        <v>7.1759259259259259E-4</v>
      </c>
      <c r="L320" s="5">
        <f>432 / 86400</f>
        <v>5.0000000000000001E-3</v>
      </c>
    </row>
    <row r="321" spans="1:12" x14ac:dyDescent="0.25">
      <c r="A321" s="3">
        <v>45690.498611111107</v>
      </c>
      <c r="B321" t="s">
        <v>140</v>
      </c>
      <c r="C321" s="3">
        <v>45690.50100694444</v>
      </c>
      <c r="D321" t="s">
        <v>174</v>
      </c>
      <c r="E321" s="4">
        <v>0.83299999999999996</v>
      </c>
      <c r="F321" s="4">
        <v>523259.777</v>
      </c>
      <c r="G321" s="4">
        <v>523260.61</v>
      </c>
      <c r="H321" s="5">
        <f>19 / 86400</f>
        <v>2.199074074074074E-4</v>
      </c>
      <c r="I321" t="s">
        <v>153</v>
      </c>
      <c r="J321" t="s">
        <v>139</v>
      </c>
      <c r="K321" s="5">
        <f>206 / 86400</f>
        <v>2.3842592592592591E-3</v>
      </c>
      <c r="L321" s="5">
        <f>95 / 86400</f>
        <v>1.0995370370370371E-3</v>
      </c>
    </row>
    <row r="322" spans="1:12" x14ac:dyDescent="0.25">
      <c r="A322" s="3">
        <v>45690.502106481479</v>
      </c>
      <c r="B322" t="s">
        <v>145</v>
      </c>
      <c r="C322" s="3">
        <v>45690.502210648148</v>
      </c>
      <c r="D322" t="s">
        <v>145</v>
      </c>
      <c r="E322" s="4">
        <v>8.9999999999999993E-3</v>
      </c>
      <c r="F322" s="4">
        <v>523260.61</v>
      </c>
      <c r="G322" s="4">
        <v>523260.61900000001</v>
      </c>
      <c r="H322" s="5">
        <f>0 / 86400</f>
        <v>0</v>
      </c>
      <c r="I322" t="s">
        <v>39</v>
      </c>
      <c r="J322" t="s">
        <v>163</v>
      </c>
      <c r="K322" s="5">
        <f>9 / 86400</f>
        <v>1.0416666666666667E-4</v>
      </c>
      <c r="L322" s="5">
        <f>451 / 86400</f>
        <v>5.2199074074074075E-3</v>
      </c>
    </row>
    <row r="323" spans="1:12" x14ac:dyDescent="0.25">
      <c r="A323" s="3">
        <v>45690.507430555561</v>
      </c>
      <c r="B323" t="s">
        <v>145</v>
      </c>
      <c r="C323" s="3">
        <v>45690.507777777777</v>
      </c>
      <c r="D323" t="s">
        <v>145</v>
      </c>
      <c r="E323" s="4">
        <v>5.0000000000000001E-3</v>
      </c>
      <c r="F323" s="4">
        <v>523260.61900000001</v>
      </c>
      <c r="G323" s="4">
        <v>523260.62400000001</v>
      </c>
      <c r="H323" s="5">
        <f>19 / 86400</f>
        <v>2.199074074074074E-4</v>
      </c>
      <c r="I323" t="s">
        <v>60</v>
      </c>
      <c r="J323" t="s">
        <v>41</v>
      </c>
      <c r="K323" s="5">
        <f>30 / 86400</f>
        <v>3.4722222222222224E-4</v>
      </c>
      <c r="L323" s="5">
        <f>348 / 86400</f>
        <v>4.0277777777777777E-3</v>
      </c>
    </row>
    <row r="324" spans="1:12" x14ac:dyDescent="0.25">
      <c r="A324" s="3">
        <v>45690.51180555555</v>
      </c>
      <c r="B324" t="s">
        <v>145</v>
      </c>
      <c r="C324" s="3">
        <v>45690.512199074074</v>
      </c>
      <c r="D324" t="s">
        <v>145</v>
      </c>
      <c r="E324" s="4">
        <v>3.0000000000000001E-3</v>
      </c>
      <c r="F324" s="4">
        <v>523260.62400000001</v>
      </c>
      <c r="G324" s="4">
        <v>523260.62699999998</v>
      </c>
      <c r="H324" s="5">
        <f>19 / 86400</f>
        <v>2.199074074074074E-4</v>
      </c>
      <c r="I324" t="s">
        <v>39</v>
      </c>
      <c r="J324" t="s">
        <v>39</v>
      </c>
      <c r="K324" s="5">
        <f>33 / 86400</f>
        <v>3.8194444444444446E-4</v>
      </c>
      <c r="L324" s="5">
        <f>506 / 86400</f>
        <v>5.8564814814814816E-3</v>
      </c>
    </row>
    <row r="325" spans="1:12" x14ac:dyDescent="0.25">
      <c r="A325" s="3">
        <v>45690.518055555556</v>
      </c>
      <c r="B325" t="s">
        <v>174</v>
      </c>
      <c r="C325" s="3">
        <v>45690.740590277783</v>
      </c>
      <c r="D325" t="s">
        <v>143</v>
      </c>
      <c r="E325" s="4">
        <v>101.65</v>
      </c>
      <c r="F325" s="4">
        <v>523260.62699999998</v>
      </c>
      <c r="G325" s="4">
        <v>523362.277</v>
      </c>
      <c r="H325" s="5">
        <f>6559 / 86400</f>
        <v>7.5914351851851858E-2</v>
      </c>
      <c r="I325" t="s">
        <v>29</v>
      </c>
      <c r="J325" t="s">
        <v>20</v>
      </c>
      <c r="K325" s="5">
        <f>19227 / 86400</f>
        <v>0.22253472222222223</v>
      </c>
      <c r="L325" s="5">
        <f>129 / 86400</f>
        <v>1.4930555555555556E-3</v>
      </c>
    </row>
    <row r="326" spans="1:12" x14ac:dyDescent="0.25">
      <c r="A326" s="3">
        <v>45690.742083333331</v>
      </c>
      <c r="B326" t="s">
        <v>143</v>
      </c>
      <c r="C326" s="3">
        <v>45690.742337962962</v>
      </c>
      <c r="D326" t="s">
        <v>145</v>
      </c>
      <c r="E326" s="4">
        <v>1.7999999999999999E-2</v>
      </c>
      <c r="F326" s="4">
        <v>523362.277</v>
      </c>
      <c r="G326" s="4">
        <v>523362.29499999998</v>
      </c>
      <c r="H326" s="5">
        <f>0 / 86400</f>
        <v>0</v>
      </c>
      <c r="I326" t="s">
        <v>38</v>
      </c>
      <c r="J326" t="s">
        <v>75</v>
      </c>
      <c r="K326" s="5">
        <f>21 / 86400</f>
        <v>2.4305555555555555E-4</v>
      </c>
      <c r="L326" s="5">
        <f>234 / 86400</f>
        <v>2.7083333333333334E-3</v>
      </c>
    </row>
    <row r="327" spans="1:12" x14ac:dyDescent="0.25">
      <c r="A327" s="3">
        <v>45690.745046296295</v>
      </c>
      <c r="B327" t="s">
        <v>145</v>
      </c>
      <c r="C327" s="3">
        <v>45690.802731481483</v>
      </c>
      <c r="D327" t="s">
        <v>233</v>
      </c>
      <c r="E327" s="4">
        <v>22.577000000000002</v>
      </c>
      <c r="F327" s="4">
        <v>523362.29499999998</v>
      </c>
      <c r="G327" s="4">
        <v>523384.87199999997</v>
      </c>
      <c r="H327" s="5">
        <f>1701 / 86400</f>
        <v>1.96875E-2</v>
      </c>
      <c r="I327" t="s">
        <v>161</v>
      </c>
      <c r="J327" t="s">
        <v>97</v>
      </c>
      <c r="K327" s="5">
        <f>4983 / 86400</f>
        <v>5.7673611111111113E-2</v>
      </c>
      <c r="L327" s="5">
        <f>842 / 86400</f>
        <v>9.7453703703703695E-3</v>
      </c>
    </row>
    <row r="328" spans="1:12" x14ac:dyDescent="0.25">
      <c r="A328" s="3">
        <v>45690.812476851846</v>
      </c>
      <c r="B328" t="s">
        <v>112</v>
      </c>
      <c r="C328" s="3">
        <v>45690.818506944444</v>
      </c>
      <c r="D328" t="s">
        <v>53</v>
      </c>
      <c r="E328" s="4">
        <v>2.694</v>
      </c>
      <c r="F328" s="4">
        <v>523384.87199999997</v>
      </c>
      <c r="G328" s="4">
        <v>523387.56599999999</v>
      </c>
      <c r="H328" s="5">
        <f>100 / 86400</f>
        <v>1.1574074074074073E-3</v>
      </c>
      <c r="I328" t="s">
        <v>192</v>
      </c>
      <c r="J328" t="s">
        <v>20</v>
      </c>
      <c r="K328" s="5">
        <f>521 / 86400</f>
        <v>6.030092592592593E-3</v>
      </c>
      <c r="L328" s="5">
        <f>15680 / 86400</f>
        <v>0.18148148148148149</v>
      </c>
    </row>
    <row r="329" spans="1:12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</row>
    <row r="330" spans="1:12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</row>
    <row r="331" spans="1:12" s="10" customFormat="1" ht="20.100000000000001" customHeight="1" x14ac:dyDescent="0.35">
      <c r="A331" s="15" t="s">
        <v>319</v>
      </c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2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</row>
    <row r="333" spans="1:12" ht="30" x14ac:dyDescent="0.25">
      <c r="A333" s="2" t="s">
        <v>6</v>
      </c>
      <c r="B333" s="2" t="s">
        <v>7</v>
      </c>
      <c r="C333" s="2" t="s">
        <v>8</v>
      </c>
      <c r="D333" s="2" t="s">
        <v>9</v>
      </c>
      <c r="E333" s="2" t="s">
        <v>10</v>
      </c>
      <c r="F333" s="2" t="s">
        <v>11</v>
      </c>
      <c r="G333" s="2" t="s">
        <v>12</v>
      </c>
      <c r="H333" s="2" t="s">
        <v>13</v>
      </c>
      <c r="I333" s="2" t="s">
        <v>14</v>
      </c>
      <c r="J333" s="2" t="s">
        <v>15</v>
      </c>
      <c r="K333" s="2" t="s">
        <v>16</v>
      </c>
      <c r="L333" s="2" t="s">
        <v>17</v>
      </c>
    </row>
    <row r="334" spans="1:12" x14ac:dyDescent="0.25">
      <c r="A334" s="3">
        <v>45690.307847222226</v>
      </c>
      <c r="B334" t="s">
        <v>54</v>
      </c>
      <c r="C334" s="3">
        <v>45690.315567129626</v>
      </c>
      <c r="D334" t="s">
        <v>128</v>
      </c>
      <c r="E334" s="4">
        <v>1.897</v>
      </c>
      <c r="F334" s="4">
        <v>343342.565</v>
      </c>
      <c r="G334" s="4">
        <v>343344.462</v>
      </c>
      <c r="H334" s="5">
        <f>179 / 86400</f>
        <v>2.0717592592592593E-3</v>
      </c>
      <c r="I334" t="s">
        <v>234</v>
      </c>
      <c r="J334" t="s">
        <v>24</v>
      </c>
      <c r="K334" s="5">
        <f>666 / 86400</f>
        <v>7.7083333333333335E-3</v>
      </c>
      <c r="L334" s="5">
        <f>27488 / 86400</f>
        <v>0.31814814814814812</v>
      </c>
    </row>
    <row r="335" spans="1:12" x14ac:dyDescent="0.25">
      <c r="A335" s="3">
        <v>45690.325868055559</v>
      </c>
      <c r="B335" t="s">
        <v>128</v>
      </c>
      <c r="C335" s="3">
        <v>45690.425636574073</v>
      </c>
      <c r="D335" t="s">
        <v>235</v>
      </c>
      <c r="E335" s="4">
        <v>50.973999999999997</v>
      </c>
      <c r="F335" s="4">
        <v>343344.462</v>
      </c>
      <c r="G335" s="4">
        <v>343395.43599999999</v>
      </c>
      <c r="H335" s="5">
        <f>2600 / 86400</f>
        <v>3.0092592592592591E-2</v>
      </c>
      <c r="I335" t="s">
        <v>236</v>
      </c>
      <c r="J335" t="s">
        <v>30</v>
      </c>
      <c r="K335" s="5">
        <f>8620 / 86400</f>
        <v>9.976851851851852E-2</v>
      </c>
      <c r="L335" s="5">
        <f>1999 / 86400</f>
        <v>2.3136574074074073E-2</v>
      </c>
    </row>
    <row r="336" spans="1:12" x14ac:dyDescent="0.25">
      <c r="A336" s="3">
        <v>45690.448773148149</v>
      </c>
      <c r="B336" t="s">
        <v>235</v>
      </c>
      <c r="C336" s="3">
        <v>45690.542210648149</v>
      </c>
      <c r="D336" t="s">
        <v>237</v>
      </c>
      <c r="E336" s="4">
        <v>36.475000000000001</v>
      </c>
      <c r="F336" s="4">
        <v>343395.43599999999</v>
      </c>
      <c r="G336" s="4">
        <v>343431.91100000002</v>
      </c>
      <c r="H336" s="5">
        <f>3260 / 86400</f>
        <v>3.7731481481481484E-2</v>
      </c>
      <c r="I336" t="s">
        <v>19</v>
      </c>
      <c r="J336" t="s">
        <v>97</v>
      </c>
      <c r="K336" s="5">
        <f>8072 / 86400</f>
        <v>9.3425925925925926E-2</v>
      </c>
      <c r="L336" s="5">
        <f>73 / 86400</f>
        <v>8.4490740740740739E-4</v>
      </c>
    </row>
    <row r="337" spans="1:12" x14ac:dyDescent="0.25">
      <c r="A337" s="3">
        <v>45690.54305555555</v>
      </c>
      <c r="B337" t="s">
        <v>237</v>
      </c>
      <c r="C337" s="3">
        <v>45690.567789351851</v>
      </c>
      <c r="D337" t="s">
        <v>219</v>
      </c>
      <c r="E337" s="4">
        <v>13.753</v>
      </c>
      <c r="F337" s="4">
        <v>343431.91100000002</v>
      </c>
      <c r="G337" s="4">
        <v>343445.66399999999</v>
      </c>
      <c r="H337" s="5">
        <f>380 / 86400</f>
        <v>4.3981481481481484E-3</v>
      </c>
      <c r="I337" t="s">
        <v>176</v>
      </c>
      <c r="J337" t="s">
        <v>86</v>
      </c>
      <c r="K337" s="5">
        <f>2137 / 86400</f>
        <v>2.4733796296296295E-2</v>
      </c>
      <c r="L337" s="5">
        <f>2500 / 86400</f>
        <v>2.8935185185185185E-2</v>
      </c>
    </row>
    <row r="338" spans="1:12" x14ac:dyDescent="0.25">
      <c r="A338" s="3">
        <v>45690.596724537041</v>
      </c>
      <c r="B338" t="s">
        <v>219</v>
      </c>
      <c r="C338" s="3">
        <v>45690.805150462962</v>
      </c>
      <c r="D338" t="s">
        <v>140</v>
      </c>
      <c r="E338" s="4">
        <v>100.97</v>
      </c>
      <c r="F338" s="4">
        <v>343445.66399999999</v>
      </c>
      <c r="G338" s="4">
        <v>343546.63400000002</v>
      </c>
      <c r="H338" s="5">
        <f>5857 / 86400</f>
        <v>6.7789351851851851E-2</v>
      </c>
      <c r="I338" t="s">
        <v>55</v>
      </c>
      <c r="J338" t="s">
        <v>58</v>
      </c>
      <c r="K338" s="5">
        <f>18008 / 86400</f>
        <v>0.20842592592592593</v>
      </c>
      <c r="L338" s="5">
        <f>433 / 86400</f>
        <v>5.0115740740740737E-3</v>
      </c>
    </row>
    <row r="339" spans="1:12" x14ac:dyDescent="0.25">
      <c r="A339" s="3">
        <v>45690.810162037036</v>
      </c>
      <c r="B339" t="s">
        <v>140</v>
      </c>
      <c r="C339" s="3">
        <v>45690.811412037037</v>
      </c>
      <c r="D339" t="s">
        <v>238</v>
      </c>
      <c r="E339" s="4">
        <v>0.27600000000000002</v>
      </c>
      <c r="F339" s="4">
        <v>343546.63400000002</v>
      </c>
      <c r="G339" s="4">
        <v>343546.91</v>
      </c>
      <c r="H339" s="5">
        <f>20 / 86400</f>
        <v>2.3148148148148149E-4</v>
      </c>
      <c r="I339" t="s">
        <v>84</v>
      </c>
      <c r="J339" t="s">
        <v>88</v>
      </c>
      <c r="K339" s="5">
        <f>108 / 86400</f>
        <v>1.25E-3</v>
      </c>
      <c r="L339" s="5">
        <f>400 / 86400</f>
        <v>4.6296296296296294E-3</v>
      </c>
    </row>
    <row r="340" spans="1:12" x14ac:dyDescent="0.25">
      <c r="A340" s="3">
        <v>45690.816041666665</v>
      </c>
      <c r="B340" t="s">
        <v>238</v>
      </c>
      <c r="C340" s="3">
        <v>45690.819074074076</v>
      </c>
      <c r="D340" t="s">
        <v>54</v>
      </c>
      <c r="E340" s="4">
        <v>0.33300000000000002</v>
      </c>
      <c r="F340" s="4">
        <v>343546.91</v>
      </c>
      <c r="G340" s="4">
        <v>343547.24300000002</v>
      </c>
      <c r="H340" s="5">
        <f>120 / 86400</f>
        <v>1.3888888888888889E-3</v>
      </c>
      <c r="I340" t="s">
        <v>30</v>
      </c>
      <c r="J340" t="s">
        <v>60</v>
      </c>
      <c r="K340" s="5">
        <f>261 / 86400</f>
        <v>3.0208333333333333E-3</v>
      </c>
      <c r="L340" s="5">
        <f>15631 / 86400</f>
        <v>0.18091435185185184</v>
      </c>
    </row>
    <row r="341" spans="1:12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</row>
    <row r="342" spans="1:12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</row>
    <row r="343" spans="1:12" s="10" customFormat="1" ht="20.100000000000001" customHeight="1" x14ac:dyDescent="0.35">
      <c r="A343" s="15" t="s">
        <v>320</v>
      </c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2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</row>
    <row r="345" spans="1:12" ht="30" x14ac:dyDescent="0.25">
      <c r="A345" s="2" t="s">
        <v>6</v>
      </c>
      <c r="B345" s="2" t="s">
        <v>7</v>
      </c>
      <c r="C345" s="2" t="s">
        <v>8</v>
      </c>
      <c r="D345" s="2" t="s">
        <v>9</v>
      </c>
      <c r="E345" s="2" t="s">
        <v>10</v>
      </c>
      <c r="F345" s="2" t="s">
        <v>11</v>
      </c>
      <c r="G345" s="2" t="s">
        <v>12</v>
      </c>
      <c r="H345" s="2" t="s">
        <v>13</v>
      </c>
      <c r="I345" s="2" t="s">
        <v>14</v>
      </c>
      <c r="J345" s="2" t="s">
        <v>15</v>
      </c>
      <c r="K345" s="2" t="s">
        <v>16</v>
      </c>
      <c r="L345" s="2" t="s">
        <v>17</v>
      </c>
    </row>
    <row r="346" spans="1:12" x14ac:dyDescent="0.25">
      <c r="A346" s="3">
        <v>45690.256631944445</v>
      </c>
      <c r="B346" t="s">
        <v>56</v>
      </c>
      <c r="C346" s="3">
        <v>45690.259849537033</v>
      </c>
      <c r="D346" t="s">
        <v>239</v>
      </c>
      <c r="E346" s="4">
        <v>0.35299999999999998</v>
      </c>
      <c r="F346" s="4">
        <v>424414.37199999997</v>
      </c>
      <c r="G346" s="4">
        <v>424414.72499999998</v>
      </c>
      <c r="H346" s="5">
        <f>178 / 86400</f>
        <v>2.0601851851851853E-3</v>
      </c>
      <c r="I346" t="s">
        <v>97</v>
      </c>
      <c r="J346" t="s">
        <v>60</v>
      </c>
      <c r="K346" s="5">
        <f>278 / 86400</f>
        <v>3.2175925925925926E-3</v>
      </c>
      <c r="L346" s="5">
        <f>22391 / 86400</f>
        <v>0.25915509259259262</v>
      </c>
    </row>
    <row r="347" spans="1:12" x14ac:dyDescent="0.25">
      <c r="A347" s="3">
        <v>45690.262372685189</v>
      </c>
      <c r="B347" t="s">
        <v>239</v>
      </c>
      <c r="C347" s="3">
        <v>45690.345150462963</v>
      </c>
      <c r="D347" t="s">
        <v>142</v>
      </c>
      <c r="E347" s="4">
        <v>46.682000000000002</v>
      </c>
      <c r="F347" s="4">
        <v>424414.72499999998</v>
      </c>
      <c r="G347" s="4">
        <v>424461.40700000001</v>
      </c>
      <c r="H347" s="5">
        <f>1522 / 86400</f>
        <v>1.7615740740740741E-2</v>
      </c>
      <c r="I347" t="s">
        <v>116</v>
      </c>
      <c r="J347" t="s">
        <v>86</v>
      </c>
      <c r="K347" s="5">
        <f>7152 / 86400</f>
        <v>8.2777777777777783E-2</v>
      </c>
      <c r="L347" s="5">
        <f>1361 / 86400</f>
        <v>1.5752314814814816E-2</v>
      </c>
    </row>
    <row r="348" spans="1:12" x14ac:dyDescent="0.25">
      <c r="A348" s="3">
        <v>45690.360902777778</v>
      </c>
      <c r="B348" t="s">
        <v>142</v>
      </c>
      <c r="C348" s="3">
        <v>45690.365034722221</v>
      </c>
      <c r="D348" t="s">
        <v>128</v>
      </c>
      <c r="E348" s="4">
        <v>1.27</v>
      </c>
      <c r="F348" s="4">
        <v>424461.40700000001</v>
      </c>
      <c r="G348" s="4">
        <v>424462.67700000003</v>
      </c>
      <c r="H348" s="5">
        <f>59 / 86400</f>
        <v>6.8287037037037036E-4</v>
      </c>
      <c r="I348" t="s">
        <v>156</v>
      </c>
      <c r="J348" t="s">
        <v>151</v>
      </c>
      <c r="K348" s="5">
        <f>356 / 86400</f>
        <v>4.1203703703703706E-3</v>
      </c>
      <c r="L348" s="5">
        <f>2544 / 86400</f>
        <v>2.9444444444444443E-2</v>
      </c>
    </row>
    <row r="349" spans="1:12" x14ac:dyDescent="0.25">
      <c r="A349" s="3">
        <v>45690.394479166665</v>
      </c>
      <c r="B349" t="s">
        <v>128</v>
      </c>
      <c r="C349" s="3">
        <v>45690.466828703706</v>
      </c>
      <c r="D349" t="s">
        <v>129</v>
      </c>
      <c r="E349" s="4">
        <v>39.598999999999997</v>
      </c>
      <c r="F349" s="4">
        <v>424462.67700000003</v>
      </c>
      <c r="G349" s="4">
        <v>424502.27600000001</v>
      </c>
      <c r="H349" s="5">
        <f>1200 / 86400</f>
        <v>1.3888888888888888E-2</v>
      </c>
      <c r="I349" t="s">
        <v>116</v>
      </c>
      <c r="J349" t="s">
        <v>86</v>
      </c>
      <c r="K349" s="5">
        <f>6251 / 86400</f>
        <v>7.2349537037037032E-2</v>
      </c>
      <c r="L349" s="5">
        <f>50 / 86400</f>
        <v>5.7870370370370367E-4</v>
      </c>
    </row>
    <row r="350" spans="1:12" x14ac:dyDescent="0.25">
      <c r="A350" s="3">
        <v>45690.467407407406</v>
      </c>
      <c r="B350" t="s">
        <v>129</v>
      </c>
      <c r="C350" s="3">
        <v>45690.552546296298</v>
      </c>
      <c r="D350" t="s">
        <v>240</v>
      </c>
      <c r="E350" s="4">
        <v>40.374000000000002</v>
      </c>
      <c r="F350" s="4">
        <v>424502.27600000001</v>
      </c>
      <c r="G350" s="4">
        <v>424542.65</v>
      </c>
      <c r="H350" s="5">
        <f>1839 / 86400</f>
        <v>2.1284722222222222E-2</v>
      </c>
      <c r="I350" t="s">
        <v>241</v>
      </c>
      <c r="J350" t="s">
        <v>58</v>
      </c>
      <c r="K350" s="5">
        <f>7355 / 86400</f>
        <v>8.5127314814814808E-2</v>
      </c>
      <c r="L350" s="5">
        <f>3740 / 86400</f>
        <v>4.3287037037037034E-2</v>
      </c>
    </row>
    <row r="351" spans="1:12" x14ac:dyDescent="0.25">
      <c r="A351" s="3">
        <v>45690.595833333333</v>
      </c>
      <c r="B351" t="s">
        <v>240</v>
      </c>
      <c r="C351" s="3">
        <v>45690.598333333328</v>
      </c>
      <c r="D351" t="s">
        <v>140</v>
      </c>
      <c r="E351" s="4">
        <v>0.85299999999999998</v>
      </c>
      <c r="F351" s="4">
        <v>424542.65</v>
      </c>
      <c r="G351" s="4">
        <v>424543.50300000003</v>
      </c>
      <c r="H351" s="5">
        <f>20 / 86400</f>
        <v>2.3148148148148149E-4</v>
      </c>
      <c r="I351" t="s">
        <v>51</v>
      </c>
      <c r="J351" t="s">
        <v>127</v>
      </c>
      <c r="K351" s="5">
        <f>215 / 86400</f>
        <v>2.488425925925926E-3</v>
      </c>
      <c r="L351" s="5">
        <f>852 / 86400</f>
        <v>9.8611111111111104E-3</v>
      </c>
    </row>
    <row r="352" spans="1:12" x14ac:dyDescent="0.25">
      <c r="A352" s="3">
        <v>45690.608194444445</v>
      </c>
      <c r="B352" t="s">
        <v>140</v>
      </c>
      <c r="C352" s="3">
        <v>45690.609201388885</v>
      </c>
      <c r="D352" t="s">
        <v>216</v>
      </c>
      <c r="E352" s="4">
        <v>0.255</v>
      </c>
      <c r="F352" s="4">
        <v>424543.50300000003</v>
      </c>
      <c r="G352" s="4">
        <v>424543.75799999997</v>
      </c>
      <c r="H352" s="5">
        <f>20 / 86400</f>
        <v>2.3148148148148149E-4</v>
      </c>
      <c r="I352" t="s">
        <v>84</v>
      </c>
      <c r="J352" t="s">
        <v>144</v>
      </c>
      <c r="K352" s="5">
        <f>87 / 86400</f>
        <v>1.0069444444444444E-3</v>
      </c>
      <c r="L352" s="5">
        <f>440 / 86400</f>
        <v>5.092592592592593E-3</v>
      </c>
    </row>
    <row r="353" spans="1:12" x14ac:dyDescent="0.25">
      <c r="A353" s="3">
        <v>45690.614293981482</v>
      </c>
      <c r="B353" t="s">
        <v>216</v>
      </c>
      <c r="C353" s="3">
        <v>45690.61546296296</v>
      </c>
      <c r="D353" t="s">
        <v>216</v>
      </c>
      <c r="E353" s="4">
        <v>2.9000000000000001E-2</v>
      </c>
      <c r="F353" s="4">
        <v>424543.75799999997</v>
      </c>
      <c r="G353" s="4">
        <v>424543.78700000001</v>
      </c>
      <c r="H353" s="5">
        <f>59 / 86400</f>
        <v>6.8287037037037036E-4</v>
      </c>
      <c r="I353" t="s">
        <v>38</v>
      </c>
      <c r="J353" t="s">
        <v>41</v>
      </c>
      <c r="K353" s="5">
        <f>101 / 86400</f>
        <v>1.1689814814814816E-3</v>
      </c>
      <c r="L353" s="5">
        <f>1706 / 86400</f>
        <v>1.9745370370370371E-2</v>
      </c>
    </row>
    <row r="354" spans="1:12" x14ac:dyDescent="0.25">
      <c r="A354" s="3">
        <v>45690.635208333333</v>
      </c>
      <c r="B354" t="s">
        <v>216</v>
      </c>
      <c r="C354" s="3">
        <v>45690.715277777781</v>
      </c>
      <c r="D354" t="s">
        <v>170</v>
      </c>
      <c r="E354" s="4">
        <v>39.645000000000003</v>
      </c>
      <c r="F354" s="4">
        <v>424543.78700000001</v>
      </c>
      <c r="G354" s="4">
        <v>424583.43199999997</v>
      </c>
      <c r="H354" s="5">
        <f>1918 / 86400</f>
        <v>2.2199074074074072E-2</v>
      </c>
      <c r="I354" t="s">
        <v>57</v>
      </c>
      <c r="J354" t="s">
        <v>30</v>
      </c>
      <c r="K354" s="5">
        <f>6918 / 86400</f>
        <v>8.0069444444444443E-2</v>
      </c>
      <c r="L354" s="5">
        <f>1196 / 86400</f>
        <v>1.3842592592592592E-2</v>
      </c>
    </row>
    <row r="355" spans="1:12" x14ac:dyDescent="0.25">
      <c r="A355" s="3">
        <v>45690.729120370372</v>
      </c>
      <c r="B355" t="s">
        <v>242</v>
      </c>
      <c r="C355" s="3">
        <v>45690.730949074074</v>
      </c>
      <c r="D355" t="s">
        <v>243</v>
      </c>
      <c r="E355" s="4">
        <v>0.46400000000000002</v>
      </c>
      <c r="F355" s="4">
        <v>424583.43199999997</v>
      </c>
      <c r="G355" s="4">
        <v>424583.89600000001</v>
      </c>
      <c r="H355" s="5">
        <f>80 / 86400</f>
        <v>9.2592592592592596E-4</v>
      </c>
      <c r="I355" t="s">
        <v>149</v>
      </c>
      <c r="J355" t="s">
        <v>144</v>
      </c>
      <c r="K355" s="5">
        <f>158 / 86400</f>
        <v>1.8287037037037037E-3</v>
      </c>
      <c r="L355" s="5">
        <f>108 / 86400</f>
        <v>1.25E-3</v>
      </c>
    </row>
    <row r="356" spans="1:12" x14ac:dyDescent="0.25">
      <c r="A356" s="3">
        <v>45690.732199074075</v>
      </c>
      <c r="B356" t="s">
        <v>129</v>
      </c>
      <c r="C356" s="3">
        <v>45690.73265046296</v>
      </c>
      <c r="D356" t="s">
        <v>129</v>
      </c>
      <c r="E356" s="4">
        <v>0</v>
      </c>
      <c r="F356" s="4">
        <v>424583.89600000001</v>
      </c>
      <c r="G356" s="4">
        <v>424583.89600000001</v>
      </c>
      <c r="H356" s="5">
        <f>19 / 86400</f>
        <v>2.199074074074074E-4</v>
      </c>
      <c r="I356" t="s">
        <v>39</v>
      </c>
      <c r="J356" t="s">
        <v>39</v>
      </c>
      <c r="K356" s="5">
        <f>38 / 86400</f>
        <v>4.3981481481481481E-4</v>
      </c>
      <c r="L356" s="5">
        <f>129 / 86400</f>
        <v>1.4930555555555556E-3</v>
      </c>
    </row>
    <row r="357" spans="1:12" x14ac:dyDescent="0.25">
      <c r="A357" s="3">
        <v>45690.734143518523</v>
      </c>
      <c r="B357" t="s">
        <v>129</v>
      </c>
      <c r="C357" s="3">
        <v>45690.734432870369</v>
      </c>
      <c r="D357" t="s">
        <v>129</v>
      </c>
      <c r="E357" s="4">
        <v>0</v>
      </c>
      <c r="F357" s="4">
        <v>424583.89600000001</v>
      </c>
      <c r="G357" s="4">
        <v>424583.89600000001</v>
      </c>
      <c r="H357" s="5">
        <f>19 / 86400</f>
        <v>2.199074074074074E-4</v>
      </c>
      <c r="I357" t="s">
        <v>39</v>
      </c>
      <c r="J357" t="s">
        <v>39</v>
      </c>
      <c r="K357" s="5">
        <f>25 / 86400</f>
        <v>2.8935185185185184E-4</v>
      </c>
      <c r="L357" s="5">
        <f>112 / 86400</f>
        <v>1.2962962962962963E-3</v>
      </c>
    </row>
    <row r="358" spans="1:12" x14ac:dyDescent="0.25">
      <c r="A358" s="3">
        <v>45690.73572916667</v>
      </c>
      <c r="B358" t="s">
        <v>129</v>
      </c>
      <c r="C358" s="3">
        <v>45690.76829861111</v>
      </c>
      <c r="D358" t="s">
        <v>244</v>
      </c>
      <c r="E358" s="4">
        <v>10.367000000000001</v>
      </c>
      <c r="F358" s="4">
        <v>424583.89600000001</v>
      </c>
      <c r="G358" s="4">
        <v>424594.26299999998</v>
      </c>
      <c r="H358" s="5">
        <f>1119 / 86400</f>
        <v>1.2951388888888889E-2</v>
      </c>
      <c r="I358" t="s">
        <v>245</v>
      </c>
      <c r="J358" t="s">
        <v>151</v>
      </c>
      <c r="K358" s="5">
        <f>2814 / 86400</f>
        <v>3.2569444444444443E-2</v>
      </c>
      <c r="L358" s="5">
        <f>368 / 86400</f>
        <v>4.2592592592592595E-3</v>
      </c>
    </row>
    <row r="359" spans="1:12" x14ac:dyDescent="0.25">
      <c r="A359" s="3">
        <v>45690.772557870368</v>
      </c>
      <c r="B359" t="s">
        <v>244</v>
      </c>
      <c r="C359" s="3">
        <v>45690.777141203704</v>
      </c>
      <c r="D359" t="s">
        <v>56</v>
      </c>
      <c r="E359" s="4">
        <v>0.40100000000000002</v>
      </c>
      <c r="F359" s="4">
        <v>424594.26299999998</v>
      </c>
      <c r="G359" s="4">
        <v>424594.66399999999</v>
      </c>
      <c r="H359" s="5">
        <f>200 / 86400</f>
        <v>2.3148148148148147E-3</v>
      </c>
      <c r="I359" t="s">
        <v>24</v>
      </c>
      <c r="J359" t="s">
        <v>163</v>
      </c>
      <c r="K359" s="5">
        <f>395 / 86400</f>
        <v>4.5717592592592589E-3</v>
      </c>
      <c r="L359" s="5">
        <f>263 / 86400</f>
        <v>3.0439814814814813E-3</v>
      </c>
    </row>
    <row r="360" spans="1:12" x14ac:dyDescent="0.25">
      <c r="A360" s="3">
        <v>45690.780185185184</v>
      </c>
      <c r="B360" t="s">
        <v>56</v>
      </c>
      <c r="C360" s="3">
        <v>45690.780358796299</v>
      </c>
      <c r="D360" t="s">
        <v>56</v>
      </c>
      <c r="E360" s="4">
        <v>0</v>
      </c>
      <c r="F360" s="4">
        <v>424594.66399999999</v>
      </c>
      <c r="G360" s="4">
        <v>424594.66399999999</v>
      </c>
      <c r="H360" s="5">
        <f>0 / 86400</f>
        <v>0</v>
      </c>
      <c r="I360" t="s">
        <v>39</v>
      </c>
      <c r="J360" t="s">
        <v>39</v>
      </c>
      <c r="K360" s="5">
        <f>15 / 86400</f>
        <v>1.7361111111111112E-4</v>
      </c>
      <c r="L360" s="5">
        <f>18976 / 86400</f>
        <v>0.21962962962962962</v>
      </c>
    </row>
    <row r="361" spans="1:12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</row>
    <row r="362" spans="1:12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</row>
    <row r="363" spans="1:12" s="10" customFormat="1" ht="20.100000000000001" customHeight="1" x14ac:dyDescent="0.35">
      <c r="A363" s="15" t="s">
        <v>321</v>
      </c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2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</row>
    <row r="365" spans="1:12" ht="30" x14ac:dyDescent="0.25">
      <c r="A365" s="2" t="s">
        <v>6</v>
      </c>
      <c r="B365" s="2" t="s">
        <v>7</v>
      </c>
      <c r="C365" s="2" t="s">
        <v>8</v>
      </c>
      <c r="D365" s="2" t="s">
        <v>9</v>
      </c>
      <c r="E365" s="2" t="s">
        <v>10</v>
      </c>
      <c r="F365" s="2" t="s">
        <v>11</v>
      </c>
      <c r="G365" s="2" t="s">
        <v>12</v>
      </c>
      <c r="H365" s="2" t="s">
        <v>13</v>
      </c>
      <c r="I365" s="2" t="s">
        <v>14</v>
      </c>
      <c r="J365" s="2" t="s">
        <v>15</v>
      </c>
      <c r="K365" s="2" t="s">
        <v>16</v>
      </c>
      <c r="L365" s="2" t="s">
        <v>17</v>
      </c>
    </row>
    <row r="366" spans="1:12" x14ac:dyDescent="0.25">
      <c r="A366" s="3">
        <v>45690.258726851855</v>
      </c>
      <c r="B366" t="s">
        <v>25</v>
      </c>
      <c r="C366" s="3">
        <v>45690.265972222223</v>
      </c>
      <c r="D366" t="s">
        <v>102</v>
      </c>
      <c r="E366" s="4">
        <v>0.33600000000000002</v>
      </c>
      <c r="F366" s="4">
        <v>11028.957</v>
      </c>
      <c r="G366" s="4">
        <v>11029.293</v>
      </c>
      <c r="H366" s="5">
        <f>498 / 86400</f>
        <v>5.7638888888888887E-3</v>
      </c>
      <c r="I366" t="s">
        <v>97</v>
      </c>
      <c r="J366" t="s">
        <v>79</v>
      </c>
      <c r="K366" s="5">
        <f>626 / 86400</f>
        <v>7.2453703703703708E-3</v>
      </c>
      <c r="L366" s="5">
        <f>22391 / 86400</f>
        <v>0.25915509259259262</v>
      </c>
    </row>
    <row r="367" spans="1:12" x14ac:dyDescent="0.25">
      <c r="A367" s="3">
        <v>45690.266400462962</v>
      </c>
      <c r="B367" t="s">
        <v>102</v>
      </c>
      <c r="C367" s="3">
        <v>45690.343298611115</v>
      </c>
      <c r="D367" t="s">
        <v>246</v>
      </c>
      <c r="E367" s="4">
        <v>32.756</v>
      </c>
      <c r="F367" s="4">
        <v>11029.293</v>
      </c>
      <c r="G367" s="4">
        <v>11062.049000000001</v>
      </c>
      <c r="H367" s="5">
        <f>2014 / 86400</f>
        <v>2.3310185185185184E-2</v>
      </c>
      <c r="I367" t="s">
        <v>231</v>
      </c>
      <c r="J367" t="s">
        <v>33</v>
      </c>
      <c r="K367" s="5">
        <f>6643 / 86400</f>
        <v>7.6886574074074079E-2</v>
      </c>
      <c r="L367" s="5">
        <f>47 / 86400</f>
        <v>5.4398148148148144E-4</v>
      </c>
    </row>
    <row r="368" spans="1:12" x14ac:dyDescent="0.25">
      <c r="A368" s="3">
        <v>45690.343842592592</v>
      </c>
      <c r="B368" t="s">
        <v>246</v>
      </c>
      <c r="C368" s="3">
        <v>45690.4453125</v>
      </c>
      <c r="D368" t="s">
        <v>140</v>
      </c>
      <c r="E368" s="4">
        <v>49.902999999999999</v>
      </c>
      <c r="F368" s="4">
        <v>11062.049000000001</v>
      </c>
      <c r="G368" s="4">
        <v>11111.951999999999</v>
      </c>
      <c r="H368" s="5">
        <f>2401 / 86400</f>
        <v>2.7789351851851853E-2</v>
      </c>
      <c r="I368" t="s">
        <v>176</v>
      </c>
      <c r="J368" t="s">
        <v>58</v>
      </c>
      <c r="K368" s="5">
        <f>8767 / 86400</f>
        <v>0.10146990740740741</v>
      </c>
      <c r="L368" s="5">
        <f>103 / 86400</f>
        <v>1.1921296296296296E-3</v>
      </c>
    </row>
    <row r="369" spans="1:12" x14ac:dyDescent="0.25">
      <c r="A369" s="3">
        <v>45690.446504629625</v>
      </c>
      <c r="B369" t="s">
        <v>140</v>
      </c>
      <c r="C369" s="3">
        <v>45690.449525462958</v>
      </c>
      <c r="D369" t="s">
        <v>48</v>
      </c>
      <c r="E369" s="4">
        <v>0.873</v>
      </c>
      <c r="F369" s="4">
        <v>11111.951999999999</v>
      </c>
      <c r="G369" s="4">
        <v>11112.825000000001</v>
      </c>
      <c r="H369" s="5">
        <f>59 / 86400</f>
        <v>6.8287037037037036E-4</v>
      </c>
      <c r="I369" t="s">
        <v>136</v>
      </c>
      <c r="J369" t="s">
        <v>125</v>
      </c>
      <c r="K369" s="5">
        <f>260 / 86400</f>
        <v>3.0092592592592593E-3</v>
      </c>
      <c r="L369" s="5">
        <f>1351 / 86400</f>
        <v>1.5636574074074074E-2</v>
      </c>
    </row>
    <row r="370" spans="1:12" x14ac:dyDescent="0.25">
      <c r="A370" s="3">
        <v>45690.465162037042</v>
      </c>
      <c r="B370" t="s">
        <v>48</v>
      </c>
      <c r="C370" s="3">
        <v>45690.467800925922</v>
      </c>
      <c r="D370" t="s">
        <v>128</v>
      </c>
      <c r="E370" s="4">
        <v>0.79700000000000004</v>
      </c>
      <c r="F370" s="4">
        <v>11112.825000000001</v>
      </c>
      <c r="G370" s="4">
        <v>11113.621999999999</v>
      </c>
      <c r="H370" s="5">
        <f>0 / 86400</f>
        <v>0</v>
      </c>
      <c r="I370" t="s">
        <v>84</v>
      </c>
      <c r="J370" t="s">
        <v>151</v>
      </c>
      <c r="K370" s="5">
        <f>227 / 86400</f>
        <v>2.627314814814815E-3</v>
      </c>
      <c r="L370" s="5">
        <f>539 / 86400</f>
        <v>6.2384259259259259E-3</v>
      </c>
    </row>
    <row r="371" spans="1:12" x14ac:dyDescent="0.25">
      <c r="A371" s="3">
        <v>45690.474039351851</v>
      </c>
      <c r="B371" t="s">
        <v>128</v>
      </c>
      <c r="C371" s="3">
        <v>45690.687627314815</v>
      </c>
      <c r="D371" t="s">
        <v>247</v>
      </c>
      <c r="E371" s="4">
        <v>101.34399999999999</v>
      </c>
      <c r="F371" s="4">
        <v>11113.621999999999</v>
      </c>
      <c r="G371" s="4">
        <v>11214.966</v>
      </c>
      <c r="H371" s="5">
        <f>6299 / 86400</f>
        <v>7.2905092592592591E-2</v>
      </c>
      <c r="I371" t="s">
        <v>31</v>
      </c>
      <c r="J371" t="s">
        <v>58</v>
      </c>
      <c r="K371" s="5">
        <f>18453 / 86400</f>
        <v>0.21357638888888889</v>
      </c>
      <c r="L371" s="5">
        <f>52 / 86400</f>
        <v>6.018518518518519E-4</v>
      </c>
    </row>
    <row r="372" spans="1:12" x14ac:dyDescent="0.25">
      <c r="A372" s="3">
        <v>45690.68822916667</v>
      </c>
      <c r="B372" t="s">
        <v>248</v>
      </c>
      <c r="C372" s="3">
        <v>45690.732511574075</v>
      </c>
      <c r="D372" t="s">
        <v>249</v>
      </c>
      <c r="E372" s="4">
        <v>19.896999999999998</v>
      </c>
      <c r="F372" s="4">
        <v>11214.966</v>
      </c>
      <c r="G372" s="4">
        <v>11234.862999999999</v>
      </c>
      <c r="H372" s="5">
        <f>1259 / 86400</f>
        <v>1.457175925925926E-2</v>
      </c>
      <c r="I372" t="s">
        <v>214</v>
      </c>
      <c r="J372" t="s">
        <v>20</v>
      </c>
      <c r="K372" s="5">
        <f>3826 / 86400</f>
        <v>4.4282407407407409E-2</v>
      </c>
      <c r="L372" s="5">
        <f>315 / 86400</f>
        <v>3.6458333333333334E-3</v>
      </c>
    </row>
    <row r="373" spans="1:12" x14ac:dyDescent="0.25">
      <c r="A373" s="3">
        <v>45690.736157407402</v>
      </c>
      <c r="B373" t="s">
        <v>249</v>
      </c>
      <c r="C373" s="3">
        <v>45690.73836805555</v>
      </c>
      <c r="D373" t="s">
        <v>169</v>
      </c>
      <c r="E373" s="4">
        <v>0.55200000000000005</v>
      </c>
      <c r="F373" s="4">
        <v>11234.862999999999</v>
      </c>
      <c r="G373" s="4">
        <v>11235.415000000001</v>
      </c>
      <c r="H373" s="5">
        <f>40 / 86400</f>
        <v>4.6296296296296298E-4</v>
      </c>
      <c r="I373" t="s">
        <v>139</v>
      </c>
      <c r="J373" t="s">
        <v>24</v>
      </c>
      <c r="K373" s="5">
        <f>190 / 86400</f>
        <v>2.1990740740740742E-3</v>
      </c>
      <c r="L373" s="5">
        <f>425 / 86400</f>
        <v>4.9189814814814816E-3</v>
      </c>
    </row>
    <row r="374" spans="1:12" x14ac:dyDescent="0.25">
      <c r="A374" s="3">
        <v>45690.743287037039</v>
      </c>
      <c r="B374" t="s">
        <v>169</v>
      </c>
      <c r="C374" s="3">
        <v>45690.743969907402</v>
      </c>
      <c r="D374" t="s">
        <v>169</v>
      </c>
      <c r="E374" s="4">
        <v>0.216</v>
      </c>
      <c r="F374" s="4">
        <v>11235.415000000001</v>
      </c>
      <c r="G374" s="4">
        <v>11235.630999999999</v>
      </c>
      <c r="H374" s="5">
        <f>0 / 86400</f>
        <v>0</v>
      </c>
      <c r="I374" t="s">
        <v>97</v>
      </c>
      <c r="J374" t="s">
        <v>151</v>
      </c>
      <c r="K374" s="5">
        <f>59 / 86400</f>
        <v>6.8287037037037036E-4</v>
      </c>
      <c r="L374" s="5">
        <f>209 / 86400</f>
        <v>2.4189814814814816E-3</v>
      </c>
    </row>
    <row r="375" spans="1:12" x14ac:dyDescent="0.25">
      <c r="A375" s="3">
        <v>45690.746388888889</v>
      </c>
      <c r="B375" t="s">
        <v>169</v>
      </c>
      <c r="C375" s="3">
        <v>45690.750879629632</v>
      </c>
      <c r="D375" t="s">
        <v>102</v>
      </c>
      <c r="E375" s="4">
        <v>0.59299999999999997</v>
      </c>
      <c r="F375" s="4">
        <v>11235.630999999999</v>
      </c>
      <c r="G375" s="4">
        <v>11236.224</v>
      </c>
      <c r="H375" s="5">
        <f>199 / 86400</f>
        <v>2.3032407407407407E-3</v>
      </c>
      <c r="I375" t="s">
        <v>27</v>
      </c>
      <c r="J375" t="s">
        <v>38</v>
      </c>
      <c r="K375" s="5">
        <f>388 / 86400</f>
        <v>4.4907407407407405E-3</v>
      </c>
      <c r="L375" s="5">
        <f>59 / 86400</f>
        <v>6.8287037037037036E-4</v>
      </c>
    </row>
    <row r="376" spans="1:12" x14ac:dyDescent="0.25">
      <c r="A376" s="3">
        <v>45690.751562500001</v>
      </c>
      <c r="B376" t="s">
        <v>102</v>
      </c>
      <c r="C376" s="3">
        <v>45690.75167824074</v>
      </c>
      <c r="D376" t="s">
        <v>102</v>
      </c>
      <c r="E376" s="4">
        <v>5.0000000000000001E-3</v>
      </c>
      <c r="F376" s="4">
        <v>11236.224</v>
      </c>
      <c r="G376" s="4">
        <v>11236.228999999999</v>
      </c>
      <c r="H376" s="5">
        <f>0 / 86400</f>
        <v>0</v>
      </c>
      <c r="I376" t="s">
        <v>39</v>
      </c>
      <c r="J376" t="s">
        <v>79</v>
      </c>
      <c r="K376" s="5">
        <f>10 / 86400</f>
        <v>1.1574074074074075E-4</v>
      </c>
      <c r="L376" s="5">
        <f>146 / 86400</f>
        <v>1.6898148148148148E-3</v>
      </c>
    </row>
    <row r="377" spans="1:12" x14ac:dyDescent="0.25">
      <c r="A377" s="3">
        <v>45690.753368055557</v>
      </c>
      <c r="B377" t="s">
        <v>102</v>
      </c>
      <c r="C377" s="3">
        <v>45690.753645833334</v>
      </c>
      <c r="D377" t="s">
        <v>102</v>
      </c>
      <c r="E377" s="4">
        <v>0</v>
      </c>
      <c r="F377" s="4">
        <v>11236.228999999999</v>
      </c>
      <c r="G377" s="4">
        <v>11236.228999999999</v>
      </c>
      <c r="H377" s="5">
        <f>19 / 86400</f>
        <v>2.199074074074074E-4</v>
      </c>
      <c r="I377" t="s">
        <v>39</v>
      </c>
      <c r="J377" t="s">
        <v>39</v>
      </c>
      <c r="K377" s="5">
        <f>23 / 86400</f>
        <v>2.6620370370370372E-4</v>
      </c>
      <c r="L377" s="5">
        <f>37 / 86400</f>
        <v>4.2824074074074075E-4</v>
      </c>
    </row>
    <row r="378" spans="1:12" x14ac:dyDescent="0.25">
      <c r="A378" s="3">
        <v>45690.754074074073</v>
      </c>
      <c r="B378" t="s">
        <v>102</v>
      </c>
      <c r="C378" s="3">
        <v>45690.758587962962</v>
      </c>
      <c r="D378" t="s">
        <v>25</v>
      </c>
      <c r="E378" s="4">
        <v>0.64600000000000002</v>
      </c>
      <c r="F378" s="4">
        <v>11236.228999999999</v>
      </c>
      <c r="G378" s="4">
        <v>11236.875</v>
      </c>
      <c r="H378" s="5">
        <f>160 / 86400</f>
        <v>1.8518518518518519E-3</v>
      </c>
      <c r="I378" t="s">
        <v>84</v>
      </c>
      <c r="J378" t="s">
        <v>38</v>
      </c>
      <c r="K378" s="5">
        <f>389 / 86400</f>
        <v>4.5023148148148149E-3</v>
      </c>
      <c r="L378" s="5">
        <f>20857 / 86400</f>
        <v>0.24140046296296297</v>
      </c>
    </row>
    <row r="379" spans="1:12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</row>
    <row r="380" spans="1:12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</row>
    <row r="381" spans="1:12" s="10" customFormat="1" ht="20.100000000000001" customHeight="1" x14ac:dyDescent="0.35">
      <c r="A381" s="15" t="s">
        <v>322</v>
      </c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2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</row>
    <row r="383" spans="1:12" ht="30" x14ac:dyDescent="0.25">
      <c r="A383" s="2" t="s">
        <v>6</v>
      </c>
      <c r="B383" s="2" t="s">
        <v>7</v>
      </c>
      <c r="C383" s="2" t="s">
        <v>8</v>
      </c>
      <c r="D383" s="2" t="s">
        <v>9</v>
      </c>
      <c r="E383" s="2" t="s">
        <v>10</v>
      </c>
      <c r="F383" s="2" t="s">
        <v>11</v>
      </c>
      <c r="G383" s="2" t="s">
        <v>12</v>
      </c>
      <c r="H383" s="2" t="s">
        <v>13</v>
      </c>
      <c r="I383" s="2" t="s">
        <v>14</v>
      </c>
      <c r="J383" s="2" t="s">
        <v>15</v>
      </c>
      <c r="K383" s="2" t="s">
        <v>16</v>
      </c>
      <c r="L383" s="2" t="s">
        <v>17</v>
      </c>
    </row>
    <row r="384" spans="1:12" x14ac:dyDescent="0.25">
      <c r="A384" s="3">
        <v>45690.611909722225</v>
      </c>
      <c r="B384" t="s">
        <v>59</v>
      </c>
      <c r="C384" s="3">
        <v>45690.614594907413</v>
      </c>
      <c r="D384" t="s">
        <v>59</v>
      </c>
      <c r="E384" s="4">
        <v>1.7999999999999999E-2</v>
      </c>
      <c r="F384" s="4">
        <v>137244.01800000001</v>
      </c>
      <c r="G384" s="4">
        <v>137244.03599999999</v>
      </c>
      <c r="H384" s="5">
        <f>219 / 86400</f>
        <v>2.5347222222222221E-3</v>
      </c>
      <c r="I384" t="s">
        <v>60</v>
      </c>
      <c r="J384" t="s">
        <v>39</v>
      </c>
      <c r="K384" s="5">
        <f>231 / 86400</f>
        <v>2.673611111111111E-3</v>
      </c>
      <c r="L384" s="5">
        <f>56888 / 86400</f>
        <v>0.65842592592592597</v>
      </c>
    </row>
    <row r="385" spans="1:12" x14ac:dyDescent="0.25">
      <c r="A385" s="3">
        <v>45690.661111111112</v>
      </c>
      <c r="B385" t="s">
        <v>59</v>
      </c>
      <c r="C385" s="3">
        <v>45690.665347222224</v>
      </c>
      <c r="D385" t="s">
        <v>59</v>
      </c>
      <c r="E385" s="4">
        <v>3.6999999999999998E-2</v>
      </c>
      <c r="F385" s="4">
        <v>137244.03599999999</v>
      </c>
      <c r="G385" s="4">
        <v>137244.073</v>
      </c>
      <c r="H385" s="5">
        <f>299 / 86400</f>
        <v>3.460648148148148E-3</v>
      </c>
      <c r="I385" t="s">
        <v>60</v>
      </c>
      <c r="J385" t="s">
        <v>39</v>
      </c>
      <c r="K385" s="5">
        <f>365 / 86400</f>
        <v>4.2245370370370371E-3</v>
      </c>
      <c r="L385" s="5">
        <f>28913 / 86400</f>
        <v>0.3346412037037037</v>
      </c>
    </row>
    <row r="386" spans="1:12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</row>
    <row r="387" spans="1:12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</row>
    <row r="388" spans="1:12" s="10" customFormat="1" ht="20.100000000000001" customHeight="1" x14ac:dyDescent="0.35">
      <c r="A388" s="15" t="s">
        <v>323</v>
      </c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2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</row>
    <row r="390" spans="1:12" ht="30" x14ac:dyDescent="0.25">
      <c r="A390" s="2" t="s">
        <v>6</v>
      </c>
      <c r="B390" s="2" t="s">
        <v>7</v>
      </c>
      <c r="C390" s="2" t="s">
        <v>8</v>
      </c>
      <c r="D390" s="2" t="s">
        <v>9</v>
      </c>
      <c r="E390" s="2" t="s">
        <v>10</v>
      </c>
      <c r="F390" s="2" t="s">
        <v>11</v>
      </c>
      <c r="G390" s="2" t="s">
        <v>12</v>
      </c>
      <c r="H390" s="2" t="s">
        <v>13</v>
      </c>
      <c r="I390" s="2" t="s">
        <v>14</v>
      </c>
      <c r="J390" s="2" t="s">
        <v>15</v>
      </c>
      <c r="K390" s="2" t="s">
        <v>16</v>
      </c>
      <c r="L390" s="2" t="s">
        <v>17</v>
      </c>
    </row>
    <row r="391" spans="1:12" x14ac:dyDescent="0.25">
      <c r="A391" s="3">
        <v>45690.258935185186</v>
      </c>
      <c r="B391" t="s">
        <v>25</v>
      </c>
      <c r="C391" s="3">
        <v>45690.261666666665</v>
      </c>
      <c r="D391" t="s">
        <v>25</v>
      </c>
      <c r="E391" s="4">
        <v>0</v>
      </c>
      <c r="F391" s="4">
        <v>4020.5720000000001</v>
      </c>
      <c r="G391" s="4">
        <v>4020.5720000000001</v>
      </c>
      <c r="H391" s="5">
        <f>219 / 86400</f>
        <v>2.5347222222222221E-3</v>
      </c>
      <c r="I391" t="s">
        <v>39</v>
      </c>
      <c r="J391" t="s">
        <v>39</v>
      </c>
      <c r="K391" s="5">
        <f>236 / 86400</f>
        <v>2.7314814814814814E-3</v>
      </c>
      <c r="L391" s="5">
        <f>86163 / 86400</f>
        <v>0.99725694444444446</v>
      </c>
    </row>
    <row r="392" spans="1:12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</row>
    <row r="393" spans="1:12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</row>
    <row r="394" spans="1:12" s="10" customFormat="1" ht="20.100000000000001" customHeight="1" x14ac:dyDescent="0.35">
      <c r="A394" s="15" t="s">
        <v>324</v>
      </c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2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</row>
    <row r="396" spans="1:12" ht="30" x14ac:dyDescent="0.25">
      <c r="A396" s="2" t="s">
        <v>6</v>
      </c>
      <c r="B396" s="2" t="s">
        <v>7</v>
      </c>
      <c r="C396" s="2" t="s">
        <v>8</v>
      </c>
      <c r="D396" s="2" t="s">
        <v>9</v>
      </c>
      <c r="E396" s="2" t="s">
        <v>10</v>
      </c>
      <c r="F396" s="2" t="s">
        <v>11</v>
      </c>
      <c r="G396" s="2" t="s">
        <v>12</v>
      </c>
      <c r="H396" s="2" t="s">
        <v>13</v>
      </c>
      <c r="I396" s="2" t="s">
        <v>14</v>
      </c>
      <c r="J396" s="2" t="s">
        <v>15</v>
      </c>
      <c r="K396" s="2" t="s">
        <v>16</v>
      </c>
      <c r="L396" s="2" t="s">
        <v>17</v>
      </c>
    </row>
    <row r="397" spans="1:12" x14ac:dyDescent="0.25">
      <c r="A397" s="3">
        <v>45690.414780092593</v>
      </c>
      <c r="B397" t="s">
        <v>61</v>
      </c>
      <c r="C397" s="3">
        <v>45690.473333333328</v>
      </c>
      <c r="D397" t="s">
        <v>140</v>
      </c>
      <c r="E397" s="4">
        <v>30.96</v>
      </c>
      <c r="F397" s="4">
        <v>390827.09899999999</v>
      </c>
      <c r="G397" s="4">
        <v>390858.05900000001</v>
      </c>
      <c r="H397" s="5">
        <f>1479 / 86400</f>
        <v>1.7118055555555556E-2</v>
      </c>
      <c r="I397" t="s">
        <v>31</v>
      </c>
      <c r="J397" t="s">
        <v>84</v>
      </c>
      <c r="K397" s="5">
        <f>5058 / 86400</f>
        <v>5.8541666666666665E-2</v>
      </c>
      <c r="L397" s="5">
        <f>36522 / 86400</f>
        <v>0.42270833333333335</v>
      </c>
    </row>
    <row r="398" spans="1:12" x14ac:dyDescent="0.25">
      <c r="A398" s="3">
        <v>45690.481261574074</v>
      </c>
      <c r="B398" t="s">
        <v>140</v>
      </c>
      <c r="C398" s="3">
        <v>45690.483518518522</v>
      </c>
      <c r="D398" t="s">
        <v>48</v>
      </c>
      <c r="E398" s="4">
        <v>0.86899999999999999</v>
      </c>
      <c r="F398" s="4">
        <v>390858.05900000001</v>
      </c>
      <c r="G398" s="4">
        <v>390858.92800000001</v>
      </c>
      <c r="H398" s="5">
        <f>39 / 86400</f>
        <v>4.5138888888888887E-4</v>
      </c>
      <c r="I398" t="s">
        <v>69</v>
      </c>
      <c r="J398" t="s">
        <v>97</v>
      </c>
      <c r="K398" s="5">
        <f>195 / 86400</f>
        <v>2.2569444444444442E-3</v>
      </c>
      <c r="L398" s="5">
        <f>2251 / 86400</f>
        <v>2.6053240740740741E-2</v>
      </c>
    </row>
    <row r="399" spans="1:12" x14ac:dyDescent="0.25">
      <c r="A399" s="3">
        <v>45690.509571759263</v>
      </c>
      <c r="B399" t="s">
        <v>48</v>
      </c>
      <c r="C399" s="3">
        <v>45690.514768518522</v>
      </c>
      <c r="D399" t="s">
        <v>128</v>
      </c>
      <c r="E399" s="4">
        <v>1.2130000000000001</v>
      </c>
      <c r="F399" s="4">
        <v>390858.92800000001</v>
      </c>
      <c r="G399" s="4">
        <v>390860.141</v>
      </c>
      <c r="H399" s="5">
        <f>79 / 86400</f>
        <v>9.1435185185185185E-4</v>
      </c>
      <c r="I399" t="s">
        <v>97</v>
      </c>
      <c r="J399" t="s">
        <v>24</v>
      </c>
      <c r="K399" s="5">
        <f>449 / 86400</f>
        <v>5.1967592592592595E-3</v>
      </c>
      <c r="L399" s="5">
        <f>1708 / 86400</f>
        <v>1.9768518518518519E-2</v>
      </c>
    </row>
    <row r="400" spans="1:12" x14ac:dyDescent="0.25">
      <c r="A400" s="3">
        <v>45690.534537037034</v>
      </c>
      <c r="B400" t="s">
        <v>128</v>
      </c>
      <c r="C400" s="3">
        <v>45690.713645833333</v>
      </c>
      <c r="D400" t="s">
        <v>250</v>
      </c>
      <c r="E400" s="4">
        <v>90.795000000000002</v>
      </c>
      <c r="F400" s="4">
        <v>390860.141</v>
      </c>
      <c r="G400" s="4">
        <v>390950.93599999999</v>
      </c>
      <c r="H400" s="5">
        <f>4757 / 86400</f>
        <v>5.5057870370370368E-2</v>
      </c>
      <c r="I400" t="s">
        <v>62</v>
      </c>
      <c r="J400" t="s">
        <v>30</v>
      </c>
      <c r="K400" s="5">
        <f>15475 / 86400</f>
        <v>0.17910879629629631</v>
      </c>
      <c r="L400" s="5">
        <f>129 / 86400</f>
        <v>1.4930555555555556E-3</v>
      </c>
    </row>
    <row r="401" spans="1:12" x14ac:dyDescent="0.25">
      <c r="A401" s="3">
        <v>45690.715138888889</v>
      </c>
      <c r="B401" t="s">
        <v>250</v>
      </c>
      <c r="C401" s="3">
        <v>45690.95244212963</v>
      </c>
      <c r="D401" t="s">
        <v>251</v>
      </c>
      <c r="E401" s="4">
        <v>120.872</v>
      </c>
      <c r="F401" s="4">
        <v>390950.93599999999</v>
      </c>
      <c r="G401" s="4">
        <v>391071.80800000002</v>
      </c>
      <c r="H401" s="5">
        <f>6516 / 86400</f>
        <v>7.5416666666666674E-2</v>
      </c>
      <c r="I401" t="s">
        <v>62</v>
      </c>
      <c r="J401" t="s">
        <v>30</v>
      </c>
      <c r="K401" s="5">
        <f>20503 / 86400</f>
        <v>0.23730324074074075</v>
      </c>
      <c r="L401" s="5">
        <f>157 / 86400</f>
        <v>1.8171296296296297E-3</v>
      </c>
    </row>
    <row r="402" spans="1:12" x14ac:dyDescent="0.25">
      <c r="A402" s="3">
        <v>45690.954259259262</v>
      </c>
      <c r="B402" t="s">
        <v>251</v>
      </c>
      <c r="C402" s="3">
        <v>45690.961759259255</v>
      </c>
      <c r="D402" t="s">
        <v>252</v>
      </c>
      <c r="E402" s="4">
        <v>0.72699999999999998</v>
      </c>
      <c r="F402" s="4">
        <v>391071.80800000002</v>
      </c>
      <c r="G402" s="4">
        <v>391072.53499999997</v>
      </c>
      <c r="H402" s="5">
        <f>459 / 86400</f>
        <v>5.3125000000000004E-3</v>
      </c>
      <c r="I402" t="s">
        <v>135</v>
      </c>
      <c r="J402" t="s">
        <v>163</v>
      </c>
      <c r="K402" s="5">
        <f>648 / 86400</f>
        <v>7.4999999999999997E-3</v>
      </c>
      <c r="L402" s="5">
        <f>252 / 86400</f>
        <v>2.9166666666666668E-3</v>
      </c>
    </row>
    <row r="403" spans="1:12" x14ac:dyDescent="0.25">
      <c r="A403" s="3">
        <v>45690.964675925927</v>
      </c>
      <c r="B403" t="s">
        <v>252</v>
      </c>
      <c r="C403" s="3">
        <v>45690.965104166666</v>
      </c>
      <c r="D403" t="s">
        <v>61</v>
      </c>
      <c r="E403" s="4">
        <v>3.5999999999999997E-2</v>
      </c>
      <c r="F403" s="4">
        <v>391072.53499999997</v>
      </c>
      <c r="G403" s="4">
        <v>391072.571</v>
      </c>
      <c r="H403" s="5">
        <f>0 / 86400</f>
        <v>0</v>
      </c>
      <c r="I403" t="s">
        <v>91</v>
      </c>
      <c r="J403" t="s">
        <v>163</v>
      </c>
      <c r="K403" s="5">
        <f>36 / 86400</f>
        <v>4.1666666666666669E-4</v>
      </c>
      <c r="L403" s="5">
        <f>3014 / 86400</f>
        <v>3.4884259259259261E-2</v>
      </c>
    </row>
    <row r="404" spans="1:12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</row>
    <row r="405" spans="1:12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</row>
    <row r="406" spans="1:12" s="10" customFormat="1" ht="20.100000000000001" customHeight="1" x14ac:dyDescent="0.35">
      <c r="A406" s="15" t="s">
        <v>325</v>
      </c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2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1:12" ht="30" x14ac:dyDescent="0.25">
      <c r="A408" s="2" t="s">
        <v>6</v>
      </c>
      <c r="B408" s="2" t="s">
        <v>7</v>
      </c>
      <c r="C408" s="2" t="s">
        <v>8</v>
      </c>
      <c r="D408" s="2" t="s">
        <v>9</v>
      </c>
      <c r="E408" s="2" t="s">
        <v>10</v>
      </c>
      <c r="F408" s="2" t="s">
        <v>11</v>
      </c>
      <c r="G408" s="2" t="s">
        <v>12</v>
      </c>
      <c r="H408" s="2" t="s">
        <v>13</v>
      </c>
      <c r="I408" s="2" t="s">
        <v>14</v>
      </c>
      <c r="J408" s="2" t="s">
        <v>15</v>
      </c>
      <c r="K408" s="2" t="s">
        <v>16</v>
      </c>
      <c r="L408" s="2" t="s">
        <v>17</v>
      </c>
    </row>
    <row r="409" spans="1:12" x14ac:dyDescent="0.25">
      <c r="A409" s="3">
        <v>45690.146736111114</v>
      </c>
      <c r="B409" t="s">
        <v>63</v>
      </c>
      <c r="C409" s="3">
        <v>45690.301851851851</v>
      </c>
      <c r="D409" t="s">
        <v>128</v>
      </c>
      <c r="E409" s="4">
        <v>81.700999999999993</v>
      </c>
      <c r="F409" s="4">
        <v>520957.54499999998</v>
      </c>
      <c r="G409" s="4">
        <v>521039.24599999998</v>
      </c>
      <c r="H409" s="5">
        <f>2698 / 86400</f>
        <v>3.1226851851851853E-2</v>
      </c>
      <c r="I409" t="s">
        <v>32</v>
      </c>
      <c r="J409" t="s">
        <v>84</v>
      </c>
      <c r="K409" s="5">
        <f>13402 / 86400</f>
        <v>0.15511574074074075</v>
      </c>
      <c r="L409" s="5">
        <f>13629 / 86400</f>
        <v>0.15774305555555557</v>
      </c>
    </row>
    <row r="410" spans="1:12" x14ac:dyDescent="0.25">
      <c r="A410" s="3">
        <v>45690.3128587963</v>
      </c>
      <c r="B410" t="s">
        <v>215</v>
      </c>
      <c r="C410" s="3">
        <v>45690.357175925921</v>
      </c>
      <c r="D410" t="s">
        <v>169</v>
      </c>
      <c r="E410" s="4">
        <v>26.026</v>
      </c>
      <c r="F410" s="4">
        <v>521039.24599999998</v>
      </c>
      <c r="G410" s="4">
        <v>521065.272</v>
      </c>
      <c r="H410" s="5">
        <f>679 / 86400</f>
        <v>7.858796296296296E-3</v>
      </c>
      <c r="I410" t="s">
        <v>64</v>
      </c>
      <c r="J410" t="s">
        <v>189</v>
      </c>
      <c r="K410" s="5">
        <f>3829 / 86400</f>
        <v>4.431712962962963E-2</v>
      </c>
      <c r="L410" s="5">
        <f>1755 / 86400</f>
        <v>2.0312500000000001E-2</v>
      </c>
    </row>
    <row r="411" spans="1:12" x14ac:dyDescent="0.25">
      <c r="A411" s="3">
        <v>45690.377488425926</v>
      </c>
      <c r="B411" t="s">
        <v>169</v>
      </c>
      <c r="C411" s="3">
        <v>45690.391157407408</v>
      </c>
      <c r="D411" t="s">
        <v>25</v>
      </c>
      <c r="E411" s="4">
        <v>2.343</v>
      </c>
      <c r="F411" s="4">
        <v>521065.272</v>
      </c>
      <c r="G411" s="4">
        <v>521067.61499999999</v>
      </c>
      <c r="H411" s="5">
        <f>639 / 86400</f>
        <v>7.3958333333333333E-3</v>
      </c>
      <c r="I411" t="s">
        <v>87</v>
      </c>
      <c r="J411" t="s">
        <v>91</v>
      </c>
      <c r="K411" s="5">
        <f>1181 / 86400</f>
        <v>1.3668981481481482E-2</v>
      </c>
      <c r="L411" s="5">
        <f>49 / 86400</f>
        <v>5.6712962962962967E-4</v>
      </c>
    </row>
    <row r="412" spans="1:12" x14ac:dyDescent="0.25">
      <c r="A412" s="3">
        <v>45690.391724537039</v>
      </c>
      <c r="B412" t="s">
        <v>25</v>
      </c>
      <c r="C412" s="3">
        <v>45690.391851851848</v>
      </c>
      <c r="D412" t="s">
        <v>25</v>
      </c>
      <c r="E412" s="4">
        <v>0</v>
      </c>
      <c r="F412" s="4">
        <v>521067.61499999999</v>
      </c>
      <c r="G412" s="4">
        <v>521067.61499999999</v>
      </c>
      <c r="H412" s="5">
        <f>0 / 86400</f>
        <v>0</v>
      </c>
      <c r="I412" t="s">
        <v>39</v>
      </c>
      <c r="J412" t="s">
        <v>39</v>
      </c>
      <c r="K412" s="5">
        <f>10 / 86400</f>
        <v>1.1574074074074075E-4</v>
      </c>
      <c r="L412" s="5">
        <f>956 / 86400</f>
        <v>1.1064814814814816E-2</v>
      </c>
    </row>
    <row r="413" spans="1:12" x14ac:dyDescent="0.25">
      <c r="A413" s="3">
        <v>45690.402916666666</v>
      </c>
      <c r="B413" t="s">
        <v>102</v>
      </c>
      <c r="C413" s="3">
        <v>45690.450798611113</v>
      </c>
      <c r="D413" t="s">
        <v>253</v>
      </c>
      <c r="E413" s="4">
        <v>25.79</v>
      </c>
      <c r="F413" s="4">
        <v>521067.61499999999</v>
      </c>
      <c r="G413" s="4">
        <v>521093.40500000003</v>
      </c>
      <c r="H413" s="5">
        <f>860 / 86400</f>
        <v>9.9537037037037042E-3</v>
      </c>
      <c r="I413" t="s">
        <v>43</v>
      </c>
      <c r="J413" t="s">
        <v>84</v>
      </c>
      <c r="K413" s="5">
        <f>4136 / 86400</f>
        <v>4.7870370370370369E-2</v>
      </c>
      <c r="L413" s="5">
        <f>365 / 86400</f>
        <v>4.2245370370370371E-3</v>
      </c>
    </row>
    <row r="414" spans="1:12" x14ac:dyDescent="0.25">
      <c r="A414" s="3">
        <v>45690.455023148148</v>
      </c>
      <c r="B414" t="s">
        <v>253</v>
      </c>
      <c r="C414" s="3">
        <v>45690.455682870372</v>
      </c>
      <c r="D414" t="s">
        <v>253</v>
      </c>
      <c r="E414" s="4">
        <v>6.3E-2</v>
      </c>
      <c r="F414" s="4">
        <v>521093.40500000003</v>
      </c>
      <c r="G414" s="4">
        <v>521093.46799999999</v>
      </c>
      <c r="H414" s="5">
        <f>20 / 86400</f>
        <v>2.3148148148148149E-4</v>
      </c>
      <c r="I414" t="s">
        <v>88</v>
      </c>
      <c r="J414" t="s">
        <v>163</v>
      </c>
      <c r="K414" s="5">
        <f>56 / 86400</f>
        <v>6.4814814814814813E-4</v>
      </c>
      <c r="L414" s="5">
        <f>22026 / 86400</f>
        <v>0.25493055555555555</v>
      </c>
    </row>
    <row r="415" spans="1:12" x14ac:dyDescent="0.25">
      <c r="A415" s="3">
        <v>45690.710613425923</v>
      </c>
      <c r="B415" t="s">
        <v>253</v>
      </c>
      <c r="C415" s="3">
        <v>45690.783182870371</v>
      </c>
      <c r="D415" t="s">
        <v>63</v>
      </c>
      <c r="E415" s="4">
        <v>30.966000000000001</v>
      </c>
      <c r="F415" s="4">
        <v>521093.46799999999</v>
      </c>
      <c r="G415" s="4">
        <v>521124.43400000001</v>
      </c>
      <c r="H415" s="5">
        <f>1659 / 86400</f>
        <v>1.9201388888888889E-2</v>
      </c>
      <c r="I415" t="s">
        <v>57</v>
      </c>
      <c r="J415" t="s">
        <v>33</v>
      </c>
      <c r="K415" s="5">
        <f>6269 / 86400</f>
        <v>7.255787037037037E-2</v>
      </c>
      <c r="L415" s="5">
        <f>18732 / 86400</f>
        <v>0.21680555555555556</v>
      </c>
    </row>
    <row r="416" spans="1:12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</row>
    <row r="417" spans="1:12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</row>
    <row r="418" spans="1:12" s="10" customFormat="1" ht="20.100000000000001" customHeight="1" x14ac:dyDescent="0.35">
      <c r="A418" s="15" t="s">
        <v>326</v>
      </c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2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</row>
    <row r="420" spans="1:12" ht="30" x14ac:dyDescent="0.25">
      <c r="A420" s="2" t="s">
        <v>6</v>
      </c>
      <c r="B420" s="2" t="s">
        <v>7</v>
      </c>
      <c r="C420" s="2" t="s">
        <v>8</v>
      </c>
      <c r="D420" s="2" t="s">
        <v>9</v>
      </c>
      <c r="E420" s="2" t="s">
        <v>10</v>
      </c>
      <c r="F420" s="2" t="s">
        <v>11</v>
      </c>
      <c r="G420" s="2" t="s">
        <v>12</v>
      </c>
      <c r="H420" s="2" t="s">
        <v>13</v>
      </c>
      <c r="I420" s="2" t="s">
        <v>14</v>
      </c>
      <c r="J420" s="2" t="s">
        <v>15</v>
      </c>
      <c r="K420" s="2" t="s">
        <v>16</v>
      </c>
      <c r="L420" s="2" t="s">
        <v>17</v>
      </c>
    </row>
    <row r="421" spans="1:12" x14ac:dyDescent="0.25">
      <c r="A421" s="3">
        <v>45690</v>
      </c>
      <c r="B421" t="s">
        <v>65</v>
      </c>
      <c r="C421" s="3">
        <v>45690.035532407404</v>
      </c>
      <c r="D421" t="s">
        <v>216</v>
      </c>
      <c r="E421" s="4">
        <v>21.148</v>
      </c>
      <c r="F421" s="4">
        <v>409788.99599999998</v>
      </c>
      <c r="G421" s="4">
        <v>409810.14399999997</v>
      </c>
      <c r="H421" s="5">
        <f>500 / 86400</f>
        <v>5.7870370370370367E-3</v>
      </c>
      <c r="I421" t="s">
        <v>245</v>
      </c>
      <c r="J421" t="s">
        <v>159</v>
      </c>
      <c r="K421" s="5">
        <f>3070 / 86400</f>
        <v>3.5532407407407408E-2</v>
      </c>
      <c r="L421" s="5">
        <f>518 / 86400</f>
        <v>5.9953703703703705E-3</v>
      </c>
    </row>
    <row r="422" spans="1:12" x14ac:dyDescent="0.25">
      <c r="A422" s="3">
        <v>45690.041527777779</v>
      </c>
      <c r="B422" t="s">
        <v>140</v>
      </c>
      <c r="C422" s="3">
        <v>45690.042858796296</v>
      </c>
      <c r="D422" t="s">
        <v>142</v>
      </c>
      <c r="E422" s="4">
        <v>4.4999999999999998E-2</v>
      </c>
      <c r="F422" s="4">
        <v>409810.14399999997</v>
      </c>
      <c r="G422" s="4">
        <v>409810.18900000001</v>
      </c>
      <c r="H422" s="5">
        <f>80 / 86400</f>
        <v>9.2592592592592596E-4</v>
      </c>
      <c r="I422" t="s">
        <v>173</v>
      </c>
      <c r="J422" t="s">
        <v>41</v>
      </c>
      <c r="K422" s="5">
        <f>114 / 86400</f>
        <v>1.3194444444444445E-3</v>
      </c>
      <c r="L422" s="5">
        <f>1186 / 86400</f>
        <v>1.3726851851851851E-2</v>
      </c>
    </row>
    <row r="423" spans="1:12" x14ac:dyDescent="0.25">
      <c r="A423" s="3">
        <v>45690.056585648148</v>
      </c>
      <c r="B423" t="s">
        <v>142</v>
      </c>
      <c r="C423" s="3">
        <v>45690.066354166665</v>
      </c>
      <c r="D423" t="s">
        <v>254</v>
      </c>
      <c r="E423" s="4">
        <v>1.986</v>
      </c>
      <c r="F423" s="4">
        <v>409810.18900000001</v>
      </c>
      <c r="G423" s="4">
        <v>409812.17499999999</v>
      </c>
      <c r="H423" s="5">
        <f>159 / 86400</f>
        <v>1.8402777777777777E-3</v>
      </c>
      <c r="I423" t="s">
        <v>139</v>
      </c>
      <c r="J423" t="s">
        <v>173</v>
      </c>
      <c r="K423" s="5">
        <f>844 / 86400</f>
        <v>9.7685185185185184E-3</v>
      </c>
      <c r="L423" s="5">
        <f>36379 / 86400</f>
        <v>0.42105324074074074</v>
      </c>
    </row>
    <row r="424" spans="1:12" x14ac:dyDescent="0.25">
      <c r="A424" s="3">
        <v>45690.487407407403</v>
      </c>
      <c r="B424" t="s">
        <v>254</v>
      </c>
      <c r="C424" s="3">
        <v>45690.505625000005</v>
      </c>
      <c r="D424" t="s">
        <v>215</v>
      </c>
      <c r="E424" s="4">
        <v>2.8380000000000001</v>
      </c>
      <c r="F424" s="4">
        <v>409812.17499999999</v>
      </c>
      <c r="G424" s="4">
        <v>409815.01299999998</v>
      </c>
      <c r="H424" s="5">
        <f>959 / 86400</f>
        <v>1.1099537037037036E-2</v>
      </c>
      <c r="I424" t="s">
        <v>51</v>
      </c>
      <c r="J424" t="s">
        <v>38</v>
      </c>
      <c r="K424" s="5">
        <f>1574 / 86400</f>
        <v>1.8217592592592594E-2</v>
      </c>
      <c r="L424" s="5">
        <f>342 / 86400</f>
        <v>3.9583333333333337E-3</v>
      </c>
    </row>
    <row r="425" spans="1:12" x14ac:dyDescent="0.25">
      <c r="A425" s="3">
        <v>45690.509583333333</v>
      </c>
      <c r="B425" t="s">
        <v>128</v>
      </c>
      <c r="C425" s="3">
        <v>45690.948009259257</v>
      </c>
      <c r="D425" t="s">
        <v>255</v>
      </c>
      <c r="E425" s="4">
        <v>186.756</v>
      </c>
      <c r="F425" s="4">
        <v>409815.01299999998</v>
      </c>
      <c r="G425" s="4">
        <v>410001.76899999997</v>
      </c>
      <c r="H425" s="5">
        <f>10181 / 86400</f>
        <v>0.11783564814814815</v>
      </c>
      <c r="I425" t="s">
        <v>67</v>
      </c>
      <c r="J425" t="s">
        <v>33</v>
      </c>
      <c r="K425" s="5">
        <f>37880 / 86400</f>
        <v>0.43842592592592594</v>
      </c>
      <c r="L425" s="5">
        <f>1647 / 86400</f>
        <v>1.90625E-2</v>
      </c>
    </row>
    <row r="426" spans="1:12" x14ac:dyDescent="0.25">
      <c r="A426" s="3">
        <v>45690.96707175926</v>
      </c>
      <c r="B426" t="s">
        <v>34</v>
      </c>
      <c r="C426" s="3">
        <v>45690.983287037037</v>
      </c>
      <c r="D426" t="s">
        <v>66</v>
      </c>
      <c r="E426" s="4">
        <v>8.2349999999999994</v>
      </c>
      <c r="F426" s="4">
        <v>410001.76899999997</v>
      </c>
      <c r="G426" s="4">
        <v>410010.00400000002</v>
      </c>
      <c r="H426" s="5">
        <f>219 / 86400</f>
        <v>2.5347222222222221E-3</v>
      </c>
      <c r="I426" t="s">
        <v>166</v>
      </c>
      <c r="J426" t="s">
        <v>30</v>
      </c>
      <c r="K426" s="5">
        <f>1400 / 86400</f>
        <v>1.6203703703703703E-2</v>
      </c>
      <c r="L426" s="5">
        <f>1443 / 86400</f>
        <v>1.6701388888888891E-2</v>
      </c>
    </row>
    <row r="427" spans="1:12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</row>
    <row r="428" spans="1:12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</row>
    <row r="429" spans="1:12" s="10" customFormat="1" ht="20.100000000000001" customHeight="1" x14ac:dyDescent="0.35">
      <c r="A429" s="15" t="s">
        <v>327</v>
      </c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2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</row>
    <row r="431" spans="1:12" ht="30" x14ac:dyDescent="0.25">
      <c r="A431" s="2" t="s">
        <v>6</v>
      </c>
      <c r="B431" s="2" t="s">
        <v>7</v>
      </c>
      <c r="C431" s="2" t="s">
        <v>8</v>
      </c>
      <c r="D431" s="2" t="s">
        <v>9</v>
      </c>
      <c r="E431" s="2" t="s">
        <v>10</v>
      </c>
      <c r="F431" s="2" t="s">
        <v>11</v>
      </c>
      <c r="G431" s="2" t="s">
        <v>12</v>
      </c>
      <c r="H431" s="2" t="s">
        <v>13</v>
      </c>
      <c r="I431" s="2" t="s">
        <v>14</v>
      </c>
      <c r="J431" s="2" t="s">
        <v>15</v>
      </c>
      <c r="K431" s="2" t="s">
        <v>16</v>
      </c>
      <c r="L431" s="2" t="s">
        <v>17</v>
      </c>
    </row>
    <row r="432" spans="1:12" x14ac:dyDescent="0.25">
      <c r="A432" s="3">
        <v>45690.279108796298</v>
      </c>
      <c r="B432" t="s">
        <v>68</v>
      </c>
      <c r="C432" s="3">
        <v>45690.281724537039</v>
      </c>
      <c r="D432" t="s">
        <v>140</v>
      </c>
      <c r="E432" s="4">
        <v>0.60499999999999998</v>
      </c>
      <c r="F432" s="4">
        <v>400989.49900000001</v>
      </c>
      <c r="G432" s="4">
        <v>400990.10399999999</v>
      </c>
      <c r="H432" s="5">
        <f>80 / 86400</f>
        <v>9.2592592592592596E-4</v>
      </c>
      <c r="I432" t="s">
        <v>69</v>
      </c>
      <c r="J432" t="s">
        <v>24</v>
      </c>
      <c r="K432" s="5">
        <f>226 / 86400</f>
        <v>2.6157407407407405E-3</v>
      </c>
      <c r="L432" s="5">
        <f>26642 / 86400</f>
        <v>0.30835648148148148</v>
      </c>
    </row>
    <row r="433" spans="1:12" x14ac:dyDescent="0.25">
      <c r="A433" s="3">
        <v>45690.310972222222</v>
      </c>
      <c r="B433" t="s">
        <v>140</v>
      </c>
      <c r="C433" s="3">
        <v>45690.314340277779</v>
      </c>
      <c r="D433" t="s">
        <v>68</v>
      </c>
      <c r="E433" s="4">
        <v>0.84299999999999997</v>
      </c>
      <c r="F433" s="4">
        <v>400990.10399999999</v>
      </c>
      <c r="G433" s="4">
        <v>400990.94699999999</v>
      </c>
      <c r="H433" s="5">
        <f>19 / 86400</f>
        <v>2.199074074074074E-4</v>
      </c>
      <c r="I433" t="s">
        <v>189</v>
      </c>
      <c r="J433" t="s">
        <v>24</v>
      </c>
      <c r="K433" s="5">
        <f>291 / 86400</f>
        <v>3.3680555555555556E-3</v>
      </c>
      <c r="L433" s="5">
        <f>59240 / 86400</f>
        <v>0.68564814814814812</v>
      </c>
    </row>
    <row r="434" spans="1:12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1:12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</row>
    <row r="436" spans="1:12" s="10" customFormat="1" ht="20.100000000000001" customHeight="1" x14ac:dyDescent="0.35">
      <c r="A436" s="15" t="s">
        <v>328</v>
      </c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2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1:12" ht="30" x14ac:dyDescent="0.25">
      <c r="A438" s="2" t="s">
        <v>6</v>
      </c>
      <c r="B438" s="2" t="s">
        <v>7</v>
      </c>
      <c r="C438" s="2" t="s">
        <v>8</v>
      </c>
      <c r="D438" s="2" t="s">
        <v>9</v>
      </c>
      <c r="E438" s="2" t="s">
        <v>10</v>
      </c>
      <c r="F438" s="2" t="s">
        <v>11</v>
      </c>
      <c r="G438" s="2" t="s">
        <v>12</v>
      </c>
      <c r="H438" s="2" t="s">
        <v>13</v>
      </c>
      <c r="I438" s="2" t="s">
        <v>14</v>
      </c>
      <c r="J438" s="2" t="s">
        <v>15</v>
      </c>
      <c r="K438" s="2" t="s">
        <v>16</v>
      </c>
      <c r="L438" s="2" t="s">
        <v>17</v>
      </c>
    </row>
    <row r="439" spans="1:12" x14ac:dyDescent="0.25">
      <c r="A439" s="3">
        <v>45690.144756944443</v>
      </c>
      <c r="B439" t="s">
        <v>70</v>
      </c>
      <c r="C439" s="3">
        <v>45690.145219907412</v>
      </c>
      <c r="D439" t="s">
        <v>70</v>
      </c>
      <c r="E439" s="4">
        <v>1E-3</v>
      </c>
      <c r="F439" s="4">
        <v>38881.03</v>
      </c>
      <c r="G439" s="4">
        <v>38881.031000000003</v>
      </c>
      <c r="H439" s="5">
        <f>19 / 86400</f>
        <v>2.199074074074074E-4</v>
      </c>
      <c r="I439" t="s">
        <v>39</v>
      </c>
      <c r="J439" t="s">
        <v>39</v>
      </c>
      <c r="K439" s="5">
        <f>39 / 86400</f>
        <v>4.5138888888888887E-4</v>
      </c>
      <c r="L439" s="5">
        <f>15051 / 86400</f>
        <v>0.17420138888888889</v>
      </c>
    </row>
    <row r="440" spans="1:12" x14ac:dyDescent="0.25">
      <c r="A440" s="3">
        <v>45690.174664351856</v>
      </c>
      <c r="B440" t="s">
        <v>70</v>
      </c>
      <c r="C440" s="3">
        <v>45690.345185185186</v>
      </c>
      <c r="D440" t="s">
        <v>256</v>
      </c>
      <c r="E440" s="4">
        <v>89.347999999999999</v>
      </c>
      <c r="F440" s="4">
        <v>38881.031000000003</v>
      </c>
      <c r="G440" s="4">
        <v>38970.379000000001</v>
      </c>
      <c r="H440" s="5">
        <f>3578 / 86400</f>
        <v>4.1412037037037039E-2</v>
      </c>
      <c r="I440" t="s">
        <v>50</v>
      </c>
      <c r="J440" t="s">
        <v>84</v>
      </c>
      <c r="K440" s="5">
        <f>14733 / 86400</f>
        <v>0.17052083333333334</v>
      </c>
      <c r="L440" s="5">
        <f>275 / 86400</f>
        <v>3.1828703703703702E-3</v>
      </c>
    </row>
    <row r="441" spans="1:12" x14ac:dyDescent="0.25">
      <c r="A441" s="3">
        <v>45690.348368055551</v>
      </c>
      <c r="B441" t="s">
        <v>256</v>
      </c>
      <c r="C441" s="3">
        <v>45690.351412037038</v>
      </c>
      <c r="D441" t="s">
        <v>215</v>
      </c>
      <c r="E441" s="4">
        <v>0.46</v>
      </c>
      <c r="F441" s="4">
        <v>38970.379000000001</v>
      </c>
      <c r="G441" s="4">
        <v>38970.839</v>
      </c>
      <c r="H441" s="5">
        <f>120 / 86400</f>
        <v>1.3888888888888889E-3</v>
      </c>
      <c r="I441" t="s">
        <v>132</v>
      </c>
      <c r="J441" t="s">
        <v>38</v>
      </c>
      <c r="K441" s="5">
        <f>263 / 86400</f>
        <v>3.0439814814814813E-3</v>
      </c>
      <c r="L441" s="5">
        <f>257 / 86400</f>
        <v>2.9745370370370373E-3</v>
      </c>
    </row>
    <row r="442" spans="1:12" x14ac:dyDescent="0.25">
      <c r="A442" s="3">
        <v>45690.354386574079</v>
      </c>
      <c r="B442" t="s">
        <v>215</v>
      </c>
      <c r="C442" s="3">
        <v>45690.357881944445</v>
      </c>
      <c r="D442" t="s">
        <v>142</v>
      </c>
      <c r="E442" s="4">
        <v>1.3029999999999999</v>
      </c>
      <c r="F442" s="4">
        <v>38970.839</v>
      </c>
      <c r="G442" s="4">
        <v>38972.142</v>
      </c>
      <c r="H442" s="5">
        <f>40 / 86400</f>
        <v>4.6296296296296298E-4</v>
      </c>
      <c r="I442" t="s">
        <v>87</v>
      </c>
      <c r="J442" t="s">
        <v>97</v>
      </c>
      <c r="K442" s="5">
        <f>301 / 86400</f>
        <v>3.4837962962962965E-3</v>
      </c>
      <c r="L442" s="5">
        <f>912 / 86400</f>
        <v>1.0555555555555556E-2</v>
      </c>
    </row>
    <row r="443" spans="1:12" x14ac:dyDescent="0.25">
      <c r="A443" s="3">
        <v>45690.368437500001</v>
      </c>
      <c r="B443" t="s">
        <v>142</v>
      </c>
      <c r="C443" s="3">
        <v>45690.369837962964</v>
      </c>
      <c r="D443" t="s">
        <v>142</v>
      </c>
      <c r="E443" s="4">
        <v>0.02</v>
      </c>
      <c r="F443" s="4">
        <v>38972.142</v>
      </c>
      <c r="G443" s="4">
        <v>38972.161999999997</v>
      </c>
      <c r="H443" s="5">
        <f>99 / 86400</f>
        <v>1.1458333333333333E-3</v>
      </c>
      <c r="I443" t="s">
        <v>60</v>
      </c>
      <c r="J443" t="s">
        <v>41</v>
      </c>
      <c r="K443" s="5">
        <f>120 / 86400</f>
        <v>1.3888888888888889E-3</v>
      </c>
      <c r="L443" s="5">
        <f>175 / 86400</f>
        <v>2.0254629629629629E-3</v>
      </c>
    </row>
    <row r="444" spans="1:12" x14ac:dyDescent="0.25">
      <c r="A444" s="3">
        <v>45690.371863425928</v>
      </c>
      <c r="B444" t="s">
        <v>142</v>
      </c>
      <c r="C444" s="3">
        <v>45690.580520833333</v>
      </c>
      <c r="D444" t="s">
        <v>215</v>
      </c>
      <c r="E444" s="4">
        <v>100.414</v>
      </c>
      <c r="F444" s="4">
        <v>38972.161999999997</v>
      </c>
      <c r="G444" s="4">
        <v>39072.576000000001</v>
      </c>
      <c r="H444" s="5">
        <f>5180 / 86400</f>
        <v>5.9953703703703703E-2</v>
      </c>
      <c r="I444" t="s">
        <v>83</v>
      </c>
      <c r="J444" t="s">
        <v>58</v>
      </c>
      <c r="K444" s="5">
        <f>18028 / 86400</f>
        <v>0.2086574074074074</v>
      </c>
      <c r="L444" s="5">
        <f>1701 / 86400</f>
        <v>1.96875E-2</v>
      </c>
    </row>
    <row r="445" spans="1:12" x14ac:dyDescent="0.25">
      <c r="A445" s="3">
        <v>45690.60020833333</v>
      </c>
      <c r="B445" t="s">
        <v>215</v>
      </c>
      <c r="C445" s="3">
        <v>45690.60491898148</v>
      </c>
      <c r="D445" t="s">
        <v>140</v>
      </c>
      <c r="E445" s="4">
        <v>1.3640000000000001</v>
      </c>
      <c r="F445" s="4">
        <v>39072.576000000001</v>
      </c>
      <c r="G445" s="4">
        <v>39073.94</v>
      </c>
      <c r="H445" s="5">
        <f>119 / 86400</f>
        <v>1.3773148148148147E-3</v>
      </c>
      <c r="I445" t="s">
        <v>126</v>
      </c>
      <c r="J445" t="s">
        <v>125</v>
      </c>
      <c r="K445" s="5">
        <f>407 / 86400</f>
        <v>4.7106481481481478E-3</v>
      </c>
      <c r="L445" s="5">
        <f>219 / 86400</f>
        <v>2.5347222222222221E-3</v>
      </c>
    </row>
    <row r="446" spans="1:12" x14ac:dyDescent="0.25">
      <c r="A446" s="3">
        <v>45690.607453703706</v>
      </c>
      <c r="B446" t="s">
        <v>140</v>
      </c>
      <c r="C446" s="3">
        <v>45690.709675925929</v>
      </c>
      <c r="D446" t="s">
        <v>257</v>
      </c>
      <c r="E446" s="4">
        <v>50.177</v>
      </c>
      <c r="F446" s="4">
        <v>39073.94</v>
      </c>
      <c r="G446" s="4">
        <v>39124.116999999998</v>
      </c>
      <c r="H446" s="5">
        <f>2921 / 86400</f>
        <v>3.380787037037037E-2</v>
      </c>
      <c r="I446" t="s">
        <v>26</v>
      </c>
      <c r="J446" t="s">
        <v>58</v>
      </c>
      <c r="K446" s="5">
        <f>8831 / 86400</f>
        <v>0.10221064814814815</v>
      </c>
      <c r="L446" s="5">
        <f>306 / 86400</f>
        <v>3.5416666666666665E-3</v>
      </c>
    </row>
    <row r="447" spans="1:12" x14ac:dyDescent="0.25">
      <c r="A447" s="3">
        <v>45690.713217592594</v>
      </c>
      <c r="B447" t="s">
        <v>257</v>
      </c>
      <c r="C447" s="3">
        <v>45690.82917824074</v>
      </c>
      <c r="D447" t="s">
        <v>258</v>
      </c>
      <c r="E447" s="4">
        <v>54.201999999999998</v>
      </c>
      <c r="F447" s="4">
        <v>39124.116999999998</v>
      </c>
      <c r="G447" s="4">
        <v>39178.319000000003</v>
      </c>
      <c r="H447" s="5">
        <f>2860 / 86400</f>
        <v>3.3101851851851855E-2</v>
      </c>
      <c r="I447" t="s">
        <v>43</v>
      </c>
      <c r="J447" t="s">
        <v>20</v>
      </c>
      <c r="K447" s="5">
        <f>10018 / 86400</f>
        <v>0.11594907407407408</v>
      </c>
      <c r="L447" s="5">
        <f>2484 / 86400</f>
        <v>2.8750000000000001E-2</v>
      </c>
    </row>
    <row r="448" spans="1:12" x14ac:dyDescent="0.25">
      <c r="A448" s="3">
        <v>45690.857928240745</v>
      </c>
      <c r="B448" t="s">
        <v>224</v>
      </c>
      <c r="C448" s="3">
        <v>45690.873495370368</v>
      </c>
      <c r="D448" t="s">
        <v>34</v>
      </c>
      <c r="E448" s="4">
        <v>9.7569999999999997</v>
      </c>
      <c r="F448" s="4">
        <v>39178.319000000003</v>
      </c>
      <c r="G448" s="4">
        <v>39188.076000000001</v>
      </c>
      <c r="H448" s="5">
        <f>140 / 86400</f>
        <v>1.6203703703703703E-3</v>
      </c>
      <c r="I448" t="s">
        <v>179</v>
      </c>
      <c r="J448" t="s">
        <v>132</v>
      </c>
      <c r="K448" s="5">
        <f>1344 / 86400</f>
        <v>1.5555555555555555E-2</v>
      </c>
      <c r="L448" s="5">
        <f>444 / 86400</f>
        <v>5.138888888888889E-3</v>
      </c>
    </row>
    <row r="449" spans="1:12" x14ac:dyDescent="0.25">
      <c r="A449" s="3">
        <v>45690.878634259258</v>
      </c>
      <c r="B449" t="s">
        <v>34</v>
      </c>
      <c r="C449" s="3">
        <v>45690.892118055555</v>
      </c>
      <c r="D449" t="s">
        <v>70</v>
      </c>
      <c r="E449" s="4">
        <v>3.16</v>
      </c>
      <c r="F449" s="4">
        <v>39188.076000000001</v>
      </c>
      <c r="G449" s="4">
        <v>39191.235999999997</v>
      </c>
      <c r="H449" s="5">
        <f>480 / 86400</f>
        <v>5.5555555555555558E-3</v>
      </c>
      <c r="I449" t="s">
        <v>87</v>
      </c>
      <c r="J449" t="s">
        <v>24</v>
      </c>
      <c r="K449" s="5">
        <f>1165 / 86400</f>
        <v>1.3483796296296296E-2</v>
      </c>
      <c r="L449" s="5">
        <f>9320 / 86400</f>
        <v>0.10787037037037037</v>
      </c>
    </row>
    <row r="450" spans="1:12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</row>
    <row r="451" spans="1:12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</row>
    <row r="452" spans="1:12" s="10" customFormat="1" ht="20.100000000000001" customHeight="1" x14ac:dyDescent="0.35">
      <c r="A452" s="15" t="s">
        <v>329</v>
      </c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2" ht="30" x14ac:dyDescent="0.25">
      <c r="A454" s="2" t="s">
        <v>6</v>
      </c>
      <c r="B454" s="2" t="s">
        <v>7</v>
      </c>
      <c r="C454" s="2" t="s">
        <v>8</v>
      </c>
      <c r="D454" s="2" t="s">
        <v>9</v>
      </c>
      <c r="E454" s="2" t="s">
        <v>10</v>
      </c>
      <c r="F454" s="2" t="s">
        <v>11</v>
      </c>
      <c r="G454" s="2" t="s">
        <v>12</v>
      </c>
      <c r="H454" s="2" t="s">
        <v>13</v>
      </c>
      <c r="I454" s="2" t="s">
        <v>14</v>
      </c>
      <c r="J454" s="2" t="s">
        <v>15</v>
      </c>
      <c r="K454" s="2" t="s">
        <v>16</v>
      </c>
      <c r="L454" s="2" t="s">
        <v>17</v>
      </c>
    </row>
    <row r="455" spans="1:12" x14ac:dyDescent="0.25">
      <c r="A455" s="3">
        <v>45690</v>
      </c>
      <c r="B455" t="s">
        <v>71</v>
      </c>
      <c r="C455" s="3">
        <v>45690.069780092592</v>
      </c>
      <c r="D455" t="s">
        <v>259</v>
      </c>
      <c r="E455" s="4">
        <v>89.143000000000001</v>
      </c>
      <c r="F455" s="4">
        <v>43311.483</v>
      </c>
      <c r="G455" s="4">
        <v>43400.625999999997</v>
      </c>
      <c r="H455" s="5">
        <f>1140 / 86400</f>
        <v>1.3194444444444444E-2</v>
      </c>
      <c r="I455" t="s">
        <v>32</v>
      </c>
      <c r="J455" t="s">
        <v>195</v>
      </c>
      <c r="K455" s="5">
        <f>6029 / 86400</f>
        <v>6.9780092592592588E-2</v>
      </c>
      <c r="L455" s="5">
        <f>627 / 86400</f>
        <v>7.2569444444444443E-3</v>
      </c>
    </row>
    <row r="456" spans="1:12" x14ac:dyDescent="0.25">
      <c r="A456" s="3">
        <v>45690.077037037037</v>
      </c>
      <c r="B456" t="s">
        <v>259</v>
      </c>
      <c r="C456" s="3">
        <v>45690.078530092593</v>
      </c>
      <c r="D456" t="s">
        <v>259</v>
      </c>
      <c r="E456" s="4">
        <v>3.9E-2</v>
      </c>
      <c r="F456" s="4">
        <v>43400.625999999997</v>
      </c>
      <c r="G456" s="4">
        <v>43400.665000000001</v>
      </c>
      <c r="H456" s="5">
        <f>61 / 86400</f>
        <v>7.0601851851851847E-4</v>
      </c>
      <c r="I456" t="s">
        <v>38</v>
      </c>
      <c r="J456" t="s">
        <v>41</v>
      </c>
      <c r="K456" s="5">
        <f>129 / 86400</f>
        <v>1.4930555555555556E-3</v>
      </c>
      <c r="L456" s="5">
        <f>55472 / 86400</f>
        <v>0.64203703703703707</v>
      </c>
    </row>
    <row r="457" spans="1:12" x14ac:dyDescent="0.25">
      <c r="A457" s="3">
        <v>45690.720567129625</v>
      </c>
      <c r="B457" t="s">
        <v>259</v>
      </c>
      <c r="C457" s="3">
        <v>45690.918437500004</v>
      </c>
      <c r="D457" t="s">
        <v>37</v>
      </c>
      <c r="E457" s="4">
        <v>163.61600000000001</v>
      </c>
      <c r="F457" s="4">
        <v>43400.665000000001</v>
      </c>
      <c r="G457" s="4">
        <v>43564.281000000003</v>
      </c>
      <c r="H457" s="5">
        <f>2619 / 86400</f>
        <v>3.0312499999999999E-2</v>
      </c>
      <c r="I457" t="s">
        <v>55</v>
      </c>
      <c r="J457" t="s">
        <v>87</v>
      </c>
      <c r="K457" s="5">
        <f>17096 / 86400</f>
        <v>0.19787037037037036</v>
      </c>
      <c r="L457" s="5">
        <f>464 / 86400</f>
        <v>5.37037037037037E-3</v>
      </c>
    </row>
    <row r="458" spans="1:12" x14ac:dyDescent="0.25">
      <c r="A458" s="3">
        <v>45690.923807870371</v>
      </c>
      <c r="B458" t="s">
        <v>37</v>
      </c>
      <c r="C458" s="3">
        <v>45690.925949074073</v>
      </c>
      <c r="D458" t="s">
        <v>37</v>
      </c>
      <c r="E458" s="4">
        <v>1.365</v>
      </c>
      <c r="F458" s="4">
        <v>43564.281000000003</v>
      </c>
      <c r="G458" s="4">
        <v>43565.646000000001</v>
      </c>
      <c r="H458" s="5">
        <f>20 / 86400</f>
        <v>2.3148148148148149E-4</v>
      </c>
      <c r="I458" t="s">
        <v>138</v>
      </c>
      <c r="J458" t="s">
        <v>156</v>
      </c>
      <c r="K458" s="5">
        <f>185 / 86400</f>
        <v>2.1412037037037038E-3</v>
      </c>
      <c r="L458" s="5">
        <f>6397 / 86400</f>
        <v>7.4039351851851856E-2</v>
      </c>
    </row>
    <row r="459" spans="1:12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</row>
    <row r="460" spans="1:12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</row>
    <row r="461" spans="1:12" s="10" customFormat="1" ht="20.100000000000001" customHeight="1" x14ac:dyDescent="0.35">
      <c r="A461" s="15" t="s">
        <v>330</v>
      </c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1:1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</row>
    <row r="463" spans="1:12" ht="30" x14ac:dyDescent="0.25">
      <c r="A463" s="2" t="s">
        <v>6</v>
      </c>
      <c r="B463" s="2" t="s">
        <v>7</v>
      </c>
      <c r="C463" s="2" t="s">
        <v>8</v>
      </c>
      <c r="D463" s="2" t="s">
        <v>9</v>
      </c>
      <c r="E463" s="2" t="s">
        <v>10</v>
      </c>
      <c r="F463" s="2" t="s">
        <v>11</v>
      </c>
      <c r="G463" s="2" t="s">
        <v>12</v>
      </c>
      <c r="H463" s="2" t="s">
        <v>13</v>
      </c>
      <c r="I463" s="2" t="s">
        <v>14</v>
      </c>
      <c r="J463" s="2" t="s">
        <v>15</v>
      </c>
      <c r="K463" s="2" t="s">
        <v>16</v>
      </c>
      <c r="L463" s="2" t="s">
        <v>17</v>
      </c>
    </row>
    <row r="464" spans="1:12" x14ac:dyDescent="0.25">
      <c r="A464" s="3">
        <v>45690.279583333337</v>
      </c>
      <c r="B464" t="s">
        <v>72</v>
      </c>
      <c r="C464" s="3">
        <v>45690.28402777778</v>
      </c>
      <c r="D464" t="s">
        <v>72</v>
      </c>
      <c r="E464" s="4">
        <v>2.9999999880790711E-2</v>
      </c>
      <c r="F464" s="4">
        <v>524705.13300000003</v>
      </c>
      <c r="G464" s="4">
        <v>524705.16299999994</v>
      </c>
      <c r="H464" s="5">
        <f>319 / 86400</f>
        <v>3.6921296296296298E-3</v>
      </c>
      <c r="I464" t="s">
        <v>60</v>
      </c>
      <c r="J464" t="s">
        <v>39</v>
      </c>
      <c r="K464" s="5">
        <f>384 / 86400</f>
        <v>4.4444444444444444E-3</v>
      </c>
      <c r="L464" s="5">
        <f>44957 / 86400</f>
        <v>0.52033564814814814</v>
      </c>
    </row>
    <row r="465" spans="1:12" x14ac:dyDescent="0.25">
      <c r="A465" s="3">
        <v>45690.524780092594</v>
      </c>
      <c r="B465" t="s">
        <v>72</v>
      </c>
      <c r="C465" s="3">
        <v>45690.53056712963</v>
      </c>
      <c r="D465" t="s">
        <v>105</v>
      </c>
      <c r="E465" s="4">
        <v>1.385</v>
      </c>
      <c r="F465" s="4">
        <v>524705.16299999994</v>
      </c>
      <c r="G465" s="4">
        <v>524706.54799999995</v>
      </c>
      <c r="H465" s="5">
        <f>219 / 86400</f>
        <v>2.5347222222222221E-3</v>
      </c>
      <c r="I465" t="s">
        <v>84</v>
      </c>
      <c r="J465" t="s">
        <v>24</v>
      </c>
      <c r="K465" s="5">
        <f>500 / 86400</f>
        <v>5.7870370370370367E-3</v>
      </c>
      <c r="L465" s="5">
        <f>184 / 86400</f>
        <v>2.1296296296296298E-3</v>
      </c>
    </row>
    <row r="466" spans="1:12" x14ac:dyDescent="0.25">
      <c r="A466" s="3">
        <v>45690.532696759255</v>
      </c>
      <c r="B466" t="s">
        <v>105</v>
      </c>
      <c r="C466" s="3">
        <v>45690.561874999999</v>
      </c>
      <c r="D466" t="s">
        <v>260</v>
      </c>
      <c r="E466" s="4">
        <v>2.0600000000596048</v>
      </c>
      <c r="F466" s="4">
        <v>524706.54799999995</v>
      </c>
      <c r="G466" s="4">
        <v>524708.60800000001</v>
      </c>
      <c r="H466" s="5">
        <f>2219 / 86400</f>
        <v>2.568287037037037E-2</v>
      </c>
      <c r="I466" t="s">
        <v>229</v>
      </c>
      <c r="J466" t="s">
        <v>75</v>
      </c>
      <c r="K466" s="5">
        <f>2521 / 86400</f>
        <v>2.9178240740740741E-2</v>
      </c>
      <c r="L466" s="5">
        <f>2423 / 86400</f>
        <v>2.8043981481481482E-2</v>
      </c>
    </row>
    <row r="467" spans="1:12" x14ac:dyDescent="0.25">
      <c r="A467" s="3">
        <v>45690.589918981481</v>
      </c>
      <c r="B467" t="s">
        <v>260</v>
      </c>
      <c r="C467" s="3">
        <v>45690.596250000002</v>
      </c>
      <c r="D467" t="s">
        <v>232</v>
      </c>
      <c r="E467" s="4">
        <v>0.95799999999999996</v>
      </c>
      <c r="F467" s="4">
        <v>524708.60800000001</v>
      </c>
      <c r="G467" s="4">
        <v>524709.56599999999</v>
      </c>
      <c r="H467" s="5">
        <f>339 / 86400</f>
        <v>3.9236111111111112E-3</v>
      </c>
      <c r="I467" t="s">
        <v>87</v>
      </c>
      <c r="J467" t="s">
        <v>38</v>
      </c>
      <c r="K467" s="5">
        <f>546 / 86400</f>
        <v>6.3194444444444444E-3</v>
      </c>
      <c r="L467" s="5">
        <f>659 / 86400</f>
        <v>7.6273148148148151E-3</v>
      </c>
    </row>
    <row r="468" spans="1:12" x14ac:dyDescent="0.25">
      <c r="A468" s="3">
        <v>45690.603877314818</v>
      </c>
      <c r="B468" t="s">
        <v>232</v>
      </c>
      <c r="C468" s="3">
        <v>45690.706956018519</v>
      </c>
      <c r="D468" t="s">
        <v>261</v>
      </c>
      <c r="E468" s="4">
        <v>36.512999999999998</v>
      </c>
      <c r="F468" s="4">
        <v>524709.56599999999</v>
      </c>
      <c r="G468" s="4">
        <v>524746.07900000003</v>
      </c>
      <c r="H468" s="5">
        <f>3883 / 86400</f>
        <v>4.494212962962963E-2</v>
      </c>
      <c r="I468" t="s">
        <v>208</v>
      </c>
      <c r="J468" t="s">
        <v>139</v>
      </c>
      <c r="K468" s="5">
        <f>8905 / 86400</f>
        <v>0.10306712962962963</v>
      </c>
      <c r="L468" s="5">
        <f>568 / 86400</f>
        <v>6.5740740740740742E-3</v>
      </c>
    </row>
    <row r="469" spans="1:12" x14ac:dyDescent="0.25">
      <c r="A469" s="3">
        <v>45690.713530092587</v>
      </c>
      <c r="B469" t="s">
        <v>261</v>
      </c>
      <c r="C469" s="3">
        <v>45690.804722222223</v>
      </c>
      <c r="D469" t="s">
        <v>247</v>
      </c>
      <c r="E469" s="4">
        <v>45.706999999940393</v>
      </c>
      <c r="F469" s="4">
        <v>524746.07900000003</v>
      </c>
      <c r="G469" s="4">
        <v>524791.78599999996</v>
      </c>
      <c r="H469" s="5">
        <f>2439 / 86400</f>
        <v>2.8229166666666666E-2</v>
      </c>
      <c r="I469" t="s">
        <v>26</v>
      </c>
      <c r="J469" t="s">
        <v>30</v>
      </c>
      <c r="K469" s="5">
        <f>7878 / 86400</f>
        <v>9.1180555555555556E-2</v>
      </c>
      <c r="L469" s="5">
        <f>273 / 86400</f>
        <v>3.1597222222222222E-3</v>
      </c>
    </row>
    <row r="470" spans="1:12" x14ac:dyDescent="0.25">
      <c r="A470" s="3">
        <v>45690.807881944449</v>
      </c>
      <c r="B470" t="s">
        <v>247</v>
      </c>
      <c r="C470" s="3">
        <v>45690.870474537034</v>
      </c>
      <c r="D470" t="s">
        <v>170</v>
      </c>
      <c r="E470" s="4">
        <v>35.622000000119208</v>
      </c>
      <c r="F470" s="4">
        <v>524791.78599999996</v>
      </c>
      <c r="G470" s="4">
        <v>524827.40800000005</v>
      </c>
      <c r="H470" s="5">
        <f>1659 / 86400</f>
        <v>1.9201388888888889E-2</v>
      </c>
      <c r="I470" t="s">
        <v>74</v>
      </c>
      <c r="J470" t="s">
        <v>189</v>
      </c>
      <c r="K470" s="5">
        <f>5407 / 86400</f>
        <v>6.2581018518518522E-2</v>
      </c>
      <c r="L470" s="5">
        <f>834 / 86400</f>
        <v>9.6527777777777775E-3</v>
      </c>
    </row>
    <row r="471" spans="1:12" x14ac:dyDescent="0.25">
      <c r="A471" s="3">
        <v>45690.880127314813</v>
      </c>
      <c r="B471" t="s">
        <v>170</v>
      </c>
      <c r="C471" s="3">
        <v>45690.943067129629</v>
      </c>
      <c r="D471" t="s">
        <v>247</v>
      </c>
      <c r="E471" s="4">
        <v>36.763999999940395</v>
      </c>
      <c r="F471" s="4">
        <v>524827.40800000005</v>
      </c>
      <c r="G471" s="4">
        <v>524864.17200000002</v>
      </c>
      <c r="H471" s="5">
        <f>1400 / 86400</f>
        <v>1.6203703703703703E-2</v>
      </c>
      <c r="I471" t="s">
        <v>57</v>
      </c>
      <c r="J471" t="s">
        <v>189</v>
      </c>
      <c r="K471" s="5">
        <f>5437 / 86400</f>
        <v>6.2928240740740743E-2</v>
      </c>
      <c r="L471" s="5">
        <f>403 / 86400</f>
        <v>4.6643518518518518E-3</v>
      </c>
    </row>
    <row r="472" spans="1:12" x14ac:dyDescent="0.25">
      <c r="A472" s="3">
        <v>45690.947731481487</v>
      </c>
      <c r="B472" t="s">
        <v>247</v>
      </c>
      <c r="C472" s="3">
        <v>45690.99998842593</v>
      </c>
      <c r="D472" t="s">
        <v>73</v>
      </c>
      <c r="E472" s="4">
        <v>27.777000000000001</v>
      </c>
      <c r="F472" s="4">
        <v>524864.17200000002</v>
      </c>
      <c r="G472" s="4">
        <v>524891.94900000002</v>
      </c>
      <c r="H472" s="5">
        <f>1639 / 86400</f>
        <v>1.8969907407407408E-2</v>
      </c>
      <c r="I472" t="s">
        <v>118</v>
      </c>
      <c r="J472" t="s">
        <v>84</v>
      </c>
      <c r="K472" s="5">
        <f>4515 / 86400</f>
        <v>5.2256944444444446E-2</v>
      </c>
      <c r="L472" s="5">
        <f>0 / 86400</f>
        <v>0</v>
      </c>
    </row>
    <row r="473" spans="1:12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</row>
    <row r="474" spans="1:1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</row>
    <row r="475" spans="1:12" s="10" customFormat="1" ht="20.100000000000001" customHeight="1" x14ac:dyDescent="0.35">
      <c r="A475" s="15" t="s">
        <v>331</v>
      </c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1:12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</row>
    <row r="477" spans="1:12" ht="30" x14ac:dyDescent="0.25">
      <c r="A477" s="2" t="s">
        <v>6</v>
      </c>
      <c r="B477" s="2" t="s">
        <v>7</v>
      </c>
      <c r="C477" s="2" t="s">
        <v>8</v>
      </c>
      <c r="D477" s="2" t="s">
        <v>9</v>
      </c>
      <c r="E477" s="2" t="s">
        <v>10</v>
      </c>
      <c r="F477" s="2" t="s">
        <v>11</v>
      </c>
      <c r="G477" s="2" t="s">
        <v>12</v>
      </c>
      <c r="H477" s="2" t="s">
        <v>13</v>
      </c>
      <c r="I477" s="2" t="s">
        <v>14</v>
      </c>
      <c r="J477" s="2" t="s">
        <v>15</v>
      </c>
      <c r="K477" s="2" t="s">
        <v>16</v>
      </c>
      <c r="L477" s="2" t="s">
        <v>17</v>
      </c>
    </row>
    <row r="478" spans="1:12" x14ac:dyDescent="0.25">
      <c r="A478" s="3">
        <v>45690.481064814812</v>
      </c>
      <c r="B478" t="s">
        <v>25</v>
      </c>
      <c r="C478" s="3">
        <v>45690.482210648144</v>
      </c>
      <c r="D478" t="s">
        <v>25</v>
      </c>
      <c r="E478" s="4">
        <v>1.0999999999999999E-2</v>
      </c>
      <c r="F478" s="4">
        <v>566134.83499999996</v>
      </c>
      <c r="G478" s="4">
        <v>566134.84600000002</v>
      </c>
      <c r="H478" s="5">
        <f>20 / 86400</f>
        <v>2.3148148148148149E-4</v>
      </c>
      <c r="I478" t="s">
        <v>79</v>
      </c>
      <c r="J478" t="s">
        <v>39</v>
      </c>
      <c r="K478" s="5">
        <f>99 / 86400</f>
        <v>1.1458333333333333E-3</v>
      </c>
      <c r="L478" s="5">
        <f>44298 / 86400</f>
        <v>0.51270833333333332</v>
      </c>
    </row>
    <row r="479" spans="1:12" x14ac:dyDescent="0.25">
      <c r="A479" s="3">
        <v>45690.513854166667</v>
      </c>
      <c r="B479" t="s">
        <v>25</v>
      </c>
      <c r="C479" s="3">
        <v>45690.514293981483</v>
      </c>
      <c r="D479" t="s">
        <v>25</v>
      </c>
      <c r="E479" s="4">
        <v>0</v>
      </c>
      <c r="F479" s="4">
        <v>566134.84600000002</v>
      </c>
      <c r="G479" s="4">
        <v>566134.84600000002</v>
      </c>
      <c r="H479" s="5">
        <f>0 / 86400</f>
        <v>0</v>
      </c>
      <c r="I479" t="s">
        <v>41</v>
      </c>
      <c r="J479" t="s">
        <v>39</v>
      </c>
      <c r="K479" s="5">
        <f>38 / 86400</f>
        <v>4.3981481481481481E-4</v>
      </c>
      <c r="L479" s="5">
        <f>24985 / 86400</f>
        <v>0.28917824074074072</v>
      </c>
    </row>
    <row r="480" spans="1:12" x14ac:dyDescent="0.25">
      <c r="A480" s="3">
        <v>45690.803472222222</v>
      </c>
      <c r="B480" t="s">
        <v>25</v>
      </c>
      <c r="C480" s="3">
        <v>45690.803993055553</v>
      </c>
      <c r="D480" t="s">
        <v>25</v>
      </c>
      <c r="E480" s="4">
        <v>2E-3</v>
      </c>
      <c r="F480" s="4">
        <v>566134.84600000002</v>
      </c>
      <c r="G480" s="4">
        <v>566134.848</v>
      </c>
      <c r="H480" s="5">
        <f>19 / 86400</f>
        <v>2.199074074074074E-4</v>
      </c>
      <c r="I480" t="s">
        <v>75</v>
      </c>
      <c r="J480" t="s">
        <v>39</v>
      </c>
      <c r="K480" s="5">
        <f>45 / 86400</f>
        <v>5.2083333333333333E-4</v>
      </c>
      <c r="L480" s="5">
        <f>16934 / 86400</f>
        <v>0.19599537037037038</v>
      </c>
    </row>
    <row r="481" spans="1:12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</row>
    <row r="482" spans="1:12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</row>
    <row r="483" spans="1:12" s="10" customFormat="1" ht="20.100000000000001" customHeight="1" x14ac:dyDescent="0.35">
      <c r="A483" s="15" t="s">
        <v>332</v>
      </c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1:12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</row>
    <row r="485" spans="1:12" ht="30" x14ac:dyDescent="0.25">
      <c r="A485" s="2" t="s">
        <v>6</v>
      </c>
      <c r="B485" s="2" t="s">
        <v>7</v>
      </c>
      <c r="C485" s="2" t="s">
        <v>8</v>
      </c>
      <c r="D485" s="2" t="s">
        <v>9</v>
      </c>
      <c r="E485" s="2" t="s">
        <v>10</v>
      </c>
      <c r="F485" s="2" t="s">
        <v>11</v>
      </c>
      <c r="G485" s="2" t="s">
        <v>12</v>
      </c>
      <c r="H485" s="2" t="s">
        <v>13</v>
      </c>
      <c r="I485" s="2" t="s">
        <v>14</v>
      </c>
      <c r="J485" s="2" t="s">
        <v>15</v>
      </c>
      <c r="K485" s="2" t="s">
        <v>16</v>
      </c>
      <c r="L485" s="2" t="s">
        <v>17</v>
      </c>
    </row>
    <row r="486" spans="1:12" x14ac:dyDescent="0.25">
      <c r="A486" s="3">
        <v>45690.259976851856</v>
      </c>
      <c r="B486" t="s">
        <v>76</v>
      </c>
      <c r="C486" s="3">
        <v>45690.324016203704</v>
      </c>
      <c r="D486" t="s">
        <v>128</v>
      </c>
      <c r="E486" s="4">
        <v>37.113999999999997</v>
      </c>
      <c r="F486" s="4">
        <v>433742.75599999999</v>
      </c>
      <c r="G486" s="4">
        <v>433779.87</v>
      </c>
      <c r="H486" s="5">
        <f>1119 / 86400</f>
        <v>1.2951388888888889E-2</v>
      </c>
      <c r="I486" t="s">
        <v>45</v>
      </c>
      <c r="J486" t="s">
        <v>189</v>
      </c>
      <c r="K486" s="5">
        <f>5533 / 86400</f>
        <v>6.4039351851851847E-2</v>
      </c>
      <c r="L486" s="5">
        <f>22576 / 86400</f>
        <v>0.2612962962962963</v>
      </c>
    </row>
    <row r="487" spans="1:12" x14ac:dyDescent="0.25">
      <c r="A487" s="3">
        <v>45690.325335648144</v>
      </c>
      <c r="B487" t="s">
        <v>128</v>
      </c>
      <c r="C487" s="3">
        <v>45690.326412037037</v>
      </c>
      <c r="D487" t="s">
        <v>128</v>
      </c>
      <c r="E487" s="4">
        <v>0</v>
      </c>
      <c r="F487" s="4">
        <v>433779.87</v>
      </c>
      <c r="G487" s="4">
        <v>433779.87</v>
      </c>
      <c r="H487" s="5">
        <f>79 / 86400</f>
        <v>9.1435185185185185E-4</v>
      </c>
      <c r="I487" t="s">
        <v>39</v>
      </c>
      <c r="J487" t="s">
        <v>39</v>
      </c>
      <c r="K487" s="5">
        <f>93 / 86400</f>
        <v>1.0763888888888889E-3</v>
      </c>
      <c r="L487" s="5">
        <f>2483 / 86400</f>
        <v>2.8738425925925924E-2</v>
      </c>
    </row>
    <row r="488" spans="1:12" x14ac:dyDescent="0.25">
      <c r="A488" s="3">
        <v>45690.355150462958</v>
      </c>
      <c r="B488" t="s">
        <v>128</v>
      </c>
      <c r="C488" s="3">
        <v>45690.358391203699</v>
      </c>
      <c r="D488" t="s">
        <v>142</v>
      </c>
      <c r="E488" s="4">
        <v>1.23</v>
      </c>
      <c r="F488" s="4">
        <v>433779.87</v>
      </c>
      <c r="G488" s="4">
        <v>433781.1</v>
      </c>
      <c r="H488" s="5">
        <f>40 / 86400</f>
        <v>4.6296296296296298E-4</v>
      </c>
      <c r="I488" t="s">
        <v>23</v>
      </c>
      <c r="J488" t="s">
        <v>97</v>
      </c>
      <c r="K488" s="5">
        <f>280 / 86400</f>
        <v>3.2407407407407406E-3</v>
      </c>
      <c r="L488" s="5">
        <f>251 / 86400</f>
        <v>2.9050925925925928E-3</v>
      </c>
    </row>
    <row r="489" spans="1:12" x14ac:dyDescent="0.25">
      <c r="A489" s="3">
        <v>45690.361296296294</v>
      </c>
      <c r="B489" t="s">
        <v>142</v>
      </c>
      <c r="C489" s="3">
        <v>45690.362129629633</v>
      </c>
      <c r="D489" t="s">
        <v>142</v>
      </c>
      <c r="E489" s="4">
        <v>2.4E-2</v>
      </c>
      <c r="F489" s="4">
        <v>433781.1</v>
      </c>
      <c r="G489" s="4">
        <v>433781.12400000001</v>
      </c>
      <c r="H489" s="5">
        <f>20 / 86400</f>
        <v>2.3148148148148149E-4</v>
      </c>
      <c r="I489" t="s">
        <v>60</v>
      </c>
      <c r="J489" t="s">
        <v>41</v>
      </c>
      <c r="K489" s="5">
        <f>72 / 86400</f>
        <v>8.3333333333333339E-4</v>
      </c>
      <c r="L489" s="5">
        <f>147 / 86400</f>
        <v>1.7013888888888888E-3</v>
      </c>
    </row>
    <row r="490" spans="1:12" x14ac:dyDescent="0.25">
      <c r="A490" s="3">
        <v>45690.36383101852</v>
      </c>
      <c r="B490" t="s">
        <v>142</v>
      </c>
      <c r="C490" s="3">
        <v>45690.365891203706</v>
      </c>
      <c r="D490" t="s">
        <v>140</v>
      </c>
      <c r="E490" s="4">
        <v>5.0999999999999997E-2</v>
      </c>
      <c r="F490" s="4">
        <v>433781.12400000001</v>
      </c>
      <c r="G490" s="4">
        <v>433781.17499999999</v>
      </c>
      <c r="H490" s="5">
        <f>119 / 86400</f>
        <v>1.3773148148148147E-3</v>
      </c>
      <c r="I490" t="s">
        <v>173</v>
      </c>
      <c r="J490" t="s">
        <v>41</v>
      </c>
      <c r="K490" s="5">
        <f>178 / 86400</f>
        <v>2.0601851851851853E-3</v>
      </c>
      <c r="L490" s="5">
        <f>1621 / 86400</f>
        <v>1.8761574074074073E-2</v>
      </c>
    </row>
    <row r="491" spans="1:12" x14ac:dyDescent="0.25">
      <c r="A491" s="3">
        <v>45690.384652777779</v>
      </c>
      <c r="B491" t="s">
        <v>140</v>
      </c>
      <c r="C491" s="3">
        <v>45690.490300925929</v>
      </c>
      <c r="D491" t="s">
        <v>262</v>
      </c>
      <c r="E491" s="4">
        <v>49.77</v>
      </c>
      <c r="F491" s="4">
        <v>433781.17499999999</v>
      </c>
      <c r="G491" s="4">
        <v>433830.94500000001</v>
      </c>
      <c r="H491" s="5">
        <f>2659 / 86400</f>
        <v>3.0775462962962963E-2</v>
      </c>
      <c r="I491" t="s">
        <v>43</v>
      </c>
      <c r="J491" t="s">
        <v>58</v>
      </c>
      <c r="K491" s="5">
        <f>9128 / 86400</f>
        <v>0.10564814814814814</v>
      </c>
      <c r="L491" s="5">
        <f>287 / 86400</f>
        <v>3.3217592592592591E-3</v>
      </c>
    </row>
    <row r="492" spans="1:12" x14ac:dyDescent="0.25">
      <c r="A492" s="3">
        <v>45690.493622685186</v>
      </c>
      <c r="B492" t="s">
        <v>262</v>
      </c>
      <c r="C492" s="3">
        <v>45690.494456018518</v>
      </c>
      <c r="D492" t="s">
        <v>262</v>
      </c>
      <c r="E492" s="4">
        <v>8.5000000000000006E-2</v>
      </c>
      <c r="F492" s="4">
        <v>433830.94500000001</v>
      </c>
      <c r="G492" s="4">
        <v>433831.03</v>
      </c>
      <c r="H492" s="5">
        <f>20 / 86400</f>
        <v>2.3148148148148149E-4</v>
      </c>
      <c r="I492" t="s">
        <v>139</v>
      </c>
      <c r="J492" t="s">
        <v>163</v>
      </c>
      <c r="K492" s="5">
        <f>71 / 86400</f>
        <v>8.2175925925925927E-4</v>
      </c>
      <c r="L492" s="5">
        <f>193 / 86400</f>
        <v>2.2337962962962962E-3</v>
      </c>
    </row>
    <row r="493" spans="1:12" x14ac:dyDescent="0.25">
      <c r="A493" s="3">
        <v>45690.496689814812</v>
      </c>
      <c r="B493" t="s">
        <v>262</v>
      </c>
      <c r="C493" s="3">
        <v>45690.610231481478</v>
      </c>
      <c r="D493" t="s">
        <v>143</v>
      </c>
      <c r="E493" s="4">
        <v>50.212000000000003</v>
      </c>
      <c r="F493" s="4">
        <v>433831.03</v>
      </c>
      <c r="G493" s="4">
        <v>433881.24200000003</v>
      </c>
      <c r="H493" s="5">
        <f>2860 / 86400</f>
        <v>3.3101851851851855E-2</v>
      </c>
      <c r="I493" t="s">
        <v>116</v>
      </c>
      <c r="J493" t="s">
        <v>33</v>
      </c>
      <c r="K493" s="5">
        <f>9810 / 86400</f>
        <v>0.11354166666666667</v>
      </c>
      <c r="L493" s="5">
        <f>52 / 86400</f>
        <v>6.018518518518519E-4</v>
      </c>
    </row>
    <row r="494" spans="1:12" x14ac:dyDescent="0.25">
      <c r="A494" s="3">
        <v>45690.610833333332</v>
      </c>
      <c r="B494" t="s">
        <v>143</v>
      </c>
      <c r="C494" s="3">
        <v>45690.612303240741</v>
      </c>
      <c r="D494" t="s">
        <v>143</v>
      </c>
      <c r="E494" s="4">
        <v>0.10299999999999999</v>
      </c>
      <c r="F494" s="4">
        <v>433881.24200000003</v>
      </c>
      <c r="G494" s="4">
        <v>433881.34499999997</v>
      </c>
      <c r="H494" s="5">
        <f>60 / 86400</f>
        <v>6.9444444444444447E-4</v>
      </c>
      <c r="I494" t="s">
        <v>151</v>
      </c>
      <c r="J494" t="s">
        <v>75</v>
      </c>
      <c r="K494" s="5">
        <f>127 / 86400</f>
        <v>1.4699074074074074E-3</v>
      </c>
      <c r="L494" s="5">
        <f>3309 / 86400</f>
        <v>3.829861111111111E-2</v>
      </c>
    </row>
    <row r="495" spans="1:12" x14ac:dyDescent="0.25">
      <c r="A495" s="3">
        <v>45690.650601851856</v>
      </c>
      <c r="B495" t="s">
        <v>143</v>
      </c>
      <c r="C495" s="3">
        <v>45690.653368055559</v>
      </c>
      <c r="D495" t="s">
        <v>140</v>
      </c>
      <c r="E495" s="4">
        <v>0.70899999999999996</v>
      </c>
      <c r="F495" s="4">
        <v>433881.34499999997</v>
      </c>
      <c r="G495" s="4">
        <v>433882.054</v>
      </c>
      <c r="H495" s="5">
        <f>39 / 86400</f>
        <v>4.5138888888888887E-4</v>
      </c>
      <c r="I495" t="s">
        <v>149</v>
      </c>
      <c r="J495" t="s">
        <v>144</v>
      </c>
      <c r="K495" s="5">
        <f>239 / 86400</f>
        <v>2.7662037037037039E-3</v>
      </c>
      <c r="L495" s="5">
        <f>564 / 86400</f>
        <v>6.5277777777777782E-3</v>
      </c>
    </row>
    <row r="496" spans="1:12" x14ac:dyDescent="0.25">
      <c r="A496" s="3">
        <v>45690.659895833334</v>
      </c>
      <c r="B496" t="s">
        <v>140</v>
      </c>
      <c r="C496" s="3">
        <v>45690.660266203704</v>
      </c>
      <c r="D496" t="s">
        <v>140</v>
      </c>
      <c r="E496" s="4">
        <v>8.9999999999999993E-3</v>
      </c>
      <c r="F496" s="4">
        <v>433882.054</v>
      </c>
      <c r="G496" s="4">
        <v>433882.06300000002</v>
      </c>
      <c r="H496" s="5">
        <f>19 / 86400</f>
        <v>2.199074074074074E-4</v>
      </c>
      <c r="I496" t="s">
        <v>39</v>
      </c>
      <c r="J496" t="s">
        <v>41</v>
      </c>
      <c r="K496" s="5">
        <f>32 / 86400</f>
        <v>3.7037037037037035E-4</v>
      </c>
      <c r="L496" s="5">
        <f>368 / 86400</f>
        <v>4.2592592592592595E-3</v>
      </c>
    </row>
    <row r="497" spans="1:12" x14ac:dyDescent="0.25">
      <c r="A497" s="3">
        <v>45690.664525462962</v>
      </c>
      <c r="B497" t="s">
        <v>140</v>
      </c>
      <c r="C497" s="3">
        <v>45690.665451388893</v>
      </c>
      <c r="D497" t="s">
        <v>140</v>
      </c>
      <c r="E497" s="4">
        <v>0.189</v>
      </c>
      <c r="F497" s="4">
        <v>433882.06300000002</v>
      </c>
      <c r="G497" s="4">
        <v>433882.25199999998</v>
      </c>
      <c r="H497" s="5">
        <f>19 / 86400</f>
        <v>2.199074074074074E-4</v>
      </c>
      <c r="I497" t="s">
        <v>27</v>
      </c>
      <c r="J497" t="s">
        <v>88</v>
      </c>
      <c r="K497" s="5">
        <f>80 / 86400</f>
        <v>9.2592592592592596E-4</v>
      </c>
      <c r="L497" s="5">
        <f>1517 / 86400</f>
        <v>1.755787037037037E-2</v>
      </c>
    </row>
    <row r="498" spans="1:12" x14ac:dyDescent="0.25">
      <c r="A498" s="3">
        <v>45690.683009259257</v>
      </c>
      <c r="B498" t="s">
        <v>216</v>
      </c>
      <c r="C498" s="3">
        <v>45690.866400462968</v>
      </c>
      <c r="D498" t="s">
        <v>263</v>
      </c>
      <c r="E498" s="4">
        <v>70.347999999999999</v>
      </c>
      <c r="F498" s="4">
        <v>433882.25199999998</v>
      </c>
      <c r="G498" s="4">
        <v>433952.6</v>
      </c>
      <c r="H498" s="5">
        <f>5085 / 86400</f>
        <v>5.8854166666666666E-2</v>
      </c>
      <c r="I498" t="s">
        <v>241</v>
      </c>
      <c r="J498" t="s">
        <v>97</v>
      </c>
      <c r="K498" s="5">
        <f>15845 / 86400</f>
        <v>0.18339120370370371</v>
      </c>
      <c r="L498" s="5">
        <f>487 / 86400</f>
        <v>5.6365740740740742E-3</v>
      </c>
    </row>
    <row r="499" spans="1:12" x14ac:dyDescent="0.25">
      <c r="A499" s="3">
        <v>45690.872037037036</v>
      </c>
      <c r="B499" t="s">
        <v>263</v>
      </c>
      <c r="C499" s="3">
        <v>45690.87263888889</v>
      </c>
      <c r="D499" t="s">
        <v>264</v>
      </c>
      <c r="E499" s="4">
        <v>2.1999999999999999E-2</v>
      </c>
      <c r="F499" s="4">
        <v>433952.6</v>
      </c>
      <c r="G499" s="4">
        <v>433952.62199999997</v>
      </c>
      <c r="H499" s="5">
        <f>20 / 86400</f>
        <v>2.3148148148148149E-4</v>
      </c>
      <c r="I499" t="s">
        <v>38</v>
      </c>
      <c r="J499" t="s">
        <v>79</v>
      </c>
      <c r="K499" s="5">
        <f>51 / 86400</f>
        <v>5.9027777777777778E-4</v>
      </c>
      <c r="L499" s="5">
        <f>648 / 86400</f>
        <v>7.4999999999999997E-3</v>
      </c>
    </row>
    <row r="500" spans="1:12" x14ac:dyDescent="0.25">
      <c r="A500" s="3">
        <v>45690.88013888889</v>
      </c>
      <c r="B500" t="s">
        <v>264</v>
      </c>
      <c r="C500" s="3">
        <v>45690.886770833335</v>
      </c>
      <c r="D500" t="s">
        <v>265</v>
      </c>
      <c r="E500" s="4">
        <v>1.22</v>
      </c>
      <c r="F500" s="4">
        <v>433952.62199999997</v>
      </c>
      <c r="G500" s="4">
        <v>433953.842</v>
      </c>
      <c r="H500" s="5">
        <f>320 / 86400</f>
        <v>3.7037037037037038E-3</v>
      </c>
      <c r="I500" t="s">
        <v>87</v>
      </c>
      <c r="J500" t="s">
        <v>173</v>
      </c>
      <c r="K500" s="5">
        <f>572 / 86400</f>
        <v>6.6203703703703702E-3</v>
      </c>
      <c r="L500" s="5">
        <f>1481 / 86400</f>
        <v>1.7141203703703704E-2</v>
      </c>
    </row>
    <row r="501" spans="1:12" x14ac:dyDescent="0.25">
      <c r="A501" s="3">
        <v>45690.903912037036</v>
      </c>
      <c r="B501" t="s">
        <v>265</v>
      </c>
      <c r="C501" s="3">
        <v>45690.910821759258</v>
      </c>
      <c r="D501" t="s">
        <v>266</v>
      </c>
      <c r="E501" s="4">
        <v>2.371</v>
      </c>
      <c r="F501" s="4">
        <v>433953.842</v>
      </c>
      <c r="G501" s="4">
        <v>433956.21299999999</v>
      </c>
      <c r="H501" s="5">
        <f>120 / 86400</f>
        <v>1.3888888888888889E-3</v>
      </c>
      <c r="I501" t="s">
        <v>159</v>
      </c>
      <c r="J501" t="s">
        <v>127</v>
      </c>
      <c r="K501" s="5">
        <f>597 / 86400</f>
        <v>6.9097222222222225E-3</v>
      </c>
      <c r="L501" s="5">
        <f>199 / 86400</f>
        <v>2.3032407407407407E-3</v>
      </c>
    </row>
    <row r="502" spans="1:12" x14ac:dyDescent="0.25">
      <c r="A502" s="3">
        <v>45690.913124999999</v>
      </c>
      <c r="B502" t="s">
        <v>266</v>
      </c>
      <c r="C502" s="3">
        <v>45690.917800925927</v>
      </c>
      <c r="D502" t="s">
        <v>77</v>
      </c>
      <c r="E502" s="4">
        <v>0.64200000000000002</v>
      </c>
      <c r="F502" s="4">
        <v>433956.21299999999</v>
      </c>
      <c r="G502" s="4">
        <v>433956.85499999998</v>
      </c>
      <c r="H502" s="5">
        <f>180 / 86400</f>
        <v>2.0833333333333333E-3</v>
      </c>
      <c r="I502" t="s">
        <v>30</v>
      </c>
      <c r="J502" t="s">
        <v>38</v>
      </c>
      <c r="K502" s="5">
        <f>403 / 86400</f>
        <v>4.6643518518518518E-3</v>
      </c>
      <c r="L502" s="5">
        <f>2195 / 86400</f>
        <v>2.5405092592592594E-2</v>
      </c>
    </row>
    <row r="503" spans="1:12" x14ac:dyDescent="0.25">
      <c r="A503" s="3">
        <v>45690.943206018521</v>
      </c>
      <c r="B503" t="s">
        <v>77</v>
      </c>
      <c r="C503" s="3">
        <v>45690.943784722222</v>
      </c>
      <c r="D503" t="s">
        <v>77</v>
      </c>
      <c r="E503" s="4">
        <v>0</v>
      </c>
      <c r="F503" s="4">
        <v>433956.85499999998</v>
      </c>
      <c r="G503" s="4">
        <v>433956.85499999998</v>
      </c>
      <c r="H503" s="5">
        <f>39 / 86400</f>
        <v>4.5138888888888887E-4</v>
      </c>
      <c r="I503" t="s">
        <v>39</v>
      </c>
      <c r="J503" t="s">
        <v>39</v>
      </c>
      <c r="K503" s="5">
        <f>49 / 86400</f>
        <v>5.6712962962962967E-4</v>
      </c>
      <c r="L503" s="5">
        <f>4856 / 86400</f>
        <v>5.6203703703703707E-2</v>
      </c>
    </row>
    <row r="504" spans="1:1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</row>
    <row r="505" spans="1:12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</row>
    <row r="506" spans="1:12" s="10" customFormat="1" ht="20.100000000000001" customHeight="1" x14ac:dyDescent="0.35">
      <c r="A506" s="15" t="s">
        <v>333</v>
      </c>
      <c r="B506" s="15"/>
      <c r="C506" s="15"/>
      <c r="D506" s="15"/>
      <c r="E506" s="15"/>
      <c r="F506" s="15"/>
      <c r="G506" s="15"/>
      <c r="H506" s="15"/>
      <c r="I506" s="15"/>
      <c r="J506" s="15"/>
    </row>
    <row r="507" spans="1:12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</row>
    <row r="508" spans="1:12" ht="30" x14ac:dyDescent="0.25">
      <c r="A508" s="2" t="s">
        <v>6</v>
      </c>
      <c r="B508" s="2" t="s">
        <v>7</v>
      </c>
      <c r="C508" s="2" t="s">
        <v>8</v>
      </c>
      <c r="D508" s="2" t="s">
        <v>9</v>
      </c>
      <c r="E508" s="2" t="s">
        <v>10</v>
      </c>
      <c r="F508" s="2" t="s">
        <v>11</v>
      </c>
      <c r="G508" s="2" t="s">
        <v>12</v>
      </c>
      <c r="H508" s="2" t="s">
        <v>13</v>
      </c>
      <c r="I508" s="2" t="s">
        <v>14</v>
      </c>
      <c r="J508" s="2" t="s">
        <v>15</v>
      </c>
      <c r="K508" s="2" t="s">
        <v>16</v>
      </c>
      <c r="L508" s="2" t="s">
        <v>17</v>
      </c>
    </row>
    <row r="509" spans="1:12" x14ac:dyDescent="0.25">
      <c r="A509" s="3">
        <v>45690</v>
      </c>
      <c r="B509" t="s">
        <v>78</v>
      </c>
      <c r="C509" s="3">
        <v>45690.007881944446</v>
      </c>
      <c r="D509" t="s">
        <v>154</v>
      </c>
      <c r="E509" s="4">
        <v>2.29</v>
      </c>
      <c r="F509" s="4">
        <v>513092.63199999998</v>
      </c>
      <c r="G509" s="4">
        <v>513094.92200000002</v>
      </c>
      <c r="H509" s="5">
        <f>241 / 86400</f>
        <v>2.7893518518518519E-3</v>
      </c>
      <c r="I509" t="s">
        <v>186</v>
      </c>
      <c r="J509" t="s">
        <v>125</v>
      </c>
      <c r="K509" s="5">
        <f>681 / 86400</f>
        <v>7.8819444444444449E-3</v>
      </c>
      <c r="L509" s="5">
        <f>5 / 86400</f>
        <v>5.7870370370370373E-5</v>
      </c>
    </row>
    <row r="510" spans="1:12" x14ac:dyDescent="0.25">
      <c r="A510" s="3">
        <v>45690.007939814815</v>
      </c>
      <c r="B510" t="s">
        <v>154</v>
      </c>
      <c r="C510" s="3">
        <v>45690.008125</v>
      </c>
      <c r="D510" t="s">
        <v>154</v>
      </c>
      <c r="E510" s="4">
        <v>0</v>
      </c>
      <c r="F510" s="4">
        <v>513094.92200000002</v>
      </c>
      <c r="G510" s="4">
        <v>513094.92200000002</v>
      </c>
      <c r="H510" s="5">
        <f>0 / 86400</f>
        <v>0</v>
      </c>
      <c r="I510" t="s">
        <v>39</v>
      </c>
      <c r="J510" t="s">
        <v>39</v>
      </c>
      <c r="K510" s="5">
        <f>16 / 86400</f>
        <v>1.8518518518518518E-4</v>
      </c>
      <c r="L510" s="5">
        <f>13236 / 86400</f>
        <v>0.15319444444444444</v>
      </c>
    </row>
    <row r="511" spans="1:12" x14ac:dyDescent="0.25">
      <c r="A511" s="3">
        <v>45690.161319444444</v>
      </c>
      <c r="B511" t="s">
        <v>154</v>
      </c>
      <c r="C511" s="3">
        <v>45690.165081018524</v>
      </c>
      <c r="D511" t="s">
        <v>267</v>
      </c>
      <c r="E511" s="4">
        <v>0.37</v>
      </c>
      <c r="F511" s="4">
        <v>513094.92200000002</v>
      </c>
      <c r="G511" s="4">
        <v>513095.29200000002</v>
      </c>
      <c r="H511" s="5">
        <f>150 / 86400</f>
        <v>1.736111111111111E-3</v>
      </c>
      <c r="I511" t="s">
        <v>20</v>
      </c>
      <c r="J511" t="s">
        <v>163</v>
      </c>
      <c r="K511" s="5">
        <f>325 / 86400</f>
        <v>3.7615740740740739E-3</v>
      </c>
      <c r="L511" s="5">
        <f>1537 / 86400</f>
        <v>1.7789351851851851E-2</v>
      </c>
    </row>
    <row r="512" spans="1:12" x14ac:dyDescent="0.25">
      <c r="A512" s="3">
        <v>45690.182870370365</v>
      </c>
      <c r="B512" t="s">
        <v>267</v>
      </c>
      <c r="C512" s="3">
        <v>45690.296712962961</v>
      </c>
      <c r="D512" t="s">
        <v>48</v>
      </c>
      <c r="E512" s="4">
        <v>51.176000000000002</v>
      </c>
      <c r="F512" s="4">
        <v>513095.29200000002</v>
      </c>
      <c r="G512" s="4">
        <v>513146.46799999999</v>
      </c>
      <c r="H512" s="5">
        <f>3658 / 86400</f>
        <v>4.2337962962962966E-2</v>
      </c>
      <c r="I512" t="s">
        <v>161</v>
      </c>
      <c r="J512" t="s">
        <v>20</v>
      </c>
      <c r="K512" s="5">
        <f>9836 / 86400</f>
        <v>0.11384259259259259</v>
      </c>
      <c r="L512" s="5">
        <f>1092 / 86400</f>
        <v>1.2638888888888889E-2</v>
      </c>
    </row>
    <row r="513" spans="1:12" x14ac:dyDescent="0.25">
      <c r="A513" s="3">
        <v>45690.309351851851</v>
      </c>
      <c r="B513" t="s">
        <v>48</v>
      </c>
      <c r="C513" s="3">
        <v>45690.311898148153</v>
      </c>
      <c r="D513" t="s">
        <v>128</v>
      </c>
      <c r="E513" s="4">
        <v>0.85799999999999998</v>
      </c>
      <c r="F513" s="4">
        <v>513146.46799999999</v>
      </c>
      <c r="G513" s="4">
        <v>513147.326</v>
      </c>
      <c r="H513" s="5">
        <f>30 / 86400</f>
        <v>3.4722222222222224E-4</v>
      </c>
      <c r="I513" t="s">
        <v>132</v>
      </c>
      <c r="J513" t="s">
        <v>127</v>
      </c>
      <c r="K513" s="5">
        <f>220 / 86400</f>
        <v>2.5462962962962965E-3</v>
      </c>
      <c r="L513" s="5">
        <f>595 / 86400</f>
        <v>6.8865740740740745E-3</v>
      </c>
    </row>
    <row r="514" spans="1:12" x14ac:dyDescent="0.25">
      <c r="A514" s="3">
        <v>45690.318784722222</v>
      </c>
      <c r="B514" t="s">
        <v>128</v>
      </c>
      <c r="C514" s="3">
        <v>45690.321493055555</v>
      </c>
      <c r="D514" t="s">
        <v>143</v>
      </c>
      <c r="E514" s="4">
        <v>0.73799999999999999</v>
      </c>
      <c r="F514" s="4">
        <v>513147.326</v>
      </c>
      <c r="G514" s="4">
        <v>513148.06400000001</v>
      </c>
      <c r="H514" s="5">
        <f>30 / 86400</f>
        <v>3.4722222222222224E-4</v>
      </c>
      <c r="I514" t="s">
        <v>86</v>
      </c>
      <c r="J514" t="s">
        <v>144</v>
      </c>
      <c r="K514" s="5">
        <f>234 / 86400</f>
        <v>2.7083333333333334E-3</v>
      </c>
      <c r="L514" s="5">
        <f>313 / 86400</f>
        <v>3.6226851851851854E-3</v>
      </c>
    </row>
    <row r="515" spans="1:12" x14ac:dyDescent="0.25">
      <c r="A515" s="3">
        <v>45690.325115740736</v>
      </c>
      <c r="B515" t="s">
        <v>143</v>
      </c>
      <c r="C515" s="3">
        <v>45690.325706018513</v>
      </c>
      <c r="D515" t="s">
        <v>174</v>
      </c>
      <c r="E515" s="4">
        <v>1.6E-2</v>
      </c>
      <c r="F515" s="4">
        <v>513148.06400000001</v>
      </c>
      <c r="G515" s="4">
        <v>513148.08</v>
      </c>
      <c r="H515" s="5">
        <f>29 / 86400</f>
        <v>3.3564814814814812E-4</v>
      </c>
      <c r="I515" t="s">
        <v>39</v>
      </c>
      <c r="J515" t="s">
        <v>41</v>
      </c>
      <c r="K515" s="5">
        <f>51 / 86400</f>
        <v>5.9027777777777778E-4</v>
      </c>
      <c r="L515" s="5">
        <f>129 / 86400</f>
        <v>1.4930555555555556E-3</v>
      </c>
    </row>
    <row r="516" spans="1:12" x14ac:dyDescent="0.25">
      <c r="A516" s="3">
        <v>45690.327199074076</v>
      </c>
      <c r="B516" t="s">
        <v>174</v>
      </c>
      <c r="C516" s="3">
        <v>45690.328368055554</v>
      </c>
      <c r="D516" t="s">
        <v>145</v>
      </c>
      <c r="E516" s="4">
        <v>5.0000000000000001E-3</v>
      </c>
      <c r="F516" s="4">
        <v>513148.08</v>
      </c>
      <c r="G516" s="4">
        <v>513148.08500000002</v>
      </c>
      <c r="H516" s="5">
        <f>89 / 86400</f>
        <v>1.0300925925925926E-3</v>
      </c>
      <c r="I516" t="s">
        <v>39</v>
      </c>
      <c r="J516" t="s">
        <v>39</v>
      </c>
      <c r="K516" s="5">
        <f>101 / 86400</f>
        <v>1.1689814814814816E-3</v>
      </c>
      <c r="L516" s="5">
        <f>185 / 86400</f>
        <v>2.1412037037037038E-3</v>
      </c>
    </row>
    <row r="517" spans="1:12" x14ac:dyDescent="0.25">
      <c r="A517" s="3">
        <v>45690.330509259264</v>
      </c>
      <c r="B517" t="s">
        <v>145</v>
      </c>
      <c r="C517" s="3">
        <v>45690.330914351856</v>
      </c>
      <c r="D517" t="s">
        <v>145</v>
      </c>
      <c r="E517" s="4">
        <v>0.01</v>
      </c>
      <c r="F517" s="4">
        <v>513148.08500000002</v>
      </c>
      <c r="G517" s="4">
        <v>513148.09499999997</v>
      </c>
      <c r="H517" s="5">
        <f>29 / 86400</f>
        <v>3.3564814814814812E-4</v>
      </c>
      <c r="I517" t="s">
        <v>39</v>
      </c>
      <c r="J517" t="s">
        <v>41</v>
      </c>
      <c r="K517" s="5">
        <f>35 / 86400</f>
        <v>4.0509259259259258E-4</v>
      </c>
      <c r="L517" s="5">
        <f>445 / 86400</f>
        <v>5.1504629629629626E-3</v>
      </c>
    </row>
    <row r="518" spans="1:12" x14ac:dyDescent="0.25">
      <c r="A518" s="3">
        <v>45690.336064814815</v>
      </c>
      <c r="B518" t="s">
        <v>145</v>
      </c>
      <c r="C518" s="3">
        <v>45690.433749999997</v>
      </c>
      <c r="D518" t="s">
        <v>268</v>
      </c>
      <c r="E518" s="4">
        <v>46.218000000000004</v>
      </c>
      <c r="F518" s="4">
        <v>513148.09499999997</v>
      </c>
      <c r="G518" s="4">
        <v>513194.31300000002</v>
      </c>
      <c r="H518" s="5">
        <f>3272 / 86400</f>
        <v>3.7870370370370374E-2</v>
      </c>
      <c r="I518" t="s">
        <v>83</v>
      </c>
      <c r="J518" t="s">
        <v>58</v>
      </c>
      <c r="K518" s="5">
        <f>8440 / 86400</f>
        <v>9.768518518518518E-2</v>
      </c>
      <c r="L518" s="5">
        <f>1 / 86400</f>
        <v>1.1574074074074073E-5</v>
      </c>
    </row>
    <row r="519" spans="1:12" x14ac:dyDescent="0.25">
      <c r="A519" s="3">
        <v>45690.433761574073</v>
      </c>
      <c r="B519" t="s">
        <v>269</v>
      </c>
      <c r="C519" s="3">
        <v>45690.506469907406</v>
      </c>
      <c r="D519" t="s">
        <v>113</v>
      </c>
      <c r="E519" s="4">
        <v>21.859000000000002</v>
      </c>
      <c r="F519" s="4">
        <v>513194.32699999999</v>
      </c>
      <c r="G519" s="4">
        <v>513216.18599999999</v>
      </c>
      <c r="H519" s="5">
        <f>3112 / 86400</f>
        <v>3.6018518518518519E-2</v>
      </c>
      <c r="I519" t="s">
        <v>231</v>
      </c>
      <c r="J519" t="s">
        <v>151</v>
      </c>
      <c r="K519" s="5">
        <f>6282 / 86400</f>
        <v>7.2708333333333333E-2</v>
      </c>
      <c r="L519" s="5">
        <f>30 / 86400</f>
        <v>3.4722222222222224E-4</v>
      </c>
    </row>
    <row r="520" spans="1:12" x14ac:dyDescent="0.25">
      <c r="A520" s="3">
        <v>45690.50681712963</v>
      </c>
      <c r="B520" t="s">
        <v>113</v>
      </c>
      <c r="C520" s="3">
        <v>45690.573761574073</v>
      </c>
      <c r="D520" t="s">
        <v>48</v>
      </c>
      <c r="E520" s="4">
        <v>35.136000000000003</v>
      </c>
      <c r="F520" s="4">
        <v>513216.32699999999</v>
      </c>
      <c r="G520" s="4">
        <v>513251.46299999999</v>
      </c>
      <c r="H520" s="5">
        <f>1690 / 86400</f>
        <v>1.9560185185185184E-2</v>
      </c>
      <c r="I520" t="s">
        <v>57</v>
      </c>
      <c r="J520" t="s">
        <v>84</v>
      </c>
      <c r="K520" s="5">
        <f>5784 / 86400</f>
        <v>6.6944444444444445E-2</v>
      </c>
      <c r="L520" s="5">
        <f>4344 / 86400</f>
        <v>5.0277777777777775E-2</v>
      </c>
    </row>
    <row r="521" spans="1:12" x14ac:dyDescent="0.25">
      <c r="A521" s="3">
        <v>45690.624039351853</v>
      </c>
      <c r="B521" t="s">
        <v>48</v>
      </c>
      <c r="C521" s="3">
        <v>45690.627951388888</v>
      </c>
      <c r="D521" t="s">
        <v>143</v>
      </c>
      <c r="E521" s="4">
        <v>0.70899999999999996</v>
      </c>
      <c r="F521" s="4">
        <v>513251.46299999999</v>
      </c>
      <c r="G521" s="4">
        <v>513252.17200000002</v>
      </c>
      <c r="H521" s="5">
        <f>120 / 86400</f>
        <v>1.3888888888888889E-3</v>
      </c>
      <c r="I521" t="s">
        <v>20</v>
      </c>
      <c r="J521" t="s">
        <v>173</v>
      </c>
      <c r="K521" s="5">
        <f>338 / 86400</f>
        <v>3.9120370370370368E-3</v>
      </c>
      <c r="L521" s="5">
        <f>102 / 86400</f>
        <v>1.1805555555555556E-3</v>
      </c>
    </row>
    <row r="522" spans="1:12" x14ac:dyDescent="0.25">
      <c r="A522" s="3">
        <v>45690.629131944443</v>
      </c>
      <c r="B522" t="s">
        <v>143</v>
      </c>
      <c r="C522" s="3">
        <v>45690.630740740744</v>
      </c>
      <c r="D522" t="s">
        <v>145</v>
      </c>
      <c r="E522" s="4">
        <v>6.0000000000000001E-3</v>
      </c>
      <c r="F522" s="4">
        <v>513252.17200000002</v>
      </c>
      <c r="G522" s="4">
        <v>513252.17800000001</v>
      </c>
      <c r="H522" s="5">
        <f>120 / 86400</f>
        <v>1.3888888888888889E-3</v>
      </c>
      <c r="I522" t="s">
        <v>39</v>
      </c>
      <c r="J522" t="s">
        <v>39</v>
      </c>
      <c r="K522" s="5">
        <f>139 / 86400</f>
        <v>1.6087962962962963E-3</v>
      </c>
      <c r="L522" s="5">
        <f>230 / 86400</f>
        <v>2.662037037037037E-3</v>
      </c>
    </row>
    <row r="523" spans="1:12" x14ac:dyDescent="0.25">
      <c r="A523" s="3">
        <v>45690.633402777778</v>
      </c>
      <c r="B523" t="s">
        <v>145</v>
      </c>
      <c r="C523" s="3">
        <v>45690.633761574078</v>
      </c>
      <c r="D523" t="s">
        <v>145</v>
      </c>
      <c r="E523" s="4">
        <v>0</v>
      </c>
      <c r="F523" s="4">
        <v>513252.17800000001</v>
      </c>
      <c r="G523" s="4">
        <v>513252.17800000001</v>
      </c>
      <c r="H523" s="5">
        <f>29 / 86400</f>
        <v>3.3564814814814812E-4</v>
      </c>
      <c r="I523" t="s">
        <v>39</v>
      </c>
      <c r="J523" t="s">
        <v>39</v>
      </c>
      <c r="K523" s="5">
        <f>31 / 86400</f>
        <v>3.5879629629629629E-4</v>
      </c>
      <c r="L523" s="5">
        <f>2 / 86400</f>
        <v>2.3148148148148147E-5</v>
      </c>
    </row>
    <row r="524" spans="1:12" x14ac:dyDescent="0.25">
      <c r="A524" s="3">
        <v>45690.633784722224</v>
      </c>
      <c r="B524" t="s">
        <v>145</v>
      </c>
      <c r="C524" s="3">
        <v>45690.634942129633</v>
      </c>
      <c r="D524" t="s">
        <v>174</v>
      </c>
      <c r="E524" s="4">
        <v>2E-3</v>
      </c>
      <c r="F524" s="4">
        <v>513252.17800000001</v>
      </c>
      <c r="G524" s="4">
        <v>513252.18</v>
      </c>
      <c r="H524" s="5">
        <f>57 / 86400</f>
        <v>6.5972222222222224E-4</v>
      </c>
      <c r="I524" t="s">
        <v>60</v>
      </c>
      <c r="J524" t="s">
        <v>39</v>
      </c>
      <c r="K524" s="5">
        <f>100 / 86400</f>
        <v>1.1574074074074073E-3</v>
      </c>
      <c r="L524" s="5">
        <f>1 / 86400</f>
        <v>1.1574074074074073E-5</v>
      </c>
    </row>
    <row r="525" spans="1:12" x14ac:dyDescent="0.25">
      <c r="A525" s="3">
        <v>45690.634953703702</v>
      </c>
      <c r="B525" t="s">
        <v>174</v>
      </c>
      <c r="C525" s="3">
        <v>45690.638043981482</v>
      </c>
      <c r="D525" t="s">
        <v>145</v>
      </c>
      <c r="E525" s="4">
        <v>2E-3</v>
      </c>
      <c r="F525" s="4">
        <v>513252.18</v>
      </c>
      <c r="G525" s="4">
        <v>513252.18199999997</v>
      </c>
      <c r="H525" s="5">
        <f>247 / 86400</f>
        <v>2.8587962962962963E-3</v>
      </c>
      <c r="I525" t="s">
        <v>39</v>
      </c>
      <c r="J525" t="s">
        <v>39</v>
      </c>
      <c r="K525" s="5">
        <f>267 / 86400</f>
        <v>3.0902777777777777E-3</v>
      </c>
      <c r="L525" s="5">
        <f>11 / 86400</f>
        <v>1.273148148148148E-4</v>
      </c>
    </row>
    <row r="526" spans="1:12" x14ac:dyDescent="0.25">
      <c r="A526" s="3">
        <v>45690.638171296298</v>
      </c>
      <c r="B526" t="s">
        <v>145</v>
      </c>
      <c r="C526" s="3">
        <v>45690.638587962967</v>
      </c>
      <c r="D526" t="s">
        <v>145</v>
      </c>
      <c r="E526" s="4">
        <v>1E-3</v>
      </c>
      <c r="F526" s="4">
        <v>513252.18199999997</v>
      </c>
      <c r="G526" s="4">
        <v>513252.18300000002</v>
      </c>
      <c r="H526" s="5">
        <f>30 / 86400</f>
        <v>3.4722222222222224E-4</v>
      </c>
      <c r="I526" t="s">
        <v>39</v>
      </c>
      <c r="J526" t="s">
        <v>39</v>
      </c>
      <c r="K526" s="5">
        <f>36 / 86400</f>
        <v>4.1666666666666669E-4</v>
      </c>
      <c r="L526" s="5">
        <f>216 / 86400</f>
        <v>2.5000000000000001E-3</v>
      </c>
    </row>
    <row r="527" spans="1:12" x14ac:dyDescent="0.25">
      <c r="A527" s="3">
        <v>45690.641087962962</v>
      </c>
      <c r="B527" t="s">
        <v>145</v>
      </c>
      <c r="C527" s="3">
        <v>45690.641412037032</v>
      </c>
      <c r="D527" t="s">
        <v>145</v>
      </c>
      <c r="E527" s="4">
        <v>6.0000000000000001E-3</v>
      </c>
      <c r="F527" s="4">
        <v>513252.18300000002</v>
      </c>
      <c r="G527" s="4">
        <v>513252.18900000001</v>
      </c>
      <c r="H527" s="5">
        <f>0 / 86400</f>
        <v>0</v>
      </c>
      <c r="I527" t="s">
        <v>39</v>
      </c>
      <c r="J527" t="s">
        <v>41</v>
      </c>
      <c r="K527" s="5">
        <f>28 / 86400</f>
        <v>3.2407407407407406E-4</v>
      </c>
      <c r="L527" s="5">
        <f>532 / 86400</f>
        <v>6.1574074074074074E-3</v>
      </c>
    </row>
    <row r="528" spans="1:12" x14ac:dyDescent="0.25">
      <c r="A528" s="3">
        <v>45690.647569444445</v>
      </c>
      <c r="B528" t="s">
        <v>145</v>
      </c>
      <c r="C528" s="3">
        <v>45690.869166666671</v>
      </c>
      <c r="D528" t="s">
        <v>140</v>
      </c>
      <c r="E528" s="4">
        <v>105.767</v>
      </c>
      <c r="F528" s="4">
        <v>513252.18900000001</v>
      </c>
      <c r="G528" s="4">
        <v>513357.95600000001</v>
      </c>
      <c r="H528" s="5">
        <f>6481 / 86400</f>
        <v>7.5011574074074078E-2</v>
      </c>
      <c r="I528" t="s">
        <v>35</v>
      </c>
      <c r="J528" t="s">
        <v>58</v>
      </c>
      <c r="K528" s="5">
        <f>19146 / 86400</f>
        <v>0.22159722222222222</v>
      </c>
      <c r="L528" s="5">
        <f>3 / 86400</f>
        <v>3.4722222222222222E-5</v>
      </c>
    </row>
    <row r="529" spans="1:12" x14ac:dyDescent="0.25">
      <c r="A529" s="3">
        <v>45690.869201388894</v>
      </c>
      <c r="B529" t="s">
        <v>140</v>
      </c>
      <c r="C529" s="3">
        <v>45690.870358796295</v>
      </c>
      <c r="D529" t="s">
        <v>140</v>
      </c>
      <c r="E529" s="4">
        <v>0</v>
      </c>
      <c r="F529" s="4">
        <v>513357.95600000001</v>
      </c>
      <c r="G529" s="4">
        <v>513357.95600000001</v>
      </c>
      <c r="H529" s="5">
        <f>83 / 86400</f>
        <v>9.6064814814814819E-4</v>
      </c>
      <c r="I529" t="s">
        <v>39</v>
      </c>
      <c r="J529" t="s">
        <v>39</v>
      </c>
      <c r="K529" s="5">
        <f>100 / 86400</f>
        <v>1.1574074074074073E-3</v>
      </c>
      <c r="L529" s="5">
        <f>709 / 86400</f>
        <v>8.2060185185185187E-3</v>
      </c>
    </row>
    <row r="530" spans="1:12" x14ac:dyDescent="0.25">
      <c r="A530" s="3">
        <v>45690.878564814819</v>
      </c>
      <c r="B530" t="s">
        <v>140</v>
      </c>
      <c r="C530" s="3">
        <v>45690.882071759261</v>
      </c>
      <c r="D530" t="s">
        <v>48</v>
      </c>
      <c r="E530" s="4">
        <v>0.90100000000000002</v>
      </c>
      <c r="F530" s="4">
        <v>513357.95600000001</v>
      </c>
      <c r="G530" s="4">
        <v>513358.85700000002</v>
      </c>
      <c r="H530" s="5">
        <f>60 / 86400</f>
        <v>6.9444444444444447E-4</v>
      </c>
      <c r="I530" t="s">
        <v>134</v>
      </c>
      <c r="J530" t="s">
        <v>144</v>
      </c>
      <c r="K530" s="5">
        <f>303 / 86400</f>
        <v>3.5069444444444445E-3</v>
      </c>
      <c r="L530" s="5">
        <f>10188 / 86400</f>
        <v>0.11791666666666667</v>
      </c>
    </row>
    <row r="531" spans="1:12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</row>
    <row r="532" spans="1:12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</row>
    <row r="533" spans="1:12" s="10" customFormat="1" ht="20.100000000000001" customHeight="1" x14ac:dyDescent="0.35">
      <c r="A533" s="15" t="s">
        <v>334</v>
      </c>
      <c r="B533" s="15"/>
      <c r="C533" s="15"/>
      <c r="D533" s="15"/>
      <c r="E533" s="15"/>
      <c r="F533" s="15"/>
      <c r="G533" s="15"/>
      <c r="H533" s="15"/>
      <c r="I533" s="15"/>
      <c r="J533" s="15"/>
    </row>
    <row r="534" spans="1:12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</row>
    <row r="535" spans="1:12" ht="30" x14ac:dyDescent="0.25">
      <c r="A535" s="2" t="s">
        <v>6</v>
      </c>
      <c r="B535" s="2" t="s">
        <v>7</v>
      </c>
      <c r="C535" s="2" t="s">
        <v>8</v>
      </c>
      <c r="D535" s="2" t="s">
        <v>9</v>
      </c>
      <c r="E535" s="2" t="s">
        <v>10</v>
      </c>
      <c r="F535" s="2" t="s">
        <v>11</v>
      </c>
      <c r="G535" s="2" t="s">
        <v>12</v>
      </c>
      <c r="H535" s="2" t="s">
        <v>13</v>
      </c>
      <c r="I535" s="2" t="s">
        <v>14</v>
      </c>
      <c r="J535" s="2" t="s">
        <v>15</v>
      </c>
      <c r="K535" s="2" t="s">
        <v>16</v>
      </c>
      <c r="L535" s="2" t="s">
        <v>17</v>
      </c>
    </row>
    <row r="536" spans="1:12" x14ac:dyDescent="0.25">
      <c r="A536" s="3">
        <v>45690</v>
      </c>
      <c r="B536" t="s">
        <v>22</v>
      </c>
      <c r="C536" s="3">
        <v>45690.99998842593</v>
      </c>
      <c r="D536" t="s">
        <v>22</v>
      </c>
      <c r="E536" s="4">
        <v>9.8000000000000004E-2</v>
      </c>
      <c r="F536" s="4">
        <v>503564.10100000002</v>
      </c>
      <c r="G536" s="4">
        <v>503564.19900000002</v>
      </c>
      <c r="H536" s="5">
        <f>75566 / 86400</f>
        <v>0.87460648148148146</v>
      </c>
      <c r="I536" t="s">
        <v>79</v>
      </c>
      <c r="J536" t="s">
        <v>39</v>
      </c>
      <c r="K536" s="5">
        <f>86399 / 86400</f>
        <v>0.99998842592592596</v>
      </c>
      <c r="L536" s="5">
        <f>0 / 86400</f>
        <v>0</v>
      </c>
    </row>
    <row r="537" spans="1:12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</row>
    <row r="538" spans="1:12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</row>
    <row r="539" spans="1:12" s="10" customFormat="1" ht="20.100000000000001" customHeight="1" x14ac:dyDescent="0.35">
      <c r="A539" s="15" t="s">
        <v>335</v>
      </c>
      <c r="B539" s="15"/>
      <c r="C539" s="15"/>
      <c r="D539" s="15"/>
      <c r="E539" s="15"/>
      <c r="F539" s="15"/>
      <c r="G539" s="15"/>
      <c r="H539" s="15"/>
      <c r="I539" s="15"/>
      <c r="J539" s="15"/>
    </row>
    <row r="540" spans="1:12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</row>
    <row r="541" spans="1:12" ht="30" x14ac:dyDescent="0.25">
      <c r="A541" s="2" t="s">
        <v>6</v>
      </c>
      <c r="B541" s="2" t="s">
        <v>7</v>
      </c>
      <c r="C541" s="2" t="s">
        <v>8</v>
      </c>
      <c r="D541" s="2" t="s">
        <v>9</v>
      </c>
      <c r="E541" s="2" t="s">
        <v>10</v>
      </c>
      <c r="F541" s="2" t="s">
        <v>11</v>
      </c>
      <c r="G541" s="2" t="s">
        <v>12</v>
      </c>
      <c r="H541" s="2" t="s">
        <v>13</v>
      </c>
      <c r="I541" s="2" t="s">
        <v>14</v>
      </c>
      <c r="J541" s="2" t="s">
        <v>15</v>
      </c>
      <c r="K541" s="2" t="s">
        <v>16</v>
      </c>
      <c r="L541" s="2" t="s">
        <v>17</v>
      </c>
    </row>
    <row r="542" spans="1:12" x14ac:dyDescent="0.25">
      <c r="A542" s="3">
        <v>45690.547800925924</v>
      </c>
      <c r="B542" t="s">
        <v>80</v>
      </c>
      <c r="C542" s="3">
        <v>45690.566400462965</v>
      </c>
      <c r="D542" t="s">
        <v>167</v>
      </c>
      <c r="E542" s="4">
        <v>5.282</v>
      </c>
      <c r="F542" s="4">
        <v>350198.87800000003</v>
      </c>
      <c r="G542" s="4">
        <v>350204.15999999997</v>
      </c>
      <c r="H542" s="5">
        <f>520 / 86400</f>
        <v>6.0185185185185185E-3</v>
      </c>
      <c r="I542" t="s">
        <v>36</v>
      </c>
      <c r="J542" t="s">
        <v>125</v>
      </c>
      <c r="K542" s="5">
        <f>1607 / 86400</f>
        <v>1.8599537037037036E-2</v>
      </c>
      <c r="L542" s="5">
        <f>47430 / 86400</f>
        <v>0.54895833333333333</v>
      </c>
    </row>
    <row r="543" spans="1:12" x14ac:dyDescent="0.25">
      <c r="A543" s="3">
        <v>45690.567557870367</v>
      </c>
      <c r="B543" t="s">
        <v>167</v>
      </c>
      <c r="C543" s="3">
        <v>45690.583136574074</v>
      </c>
      <c r="D543" t="s">
        <v>270</v>
      </c>
      <c r="E543" s="4">
        <v>6.1289999999999996</v>
      </c>
      <c r="F543" s="4">
        <v>350204.15999999997</v>
      </c>
      <c r="G543" s="4">
        <v>350210.28899999999</v>
      </c>
      <c r="H543" s="5">
        <f>200 / 86400</f>
        <v>2.3148148148148147E-3</v>
      </c>
      <c r="I543" t="s">
        <v>23</v>
      </c>
      <c r="J543" t="s">
        <v>97</v>
      </c>
      <c r="K543" s="5">
        <f>1346 / 86400</f>
        <v>1.5578703703703704E-2</v>
      </c>
      <c r="L543" s="5">
        <f>8111 / 86400</f>
        <v>9.3877314814814816E-2</v>
      </c>
    </row>
    <row r="544" spans="1:12" x14ac:dyDescent="0.25">
      <c r="A544" s="3">
        <v>45690.67701388889</v>
      </c>
      <c r="B544" t="s">
        <v>271</v>
      </c>
      <c r="C544" s="3">
        <v>45690.784814814819</v>
      </c>
      <c r="D544" t="s">
        <v>272</v>
      </c>
      <c r="E544" s="4">
        <v>48.718000000000004</v>
      </c>
      <c r="F544" s="4">
        <v>350210.28899999999</v>
      </c>
      <c r="G544" s="4">
        <v>350259.00699999998</v>
      </c>
      <c r="H544" s="5">
        <f>2740 / 86400</f>
        <v>3.1712962962962964E-2</v>
      </c>
      <c r="I544" t="s">
        <v>50</v>
      </c>
      <c r="J544" t="s">
        <v>20</v>
      </c>
      <c r="K544" s="5">
        <f>9314 / 86400</f>
        <v>0.10780092592592593</v>
      </c>
      <c r="L544" s="5">
        <f>97 / 86400</f>
        <v>1.1226851851851851E-3</v>
      </c>
    </row>
    <row r="545" spans="1:12" x14ac:dyDescent="0.25">
      <c r="A545" s="3">
        <v>45690.785937499997</v>
      </c>
      <c r="B545" t="s">
        <v>272</v>
      </c>
      <c r="C545" s="3">
        <v>45690.786076388889</v>
      </c>
      <c r="D545" t="s">
        <v>272</v>
      </c>
      <c r="E545" s="4">
        <v>0</v>
      </c>
      <c r="F545" s="4">
        <v>350259.00699999998</v>
      </c>
      <c r="G545" s="4">
        <v>350259.00699999998</v>
      </c>
      <c r="H545" s="5">
        <f>0 / 86400</f>
        <v>0</v>
      </c>
      <c r="I545" t="s">
        <v>41</v>
      </c>
      <c r="J545" t="s">
        <v>39</v>
      </c>
      <c r="K545" s="5">
        <f>12 / 86400</f>
        <v>1.3888888888888889E-4</v>
      </c>
      <c r="L545" s="5">
        <f>11 / 86400</f>
        <v>1.273148148148148E-4</v>
      </c>
    </row>
    <row r="546" spans="1:12" x14ac:dyDescent="0.25">
      <c r="A546" s="3">
        <v>45690.786203703705</v>
      </c>
      <c r="B546" t="s">
        <v>272</v>
      </c>
      <c r="C546" s="3">
        <v>45690.884826388894</v>
      </c>
      <c r="D546" t="s">
        <v>130</v>
      </c>
      <c r="E546" s="4">
        <v>44.55</v>
      </c>
      <c r="F546" s="4">
        <v>350259.00699999998</v>
      </c>
      <c r="G546" s="4">
        <v>350303.55699999997</v>
      </c>
      <c r="H546" s="5">
        <f>2281 / 86400</f>
        <v>2.6400462962962962E-2</v>
      </c>
      <c r="I546" t="s">
        <v>96</v>
      </c>
      <c r="J546" t="s">
        <v>20</v>
      </c>
      <c r="K546" s="5">
        <f>8521 / 86400</f>
        <v>9.8622685185185188E-2</v>
      </c>
      <c r="L546" s="5">
        <f>282 / 86400</f>
        <v>3.2638888888888891E-3</v>
      </c>
    </row>
    <row r="547" spans="1:12" x14ac:dyDescent="0.25">
      <c r="A547" s="3">
        <v>45690.888090277775</v>
      </c>
      <c r="B547" t="s">
        <v>130</v>
      </c>
      <c r="C547" s="3">
        <v>45690.894583333335</v>
      </c>
      <c r="D547" t="s">
        <v>230</v>
      </c>
      <c r="E547" s="4">
        <v>1.236</v>
      </c>
      <c r="F547" s="4">
        <v>350303.55699999997</v>
      </c>
      <c r="G547" s="4">
        <v>350304.79300000001</v>
      </c>
      <c r="H547" s="5">
        <f>160 / 86400</f>
        <v>1.8518518518518519E-3</v>
      </c>
      <c r="I547" t="s">
        <v>84</v>
      </c>
      <c r="J547" t="s">
        <v>173</v>
      </c>
      <c r="K547" s="5">
        <f>560 / 86400</f>
        <v>6.4814814814814813E-3</v>
      </c>
      <c r="L547" s="5">
        <f>479 / 86400</f>
        <v>5.5439814814814813E-3</v>
      </c>
    </row>
    <row r="548" spans="1:12" x14ac:dyDescent="0.25">
      <c r="A548" s="3">
        <v>45690.900127314817</v>
      </c>
      <c r="B548" t="s">
        <v>230</v>
      </c>
      <c r="C548" s="3">
        <v>45690.906215277777</v>
      </c>
      <c r="D548" t="s">
        <v>81</v>
      </c>
      <c r="E548" s="4">
        <v>0.81799999999999995</v>
      </c>
      <c r="F548" s="4">
        <v>350304.79300000001</v>
      </c>
      <c r="G548" s="4">
        <v>350305.61099999998</v>
      </c>
      <c r="H548" s="5">
        <f>200 / 86400</f>
        <v>2.3148148148148147E-3</v>
      </c>
      <c r="I548" t="s">
        <v>30</v>
      </c>
      <c r="J548" t="s">
        <v>38</v>
      </c>
      <c r="K548" s="5">
        <f>525 / 86400</f>
        <v>6.076388888888889E-3</v>
      </c>
      <c r="L548" s="5">
        <f>8102 / 86400</f>
        <v>9.3773148148148147E-2</v>
      </c>
    </row>
    <row r="549" spans="1:1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 spans="1:12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</row>
    <row r="551" spans="1:12" s="10" customFormat="1" ht="20.100000000000001" customHeight="1" x14ac:dyDescent="0.35">
      <c r="A551" s="15" t="s">
        <v>336</v>
      </c>
      <c r="B551" s="15"/>
      <c r="C551" s="15"/>
      <c r="D551" s="15"/>
      <c r="E551" s="15"/>
      <c r="F551" s="15"/>
      <c r="G551" s="15"/>
      <c r="H551" s="15"/>
      <c r="I551" s="15"/>
      <c r="J551" s="15"/>
    </row>
    <row r="552" spans="1:1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</row>
    <row r="553" spans="1:12" ht="30" x14ac:dyDescent="0.25">
      <c r="A553" s="2" t="s">
        <v>6</v>
      </c>
      <c r="B553" s="2" t="s">
        <v>7</v>
      </c>
      <c r="C553" s="2" t="s">
        <v>8</v>
      </c>
      <c r="D553" s="2" t="s">
        <v>9</v>
      </c>
      <c r="E553" s="2" t="s">
        <v>10</v>
      </c>
      <c r="F553" s="2" t="s">
        <v>11</v>
      </c>
      <c r="G553" s="2" t="s">
        <v>12</v>
      </c>
      <c r="H553" s="2" t="s">
        <v>13</v>
      </c>
      <c r="I553" s="2" t="s">
        <v>14</v>
      </c>
      <c r="J553" s="2" t="s">
        <v>15</v>
      </c>
      <c r="K553" s="2" t="s">
        <v>16</v>
      </c>
      <c r="L553" s="2" t="s">
        <v>17</v>
      </c>
    </row>
    <row r="554" spans="1:12" x14ac:dyDescent="0.25">
      <c r="A554" s="3">
        <v>45690.330231481479</v>
      </c>
      <c r="B554" t="s">
        <v>82</v>
      </c>
      <c r="C554" s="3">
        <v>45690.335312499999</v>
      </c>
      <c r="D554" t="s">
        <v>273</v>
      </c>
      <c r="E554" s="4">
        <v>7.4999999999999997E-2</v>
      </c>
      <c r="F554" s="4">
        <v>409450.951</v>
      </c>
      <c r="G554" s="4">
        <v>409451.02600000001</v>
      </c>
      <c r="H554" s="5">
        <f>399 / 86400</f>
        <v>4.6180555555555558E-3</v>
      </c>
      <c r="I554" t="s">
        <v>91</v>
      </c>
      <c r="J554" t="s">
        <v>41</v>
      </c>
      <c r="K554" s="5">
        <f>438 / 86400</f>
        <v>5.0694444444444441E-3</v>
      </c>
      <c r="L554" s="5">
        <f>28838 / 86400</f>
        <v>0.33377314814814812</v>
      </c>
    </row>
    <row r="555" spans="1:12" x14ac:dyDescent="0.25">
      <c r="A555" s="3">
        <v>45690.338854166665</v>
      </c>
      <c r="B555" t="s">
        <v>273</v>
      </c>
      <c r="C555" s="3">
        <v>45690.383576388893</v>
      </c>
      <c r="D555" t="s">
        <v>274</v>
      </c>
      <c r="E555" s="4">
        <v>28.132000000000001</v>
      </c>
      <c r="F555" s="4">
        <v>409451.02600000001</v>
      </c>
      <c r="G555" s="4">
        <v>409479.158</v>
      </c>
      <c r="H555" s="5">
        <f>879 / 86400</f>
        <v>1.0173611111111111E-2</v>
      </c>
      <c r="I555" t="s">
        <v>185</v>
      </c>
      <c r="J555" t="s">
        <v>132</v>
      </c>
      <c r="K555" s="5">
        <f>3864 / 86400</f>
        <v>4.4722222222222219E-2</v>
      </c>
      <c r="L555" s="5">
        <f>3159 / 86400</f>
        <v>3.6562499999999998E-2</v>
      </c>
    </row>
    <row r="556" spans="1:12" x14ac:dyDescent="0.25">
      <c r="A556" s="3">
        <v>45690.420138888891</v>
      </c>
      <c r="B556" t="s">
        <v>274</v>
      </c>
      <c r="C556" s="3">
        <v>45690.423935185187</v>
      </c>
      <c r="D556" t="s">
        <v>82</v>
      </c>
      <c r="E556" s="4">
        <v>0.46899999999999997</v>
      </c>
      <c r="F556" s="4">
        <v>409479.158</v>
      </c>
      <c r="G556" s="4">
        <v>409479.62699999998</v>
      </c>
      <c r="H556" s="5">
        <f>79 / 86400</f>
        <v>9.1435185185185185E-4</v>
      </c>
      <c r="I556" t="s">
        <v>27</v>
      </c>
      <c r="J556" t="s">
        <v>60</v>
      </c>
      <c r="K556" s="5">
        <f>328 / 86400</f>
        <v>3.7962962962962963E-3</v>
      </c>
      <c r="L556" s="5">
        <f>22314 / 86400</f>
        <v>0.2582638888888889</v>
      </c>
    </row>
    <row r="557" spans="1:12" x14ac:dyDescent="0.25">
      <c r="A557" s="3">
        <v>45690.682199074072</v>
      </c>
      <c r="B557" t="s">
        <v>82</v>
      </c>
      <c r="C557" s="3">
        <v>45690.704108796301</v>
      </c>
      <c r="D557" t="s">
        <v>275</v>
      </c>
      <c r="E557" s="4">
        <v>13.547000000000001</v>
      </c>
      <c r="F557" s="4">
        <v>409479.62699999998</v>
      </c>
      <c r="G557" s="4">
        <v>409493.174</v>
      </c>
      <c r="H557" s="5">
        <f>419 / 86400</f>
        <v>4.8495370370370368E-3</v>
      </c>
      <c r="I557" t="s">
        <v>67</v>
      </c>
      <c r="J557" t="s">
        <v>132</v>
      </c>
      <c r="K557" s="5">
        <f>1892 / 86400</f>
        <v>2.1898148148148149E-2</v>
      </c>
      <c r="L557" s="5">
        <f>1012 / 86400</f>
        <v>1.1712962962962963E-2</v>
      </c>
    </row>
    <row r="558" spans="1:12" x14ac:dyDescent="0.25">
      <c r="A558" s="3">
        <v>45690.715821759259</v>
      </c>
      <c r="B558" t="s">
        <v>275</v>
      </c>
      <c r="C558" s="3">
        <v>45690.74863425926</v>
      </c>
      <c r="D558" t="s">
        <v>82</v>
      </c>
      <c r="E558" s="4">
        <v>14.172000000000001</v>
      </c>
      <c r="F558" s="4">
        <v>409493.174</v>
      </c>
      <c r="G558" s="4">
        <v>409507.34600000002</v>
      </c>
      <c r="H558" s="5">
        <f>859 / 86400</f>
        <v>9.9421296296296289E-3</v>
      </c>
      <c r="I558" t="s">
        <v>83</v>
      </c>
      <c r="J558" t="s">
        <v>33</v>
      </c>
      <c r="K558" s="5">
        <f>2835 / 86400</f>
        <v>3.2812500000000001E-2</v>
      </c>
      <c r="L558" s="5">
        <f>21717 / 86400</f>
        <v>0.25135416666666666</v>
      </c>
    </row>
    <row r="559" spans="1:12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</row>
    <row r="560" spans="1:12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</row>
    <row r="561" spans="1:12" s="10" customFormat="1" ht="20.100000000000001" customHeight="1" x14ac:dyDescent="0.35">
      <c r="A561" s="15" t="s">
        <v>337</v>
      </c>
      <c r="B561" s="15"/>
      <c r="C561" s="15"/>
      <c r="D561" s="15"/>
      <c r="E561" s="15"/>
      <c r="F561" s="15"/>
      <c r="G561" s="15"/>
      <c r="H561" s="15"/>
      <c r="I561" s="15"/>
      <c r="J561" s="15"/>
    </row>
    <row r="562" spans="1:12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</row>
    <row r="563" spans="1:12" ht="30" x14ac:dyDescent="0.25">
      <c r="A563" s="2" t="s">
        <v>6</v>
      </c>
      <c r="B563" s="2" t="s">
        <v>7</v>
      </c>
      <c r="C563" s="2" t="s">
        <v>8</v>
      </c>
      <c r="D563" s="2" t="s">
        <v>9</v>
      </c>
      <c r="E563" s="2" t="s">
        <v>10</v>
      </c>
      <c r="F563" s="2" t="s">
        <v>11</v>
      </c>
      <c r="G563" s="2" t="s">
        <v>12</v>
      </c>
      <c r="H563" s="2" t="s">
        <v>13</v>
      </c>
      <c r="I563" s="2" t="s">
        <v>14</v>
      </c>
      <c r="J563" s="2" t="s">
        <v>15</v>
      </c>
      <c r="K563" s="2" t="s">
        <v>16</v>
      </c>
      <c r="L563" s="2" t="s">
        <v>17</v>
      </c>
    </row>
    <row r="564" spans="1:12" x14ac:dyDescent="0.25">
      <c r="A564" s="3">
        <v>45690.650891203702</v>
      </c>
      <c r="B564" t="s">
        <v>81</v>
      </c>
      <c r="C564" s="3">
        <v>45690.714548611111</v>
      </c>
      <c r="D564" t="s">
        <v>243</v>
      </c>
      <c r="E564" s="4">
        <v>35.055</v>
      </c>
      <c r="F564" s="4">
        <v>472507.19099999999</v>
      </c>
      <c r="G564" s="4">
        <v>472542.24599999998</v>
      </c>
      <c r="H564" s="5">
        <f>1459 / 86400</f>
        <v>1.6886574074074075E-2</v>
      </c>
      <c r="I564" t="s">
        <v>185</v>
      </c>
      <c r="J564" t="s">
        <v>86</v>
      </c>
      <c r="K564" s="5">
        <f>5499 / 86400</f>
        <v>6.3645833333333332E-2</v>
      </c>
      <c r="L564" s="5">
        <f>56244 / 86400</f>
        <v>0.65097222222222217</v>
      </c>
    </row>
    <row r="565" spans="1:12" x14ac:dyDescent="0.25">
      <c r="A565" s="3">
        <v>45690.714629629627</v>
      </c>
      <c r="B565" t="s">
        <v>243</v>
      </c>
      <c r="C565" s="3">
        <v>45690.71497685185</v>
      </c>
      <c r="D565" t="s">
        <v>243</v>
      </c>
      <c r="E565" s="4">
        <v>1.0999999999999999E-2</v>
      </c>
      <c r="F565" s="4">
        <v>472542.24599999998</v>
      </c>
      <c r="G565" s="4">
        <v>472542.25699999998</v>
      </c>
      <c r="H565" s="5">
        <f>19 / 86400</f>
        <v>2.199074074074074E-4</v>
      </c>
      <c r="I565" t="s">
        <v>39</v>
      </c>
      <c r="J565" t="s">
        <v>41</v>
      </c>
      <c r="K565" s="5">
        <f>29 / 86400</f>
        <v>3.3564814814814812E-4</v>
      </c>
      <c r="L565" s="5">
        <f>53 / 86400</f>
        <v>6.134259259259259E-4</v>
      </c>
    </row>
    <row r="566" spans="1:12" x14ac:dyDescent="0.25">
      <c r="A566" s="3">
        <v>45690.715590277774</v>
      </c>
      <c r="B566" t="s">
        <v>276</v>
      </c>
      <c r="C566" s="3">
        <v>45690.715983796297</v>
      </c>
      <c r="D566" t="s">
        <v>129</v>
      </c>
      <c r="E566" s="4">
        <v>4.0000000000000001E-3</v>
      </c>
      <c r="F566" s="4">
        <v>472542.25699999998</v>
      </c>
      <c r="G566" s="4">
        <v>472542.261</v>
      </c>
      <c r="H566" s="5">
        <f>19 / 86400</f>
        <v>2.199074074074074E-4</v>
      </c>
      <c r="I566" t="s">
        <v>38</v>
      </c>
      <c r="J566" t="s">
        <v>39</v>
      </c>
      <c r="K566" s="5">
        <f>33 / 86400</f>
        <v>3.8194444444444446E-4</v>
      </c>
      <c r="L566" s="5">
        <f>107 / 86400</f>
        <v>1.238425925925926E-3</v>
      </c>
    </row>
    <row r="567" spans="1:12" x14ac:dyDescent="0.25">
      <c r="A567" s="3">
        <v>45690.717222222222</v>
      </c>
      <c r="B567" t="s">
        <v>243</v>
      </c>
      <c r="C567" s="3">
        <v>45690.787615740745</v>
      </c>
      <c r="D567" t="s">
        <v>250</v>
      </c>
      <c r="E567" s="4">
        <v>36.954000000000001</v>
      </c>
      <c r="F567" s="4">
        <v>472542.261</v>
      </c>
      <c r="G567" s="4">
        <v>472579.21500000003</v>
      </c>
      <c r="H567" s="5">
        <f>1700 / 86400</f>
        <v>1.9675925925925927E-2</v>
      </c>
      <c r="I567" t="s">
        <v>138</v>
      </c>
      <c r="J567" t="s">
        <v>84</v>
      </c>
      <c r="K567" s="5">
        <f>6081 / 86400</f>
        <v>7.0381944444444441E-2</v>
      </c>
      <c r="L567" s="5">
        <f>29 / 86400</f>
        <v>3.3564814814814812E-4</v>
      </c>
    </row>
    <row r="568" spans="1:12" x14ac:dyDescent="0.25">
      <c r="A568" s="3">
        <v>45690.787951388891</v>
      </c>
      <c r="B568" t="s">
        <v>250</v>
      </c>
      <c r="C568" s="3">
        <v>45690.954930555556</v>
      </c>
      <c r="D568" t="s">
        <v>247</v>
      </c>
      <c r="E568" s="4">
        <v>88.614999999999995</v>
      </c>
      <c r="F568" s="4">
        <v>472579.21500000003</v>
      </c>
      <c r="G568" s="4">
        <v>472667.83</v>
      </c>
      <c r="H568" s="5">
        <f>3660 / 86400</f>
        <v>4.2361111111111113E-2</v>
      </c>
      <c r="I568" t="s">
        <v>57</v>
      </c>
      <c r="J568" t="s">
        <v>84</v>
      </c>
      <c r="K568" s="5">
        <f>14426 / 86400</f>
        <v>0.16696759259259258</v>
      </c>
      <c r="L568" s="5">
        <f>51 / 86400</f>
        <v>5.9027777777777778E-4</v>
      </c>
    </row>
    <row r="569" spans="1:12" x14ac:dyDescent="0.25">
      <c r="A569" s="3">
        <v>45690.955520833333</v>
      </c>
      <c r="B569" t="s">
        <v>247</v>
      </c>
      <c r="C569" s="3">
        <v>45690.986956018518</v>
      </c>
      <c r="D569" t="s">
        <v>164</v>
      </c>
      <c r="E569" s="4">
        <v>22.757000000000001</v>
      </c>
      <c r="F569" s="4">
        <v>472667.83</v>
      </c>
      <c r="G569" s="4">
        <v>472690.587</v>
      </c>
      <c r="H569" s="5">
        <f>600 / 86400</f>
        <v>6.9444444444444441E-3</v>
      </c>
      <c r="I569" t="s">
        <v>50</v>
      </c>
      <c r="J569" t="s">
        <v>126</v>
      </c>
      <c r="K569" s="5">
        <f>2716 / 86400</f>
        <v>3.1435185185185184E-2</v>
      </c>
      <c r="L569" s="5">
        <f>30 / 86400</f>
        <v>3.4722222222222224E-4</v>
      </c>
    </row>
    <row r="570" spans="1:12" x14ac:dyDescent="0.25">
      <c r="A570" s="3">
        <v>45690.987303240741</v>
      </c>
      <c r="B570" t="s">
        <v>164</v>
      </c>
      <c r="C570" s="3">
        <v>45690.99998842593</v>
      </c>
      <c r="D570" t="s">
        <v>85</v>
      </c>
      <c r="E570" s="4">
        <v>5.3879999999999999</v>
      </c>
      <c r="F570" s="4">
        <v>472690.587</v>
      </c>
      <c r="G570" s="4">
        <v>472695.97499999998</v>
      </c>
      <c r="H570" s="5">
        <f>500 / 86400</f>
        <v>5.7870370370370367E-3</v>
      </c>
      <c r="I570" t="s">
        <v>96</v>
      </c>
      <c r="J570" t="s">
        <v>33</v>
      </c>
      <c r="K570" s="5">
        <f>1096 / 86400</f>
        <v>1.2685185185185185E-2</v>
      </c>
      <c r="L570" s="5">
        <f>0 / 86400</f>
        <v>0</v>
      </c>
    </row>
    <row r="571" spans="1:12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</row>
    <row r="572" spans="1:12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</row>
    <row r="573" spans="1:12" s="10" customFormat="1" ht="20.100000000000001" customHeight="1" x14ac:dyDescent="0.35">
      <c r="A573" s="15" t="s">
        <v>338</v>
      </c>
      <c r="B573" s="15"/>
      <c r="C573" s="15"/>
      <c r="D573" s="15"/>
      <c r="E573" s="15"/>
      <c r="F573" s="15"/>
      <c r="G573" s="15"/>
      <c r="H573" s="15"/>
      <c r="I573" s="15"/>
      <c r="J573" s="15"/>
    </row>
    <row r="574" spans="1:1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</row>
    <row r="575" spans="1:12" ht="30" x14ac:dyDescent="0.25">
      <c r="A575" s="2" t="s">
        <v>6</v>
      </c>
      <c r="B575" s="2" t="s">
        <v>7</v>
      </c>
      <c r="C575" s="2" t="s">
        <v>8</v>
      </c>
      <c r="D575" s="2" t="s">
        <v>9</v>
      </c>
      <c r="E575" s="2" t="s">
        <v>10</v>
      </c>
      <c r="F575" s="2" t="s">
        <v>11</v>
      </c>
      <c r="G575" s="2" t="s">
        <v>12</v>
      </c>
      <c r="H575" s="2" t="s">
        <v>13</v>
      </c>
      <c r="I575" s="2" t="s">
        <v>14</v>
      </c>
      <c r="J575" s="2" t="s">
        <v>15</v>
      </c>
      <c r="K575" s="2" t="s">
        <v>16</v>
      </c>
      <c r="L575" s="2" t="s">
        <v>17</v>
      </c>
    </row>
    <row r="576" spans="1:12" x14ac:dyDescent="0.25">
      <c r="A576" s="3">
        <v>45690.603379629625</v>
      </c>
      <c r="B576" t="s">
        <v>22</v>
      </c>
      <c r="C576" s="3">
        <v>45690.609884259262</v>
      </c>
      <c r="D576" t="s">
        <v>233</v>
      </c>
      <c r="E576" s="4">
        <v>1.577</v>
      </c>
      <c r="F576" s="4">
        <v>411570.30699999997</v>
      </c>
      <c r="G576" s="4">
        <v>411571.88400000002</v>
      </c>
      <c r="H576" s="5">
        <f>239 / 86400</f>
        <v>2.7662037037037039E-3</v>
      </c>
      <c r="I576" t="s">
        <v>87</v>
      </c>
      <c r="J576" t="s">
        <v>24</v>
      </c>
      <c r="K576" s="5">
        <f>562 / 86400</f>
        <v>6.5046296296296293E-3</v>
      </c>
      <c r="L576" s="5">
        <f>52425 / 86400</f>
        <v>0.60677083333333337</v>
      </c>
    </row>
    <row r="577" spans="1:12" x14ac:dyDescent="0.25">
      <c r="A577" s="3">
        <v>45690.613275462965</v>
      </c>
      <c r="B577" t="s">
        <v>233</v>
      </c>
      <c r="C577" s="3">
        <v>45690.616932870369</v>
      </c>
      <c r="D577" t="s">
        <v>22</v>
      </c>
      <c r="E577" s="4">
        <v>0.89300000000000002</v>
      </c>
      <c r="F577" s="4">
        <v>411571.88400000002</v>
      </c>
      <c r="G577" s="4">
        <v>411572.777</v>
      </c>
      <c r="H577" s="5">
        <f>79 / 86400</f>
        <v>9.1435185185185185E-4</v>
      </c>
      <c r="I577" t="s">
        <v>51</v>
      </c>
      <c r="J577" t="s">
        <v>24</v>
      </c>
      <c r="K577" s="5">
        <f>316 / 86400</f>
        <v>3.6574074074074074E-3</v>
      </c>
      <c r="L577" s="5">
        <f>656 / 86400</f>
        <v>7.5925925925925926E-3</v>
      </c>
    </row>
    <row r="578" spans="1:12" x14ac:dyDescent="0.25">
      <c r="A578" s="3">
        <v>45690.624525462961</v>
      </c>
      <c r="B578" t="s">
        <v>22</v>
      </c>
      <c r="C578" s="3">
        <v>45690.625034722223</v>
      </c>
      <c r="D578" t="s">
        <v>22</v>
      </c>
      <c r="E578" s="4">
        <v>1.6E-2</v>
      </c>
      <c r="F578" s="4">
        <v>411572.777</v>
      </c>
      <c r="G578" s="4">
        <v>411572.79300000001</v>
      </c>
      <c r="H578" s="5">
        <f>20 / 86400</f>
        <v>2.3148148148148149E-4</v>
      </c>
      <c r="I578" t="s">
        <v>60</v>
      </c>
      <c r="J578" t="s">
        <v>41</v>
      </c>
      <c r="K578" s="5">
        <f>44 / 86400</f>
        <v>5.0925925925925921E-4</v>
      </c>
      <c r="L578" s="5">
        <f>4029 / 86400</f>
        <v>4.6631944444444441E-2</v>
      </c>
    </row>
    <row r="579" spans="1:12" x14ac:dyDescent="0.25">
      <c r="A579" s="3">
        <v>45690.671666666662</v>
      </c>
      <c r="B579" t="s">
        <v>22</v>
      </c>
      <c r="C579" s="3">
        <v>45690.672164351854</v>
      </c>
      <c r="D579" t="s">
        <v>22</v>
      </c>
      <c r="E579" s="4">
        <v>0</v>
      </c>
      <c r="F579" s="4">
        <v>411572.79300000001</v>
      </c>
      <c r="G579" s="4">
        <v>411572.79300000001</v>
      </c>
      <c r="H579" s="5">
        <f>39 / 86400</f>
        <v>4.5138888888888887E-4</v>
      </c>
      <c r="I579" t="s">
        <v>39</v>
      </c>
      <c r="J579" t="s">
        <v>39</v>
      </c>
      <c r="K579" s="5">
        <f>42 / 86400</f>
        <v>4.861111111111111E-4</v>
      </c>
      <c r="L579" s="5">
        <f>3003 / 86400</f>
        <v>3.4756944444444444E-2</v>
      </c>
    </row>
    <row r="580" spans="1:12" x14ac:dyDescent="0.25">
      <c r="A580" s="3">
        <v>45690.706921296296</v>
      </c>
      <c r="B580" t="s">
        <v>22</v>
      </c>
      <c r="C580" s="3">
        <v>45690.706990740742</v>
      </c>
      <c r="D580" t="s">
        <v>22</v>
      </c>
      <c r="E580" s="4">
        <v>0</v>
      </c>
      <c r="F580" s="4">
        <v>411572.79300000001</v>
      </c>
      <c r="G580" s="4">
        <v>411572.79300000001</v>
      </c>
      <c r="H580" s="5">
        <f>0 / 86400</f>
        <v>0</v>
      </c>
      <c r="I580" t="s">
        <v>39</v>
      </c>
      <c r="J580" t="s">
        <v>39</v>
      </c>
      <c r="K580" s="5">
        <f>5 / 86400</f>
        <v>5.7870370370370373E-5</v>
      </c>
      <c r="L580" s="5">
        <f>1 / 86400</f>
        <v>1.1574074074074073E-5</v>
      </c>
    </row>
    <row r="581" spans="1:12" x14ac:dyDescent="0.25">
      <c r="A581" s="3">
        <v>45690.707002314812</v>
      </c>
      <c r="B581" t="s">
        <v>22</v>
      </c>
      <c r="C581" s="3">
        <v>45690.707094907411</v>
      </c>
      <c r="D581" t="s">
        <v>22</v>
      </c>
      <c r="E581" s="4">
        <v>0</v>
      </c>
      <c r="F581" s="4">
        <v>411572.79300000001</v>
      </c>
      <c r="G581" s="4">
        <v>411572.79300000001</v>
      </c>
      <c r="H581" s="5">
        <f>0 / 86400</f>
        <v>0</v>
      </c>
      <c r="I581" t="s">
        <v>39</v>
      </c>
      <c r="J581" t="s">
        <v>39</v>
      </c>
      <c r="K581" s="5">
        <f>8 / 86400</f>
        <v>9.2592592592592588E-5</v>
      </c>
      <c r="L581" s="5">
        <f>25306 / 86400</f>
        <v>0.29289351851851853</v>
      </c>
    </row>
    <row r="582" spans="1:12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</row>
    <row r="583" spans="1:12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</row>
    <row r="584" spans="1:12" s="10" customFormat="1" ht="20.100000000000001" customHeight="1" x14ac:dyDescent="0.35">
      <c r="A584" s="15" t="s">
        <v>339</v>
      </c>
      <c r="B584" s="15"/>
      <c r="C584" s="15"/>
      <c r="D584" s="15"/>
      <c r="E584" s="15"/>
      <c r="F584" s="15"/>
      <c r="G584" s="15"/>
      <c r="H584" s="15"/>
      <c r="I584" s="15"/>
      <c r="J584" s="15"/>
    </row>
    <row r="585" spans="1:1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2" ht="30" x14ac:dyDescent="0.25">
      <c r="A586" s="2" t="s">
        <v>6</v>
      </c>
      <c r="B586" s="2" t="s">
        <v>7</v>
      </c>
      <c r="C586" s="2" t="s">
        <v>8</v>
      </c>
      <c r="D586" s="2" t="s">
        <v>9</v>
      </c>
      <c r="E586" s="2" t="s">
        <v>10</v>
      </c>
      <c r="F586" s="2" t="s">
        <v>11</v>
      </c>
      <c r="G586" s="2" t="s">
        <v>12</v>
      </c>
      <c r="H586" s="2" t="s">
        <v>13</v>
      </c>
      <c r="I586" s="2" t="s">
        <v>14</v>
      </c>
      <c r="J586" s="2" t="s">
        <v>15</v>
      </c>
      <c r="K586" s="2" t="s">
        <v>16</v>
      </c>
      <c r="L586" s="2" t="s">
        <v>17</v>
      </c>
    </row>
    <row r="587" spans="1:12" x14ac:dyDescent="0.25">
      <c r="A587" s="3">
        <v>45690</v>
      </c>
      <c r="B587" t="s">
        <v>89</v>
      </c>
      <c r="C587" s="3">
        <v>45690.031423611115</v>
      </c>
      <c r="D587" t="s">
        <v>102</v>
      </c>
      <c r="E587" s="4">
        <v>17.314</v>
      </c>
      <c r="F587" s="4">
        <v>325483.908</v>
      </c>
      <c r="G587" s="4">
        <v>325501.22200000001</v>
      </c>
      <c r="H587" s="5">
        <f>741 / 86400</f>
        <v>8.5763888888888886E-3</v>
      </c>
      <c r="I587" t="s">
        <v>179</v>
      </c>
      <c r="J587" t="s">
        <v>86</v>
      </c>
      <c r="K587" s="5">
        <f>2715 / 86400</f>
        <v>3.142361111111111E-2</v>
      </c>
      <c r="L587" s="5">
        <f>478 / 86400</f>
        <v>5.5324074074074078E-3</v>
      </c>
    </row>
    <row r="588" spans="1:12" x14ac:dyDescent="0.25">
      <c r="A588" s="3">
        <v>45690.036956018521</v>
      </c>
      <c r="B588" t="s">
        <v>102</v>
      </c>
      <c r="C588" s="3">
        <v>45690.037187499998</v>
      </c>
      <c r="D588" t="s">
        <v>102</v>
      </c>
      <c r="E588" s="4">
        <v>4.0000000000000001E-3</v>
      </c>
      <c r="F588" s="4">
        <v>325501.22200000001</v>
      </c>
      <c r="G588" s="4">
        <v>325501.22600000002</v>
      </c>
      <c r="H588" s="5">
        <f>0 / 86400</f>
        <v>0</v>
      </c>
      <c r="I588" t="s">
        <v>39</v>
      </c>
      <c r="J588" t="s">
        <v>41</v>
      </c>
      <c r="K588" s="5">
        <f>19 / 86400</f>
        <v>2.199074074074074E-4</v>
      </c>
      <c r="L588" s="5">
        <f>365 / 86400</f>
        <v>4.2245370370370371E-3</v>
      </c>
    </row>
    <row r="589" spans="1:12" x14ac:dyDescent="0.25">
      <c r="A589" s="3">
        <v>45690.041412037041</v>
      </c>
      <c r="B589" t="s">
        <v>102</v>
      </c>
      <c r="C589" s="3">
        <v>45690.044837962967</v>
      </c>
      <c r="D589" t="s">
        <v>25</v>
      </c>
      <c r="E589" s="4">
        <v>0.50900000000000001</v>
      </c>
      <c r="F589" s="4">
        <v>325501.22600000002</v>
      </c>
      <c r="G589" s="4">
        <v>325501.73499999999</v>
      </c>
      <c r="H589" s="5">
        <f>180 / 86400</f>
        <v>2.0833333333333333E-3</v>
      </c>
      <c r="I589" t="s">
        <v>134</v>
      </c>
      <c r="J589" t="s">
        <v>38</v>
      </c>
      <c r="K589" s="5">
        <f>296 / 86400</f>
        <v>3.425925925925926E-3</v>
      </c>
      <c r="L589" s="5">
        <f>133 / 86400</f>
        <v>1.5393518518518519E-3</v>
      </c>
    </row>
    <row r="590" spans="1:12" x14ac:dyDescent="0.25">
      <c r="A590" s="3">
        <v>45690.046377314815</v>
      </c>
      <c r="B590" t="s">
        <v>25</v>
      </c>
      <c r="C590" s="3">
        <v>45690.046481481477</v>
      </c>
      <c r="D590" t="s">
        <v>25</v>
      </c>
      <c r="E590" s="4">
        <v>0</v>
      </c>
      <c r="F590" s="4">
        <v>325501.73499999999</v>
      </c>
      <c r="G590" s="4">
        <v>325501.73499999999</v>
      </c>
      <c r="H590" s="5">
        <f>4 / 86400</f>
        <v>4.6296296296296294E-5</v>
      </c>
      <c r="I590" t="s">
        <v>39</v>
      </c>
      <c r="J590" t="s">
        <v>39</v>
      </c>
      <c r="K590" s="5">
        <f>9 / 86400</f>
        <v>1.0416666666666667E-4</v>
      </c>
      <c r="L590" s="5">
        <f>17986 / 86400</f>
        <v>0.2081712962962963</v>
      </c>
    </row>
    <row r="591" spans="1:12" x14ac:dyDescent="0.25">
      <c r="A591" s="3">
        <v>45690.254652777774</v>
      </c>
      <c r="B591" t="s">
        <v>25</v>
      </c>
      <c r="C591" s="3">
        <v>45690.256249999999</v>
      </c>
      <c r="D591" t="s">
        <v>25</v>
      </c>
      <c r="E591" s="4">
        <v>2.1000000000000001E-2</v>
      </c>
      <c r="F591" s="4">
        <v>325501.73499999999</v>
      </c>
      <c r="G591" s="4">
        <v>325501.75599999999</v>
      </c>
      <c r="H591" s="5">
        <f>79 / 86400</f>
        <v>9.1435185185185185E-4</v>
      </c>
      <c r="I591" t="s">
        <v>79</v>
      </c>
      <c r="J591" t="s">
        <v>41</v>
      </c>
      <c r="K591" s="5">
        <f>137 / 86400</f>
        <v>1.5856481481481481E-3</v>
      </c>
      <c r="L591" s="5">
        <f>1235 / 86400</f>
        <v>1.4293981481481482E-2</v>
      </c>
    </row>
    <row r="592" spans="1:12" x14ac:dyDescent="0.25">
      <c r="A592" s="3">
        <v>45690.270543981482</v>
      </c>
      <c r="B592" t="s">
        <v>25</v>
      </c>
      <c r="C592" s="3">
        <v>45690.271400462967</v>
      </c>
      <c r="D592" t="s">
        <v>25</v>
      </c>
      <c r="E592" s="4">
        <v>2.3E-2</v>
      </c>
      <c r="F592" s="4">
        <v>325501.75599999999</v>
      </c>
      <c r="G592" s="4">
        <v>325501.77899999998</v>
      </c>
      <c r="H592" s="5">
        <f>39 / 86400</f>
        <v>4.5138888888888887E-4</v>
      </c>
      <c r="I592" t="s">
        <v>38</v>
      </c>
      <c r="J592" t="s">
        <v>41</v>
      </c>
      <c r="K592" s="5">
        <f>74 / 86400</f>
        <v>8.564814814814815E-4</v>
      </c>
      <c r="L592" s="5">
        <f>14665 / 86400</f>
        <v>0.16973379629629629</v>
      </c>
    </row>
    <row r="593" spans="1:12" x14ac:dyDescent="0.25">
      <c r="A593" s="3">
        <v>45690.441134259258</v>
      </c>
      <c r="B593" t="s">
        <v>25</v>
      </c>
      <c r="C593" s="3">
        <v>45690.448055555556</v>
      </c>
      <c r="D593" t="s">
        <v>169</v>
      </c>
      <c r="E593" s="4">
        <v>0.63</v>
      </c>
      <c r="F593" s="4">
        <v>325501.77899999998</v>
      </c>
      <c r="G593" s="4">
        <v>325502.40899999999</v>
      </c>
      <c r="H593" s="5">
        <f>419 / 86400</f>
        <v>4.8495370370370368E-3</v>
      </c>
      <c r="I593" t="s">
        <v>86</v>
      </c>
      <c r="J593" t="s">
        <v>163</v>
      </c>
      <c r="K593" s="5">
        <f>597 / 86400</f>
        <v>6.9097222222222225E-3</v>
      </c>
      <c r="L593" s="5">
        <f>996 / 86400</f>
        <v>1.1527777777777777E-2</v>
      </c>
    </row>
    <row r="594" spans="1:12" x14ac:dyDescent="0.25">
      <c r="A594" s="3">
        <v>45690.45958333333</v>
      </c>
      <c r="B594" t="s">
        <v>169</v>
      </c>
      <c r="C594" s="3">
        <v>45690.611585648148</v>
      </c>
      <c r="D594" t="s">
        <v>237</v>
      </c>
      <c r="E594" s="4">
        <v>75.290999999999997</v>
      </c>
      <c r="F594" s="4">
        <v>325502.40899999999</v>
      </c>
      <c r="G594" s="4">
        <v>325577.7</v>
      </c>
      <c r="H594" s="5">
        <f>4279 / 86400</f>
        <v>4.9525462962962966E-2</v>
      </c>
      <c r="I594" t="s">
        <v>64</v>
      </c>
      <c r="J594" t="s">
        <v>30</v>
      </c>
      <c r="K594" s="5">
        <f>13132 / 86400</f>
        <v>0.15199074074074073</v>
      </c>
      <c r="L594" s="5">
        <f>1884 / 86400</f>
        <v>2.1805555555555557E-2</v>
      </c>
    </row>
    <row r="595" spans="1:12" x14ac:dyDescent="0.25">
      <c r="A595" s="3">
        <v>45690.633391203708</v>
      </c>
      <c r="B595" t="s">
        <v>237</v>
      </c>
      <c r="C595" s="3">
        <v>45690.791180555556</v>
      </c>
      <c r="D595" t="s">
        <v>102</v>
      </c>
      <c r="E595" s="4">
        <v>76.576999999999998</v>
      </c>
      <c r="F595" s="4">
        <v>325577.7</v>
      </c>
      <c r="G595" s="4">
        <v>325654.277</v>
      </c>
      <c r="H595" s="5">
        <f>4377 / 86400</f>
        <v>5.0659722222222224E-2</v>
      </c>
      <c r="I595" t="s">
        <v>19</v>
      </c>
      <c r="J595" t="s">
        <v>58</v>
      </c>
      <c r="K595" s="5">
        <f>13633 / 86400</f>
        <v>0.15778935185185186</v>
      </c>
      <c r="L595" s="5">
        <f>357 / 86400</f>
        <v>4.1319444444444442E-3</v>
      </c>
    </row>
    <row r="596" spans="1:12" x14ac:dyDescent="0.25">
      <c r="A596" s="3">
        <v>45690.795312499999</v>
      </c>
      <c r="B596" t="s">
        <v>102</v>
      </c>
      <c r="C596" s="3">
        <v>45690.796134259261</v>
      </c>
      <c r="D596" t="s">
        <v>102</v>
      </c>
      <c r="E596" s="4">
        <v>9.7000000000000003E-2</v>
      </c>
      <c r="F596" s="4">
        <v>325654.277</v>
      </c>
      <c r="G596" s="4">
        <v>325654.37400000001</v>
      </c>
      <c r="H596" s="5">
        <f>20 / 86400</f>
        <v>2.3148148148148149E-4</v>
      </c>
      <c r="I596" t="s">
        <v>20</v>
      </c>
      <c r="J596" t="s">
        <v>60</v>
      </c>
      <c r="K596" s="5">
        <f>70 / 86400</f>
        <v>8.1018518518518516E-4</v>
      </c>
      <c r="L596" s="5">
        <f>376 / 86400</f>
        <v>4.3518518518518515E-3</v>
      </c>
    </row>
    <row r="597" spans="1:12" x14ac:dyDescent="0.25">
      <c r="A597" s="3">
        <v>45690.800486111111</v>
      </c>
      <c r="B597" t="s">
        <v>102</v>
      </c>
      <c r="C597" s="3">
        <v>45690.805451388893</v>
      </c>
      <c r="D597" t="s">
        <v>25</v>
      </c>
      <c r="E597" s="4">
        <v>0.67300000000000004</v>
      </c>
      <c r="F597" s="4">
        <v>325654.37400000001</v>
      </c>
      <c r="G597" s="4">
        <v>325655.04700000002</v>
      </c>
      <c r="H597" s="5">
        <f>279 / 86400</f>
        <v>3.2291666666666666E-3</v>
      </c>
      <c r="I597" t="s">
        <v>20</v>
      </c>
      <c r="J597" t="s">
        <v>38</v>
      </c>
      <c r="K597" s="5">
        <f>428 / 86400</f>
        <v>4.9537037037037041E-3</v>
      </c>
      <c r="L597" s="5">
        <f>16808 / 86400</f>
        <v>0.19453703703703704</v>
      </c>
    </row>
    <row r="598" spans="1:1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2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</row>
    <row r="600" spans="1:12" s="10" customFormat="1" ht="20.100000000000001" customHeight="1" x14ac:dyDescent="0.35">
      <c r="A600" s="15" t="s">
        <v>340</v>
      </c>
      <c r="B600" s="15"/>
      <c r="C600" s="15"/>
      <c r="D600" s="15"/>
      <c r="E600" s="15"/>
      <c r="F600" s="15"/>
      <c r="G600" s="15"/>
      <c r="H600" s="15"/>
      <c r="I600" s="15"/>
      <c r="J600" s="15"/>
    </row>
    <row r="601" spans="1:12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</row>
    <row r="602" spans="1:12" ht="30" x14ac:dyDescent="0.25">
      <c r="A602" s="2" t="s">
        <v>6</v>
      </c>
      <c r="B602" s="2" t="s">
        <v>7</v>
      </c>
      <c r="C602" s="2" t="s">
        <v>8</v>
      </c>
      <c r="D602" s="2" t="s">
        <v>9</v>
      </c>
      <c r="E602" s="2" t="s">
        <v>10</v>
      </c>
      <c r="F602" s="2" t="s">
        <v>11</v>
      </c>
      <c r="G602" s="2" t="s">
        <v>12</v>
      </c>
      <c r="H602" s="2" t="s">
        <v>13</v>
      </c>
      <c r="I602" s="2" t="s">
        <v>14</v>
      </c>
      <c r="J602" s="2" t="s">
        <v>15</v>
      </c>
      <c r="K602" s="2" t="s">
        <v>16</v>
      </c>
      <c r="L602" s="2" t="s">
        <v>17</v>
      </c>
    </row>
    <row r="603" spans="1:12" x14ac:dyDescent="0.25">
      <c r="A603" s="3">
        <v>45690.301064814819</v>
      </c>
      <c r="B603" t="s">
        <v>25</v>
      </c>
      <c r="C603" s="3">
        <v>45690.311412037037</v>
      </c>
      <c r="D603" t="s">
        <v>249</v>
      </c>
      <c r="E603" s="4">
        <v>2.1829999999999998</v>
      </c>
      <c r="F603" s="4">
        <v>358855.64</v>
      </c>
      <c r="G603" s="4">
        <v>358857.82299999997</v>
      </c>
      <c r="H603" s="5">
        <f>380 / 86400</f>
        <v>4.3981481481481484E-3</v>
      </c>
      <c r="I603" t="s">
        <v>132</v>
      </c>
      <c r="J603" t="s">
        <v>88</v>
      </c>
      <c r="K603" s="5">
        <f>894 / 86400</f>
        <v>1.0347222222222223E-2</v>
      </c>
      <c r="L603" s="5">
        <f>26525 / 86400</f>
        <v>0.30700231481481483</v>
      </c>
    </row>
    <row r="604" spans="1:12" x14ac:dyDescent="0.25">
      <c r="A604" s="3">
        <v>45690.317349537036</v>
      </c>
      <c r="B604" t="s">
        <v>249</v>
      </c>
      <c r="C604" s="3">
        <v>45690.442928240736</v>
      </c>
      <c r="D604" t="s">
        <v>44</v>
      </c>
      <c r="E604" s="4">
        <v>59.225000000000001</v>
      </c>
      <c r="F604" s="4">
        <v>358857.82299999997</v>
      </c>
      <c r="G604" s="4">
        <v>358917.04800000001</v>
      </c>
      <c r="H604" s="5">
        <f>3358 / 86400</f>
        <v>3.8865740740740742E-2</v>
      </c>
      <c r="I604" t="s">
        <v>62</v>
      </c>
      <c r="J604" t="s">
        <v>58</v>
      </c>
      <c r="K604" s="5">
        <f>10849 / 86400</f>
        <v>0.12556712962962963</v>
      </c>
      <c r="L604" s="5">
        <f>2128 / 86400</f>
        <v>2.462962962962963E-2</v>
      </c>
    </row>
    <row r="605" spans="1:12" x14ac:dyDescent="0.25">
      <c r="A605" s="3">
        <v>45690.467557870375</v>
      </c>
      <c r="B605" t="s">
        <v>44</v>
      </c>
      <c r="C605" s="3">
        <v>45690.468275462961</v>
      </c>
      <c r="D605" t="s">
        <v>44</v>
      </c>
      <c r="E605" s="4">
        <v>9.2999999999999999E-2</v>
      </c>
      <c r="F605" s="4">
        <v>358917.04800000001</v>
      </c>
      <c r="G605" s="4">
        <v>358917.141</v>
      </c>
      <c r="H605" s="5">
        <f>0 / 86400</f>
        <v>0</v>
      </c>
      <c r="I605" t="s">
        <v>173</v>
      </c>
      <c r="J605" t="s">
        <v>60</v>
      </c>
      <c r="K605" s="5">
        <f>62 / 86400</f>
        <v>7.1759259259259259E-4</v>
      </c>
      <c r="L605" s="5">
        <f>699 / 86400</f>
        <v>8.0902777777777778E-3</v>
      </c>
    </row>
    <row r="606" spans="1:12" x14ac:dyDescent="0.25">
      <c r="A606" s="3">
        <v>45690.476365740746</v>
      </c>
      <c r="B606" t="s">
        <v>44</v>
      </c>
      <c r="C606" s="3">
        <v>45690.482303240744</v>
      </c>
      <c r="D606" t="s">
        <v>128</v>
      </c>
      <c r="E606" s="4">
        <v>1.2470000000000001</v>
      </c>
      <c r="F606" s="4">
        <v>358917.141</v>
      </c>
      <c r="G606" s="4">
        <v>358918.38799999998</v>
      </c>
      <c r="H606" s="5">
        <f>139 / 86400</f>
        <v>1.6087962962962963E-3</v>
      </c>
      <c r="I606" t="s">
        <v>126</v>
      </c>
      <c r="J606" t="s">
        <v>88</v>
      </c>
      <c r="K606" s="5">
        <f>513 / 86400</f>
        <v>5.9375000000000001E-3</v>
      </c>
      <c r="L606" s="5">
        <f>939 / 86400</f>
        <v>1.0868055555555556E-2</v>
      </c>
    </row>
    <row r="607" spans="1:12" x14ac:dyDescent="0.25">
      <c r="A607" s="3">
        <v>45690.493171296301</v>
      </c>
      <c r="B607" t="s">
        <v>128</v>
      </c>
      <c r="C607" s="3">
        <v>45690.497048611112</v>
      </c>
      <c r="D607" t="s">
        <v>145</v>
      </c>
      <c r="E607" s="4">
        <v>0.752</v>
      </c>
      <c r="F607" s="4">
        <v>358918.38799999998</v>
      </c>
      <c r="G607" s="4">
        <v>358919.14</v>
      </c>
      <c r="H607" s="5">
        <f>119 / 86400</f>
        <v>1.3773148148148147E-3</v>
      </c>
      <c r="I607" t="s">
        <v>84</v>
      </c>
      <c r="J607" t="s">
        <v>173</v>
      </c>
      <c r="K607" s="5">
        <f>335 / 86400</f>
        <v>3.8773148148148148E-3</v>
      </c>
      <c r="L607" s="5">
        <f>89 / 86400</f>
        <v>1.0300925925925926E-3</v>
      </c>
    </row>
    <row r="608" spans="1:12" x14ac:dyDescent="0.25">
      <c r="A608" s="3">
        <v>45690.498078703706</v>
      </c>
      <c r="B608" t="s">
        <v>145</v>
      </c>
      <c r="C608" s="3">
        <v>45690.646064814813</v>
      </c>
      <c r="D608" t="s">
        <v>140</v>
      </c>
      <c r="E608" s="4">
        <v>78.551000000000002</v>
      </c>
      <c r="F608" s="4">
        <v>358919.14</v>
      </c>
      <c r="G608" s="4">
        <v>358997.69099999999</v>
      </c>
      <c r="H608" s="5">
        <f>3859 / 86400</f>
        <v>4.4664351851851851E-2</v>
      </c>
      <c r="I608" t="s">
        <v>26</v>
      </c>
      <c r="J608" t="s">
        <v>84</v>
      </c>
      <c r="K608" s="5">
        <f>12785 / 86400</f>
        <v>0.14797453703703703</v>
      </c>
      <c r="L608" s="5">
        <f>734 / 86400</f>
        <v>8.4953703703703701E-3</v>
      </c>
    </row>
    <row r="609" spans="1:12" x14ac:dyDescent="0.25">
      <c r="A609" s="3">
        <v>45690.654560185183</v>
      </c>
      <c r="B609" t="s">
        <v>140</v>
      </c>
      <c r="C609" s="3">
        <v>45690.792754629627</v>
      </c>
      <c r="D609" t="s">
        <v>277</v>
      </c>
      <c r="E609" s="4">
        <v>65.552999999999997</v>
      </c>
      <c r="F609" s="4">
        <v>358997.69099999999</v>
      </c>
      <c r="G609" s="4">
        <v>359063.24400000001</v>
      </c>
      <c r="H609" s="5">
        <f>4080 / 86400</f>
        <v>4.7222222222222221E-2</v>
      </c>
      <c r="I609" t="s">
        <v>185</v>
      </c>
      <c r="J609" t="s">
        <v>58</v>
      </c>
      <c r="K609" s="5">
        <f>11940 / 86400</f>
        <v>0.13819444444444445</v>
      </c>
      <c r="L609" s="5">
        <f>473 / 86400</f>
        <v>5.4745370370370373E-3</v>
      </c>
    </row>
    <row r="610" spans="1:12" x14ac:dyDescent="0.25">
      <c r="A610" s="3">
        <v>45690.79822916667</v>
      </c>
      <c r="B610" t="s">
        <v>277</v>
      </c>
      <c r="C610" s="3">
        <v>45690.834328703699</v>
      </c>
      <c r="D610" t="s">
        <v>25</v>
      </c>
      <c r="E610" s="4">
        <v>12.324999999999999</v>
      </c>
      <c r="F610" s="4">
        <v>359063.24400000001</v>
      </c>
      <c r="G610" s="4">
        <v>359075.56900000002</v>
      </c>
      <c r="H610" s="5">
        <f>1175 / 86400</f>
        <v>1.3599537037037037E-2</v>
      </c>
      <c r="I610" t="s">
        <v>171</v>
      </c>
      <c r="J610" t="s">
        <v>127</v>
      </c>
      <c r="K610" s="5">
        <f>3119 / 86400</f>
        <v>3.6099537037037034E-2</v>
      </c>
      <c r="L610" s="5">
        <f>14313 / 86400</f>
        <v>0.16565972222222222</v>
      </c>
    </row>
    <row r="611" spans="1:12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</row>
    <row r="612" spans="1:1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</row>
    <row r="613" spans="1:12" s="10" customFormat="1" ht="20.100000000000001" customHeight="1" x14ac:dyDescent="0.35">
      <c r="A613" s="15" t="s">
        <v>341</v>
      </c>
      <c r="B613" s="15"/>
      <c r="C613" s="15"/>
      <c r="D613" s="15"/>
      <c r="E613" s="15"/>
      <c r="F613" s="15"/>
      <c r="G613" s="15"/>
      <c r="H613" s="15"/>
      <c r="I613" s="15"/>
      <c r="J613" s="15"/>
    </row>
    <row r="614" spans="1:12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</row>
    <row r="615" spans="1:12" ht="30" x14ac:dyDescent="0.25">
      <c r="A615" s="2" t="s">
        <v>6</v>
      </c>
      <c r="B615" s="2" t="s">
        <v>7</v>
      </c>
      <c r="C615" s="2" t="s">
        <v>8</v>
      </c>
      <c r="D615" s="2" t="s">
        <v>9</v>
      </c>
      <c r="E615" s="2" t="s">
        <v>10</v>
      </c>
      <c r="F615" s="2" t="s">
        <v>11</v>
      </c>
      <c r="G615" s="2" t="s">
        <v>12</v>
      </c>
      <c r="H615" s="2" t="s">
        <v>13</v>
      </c>
      <c r="I615" s="2" t="s">
        <v>14</v>
      </c>
      <c r="J615" s="2" t="s">
        <v>15</v>
      </c>
      <c r="K615" s="2" t="s">
        <v>16</v>
      </c>
      <c r="L615" s="2" t="s">
        <v>17</v>
      </c>
    </row>
    <row r="616" spans="1:12" x14ac:dyDescent="0.25">
      <c r="A616" s="3">
        <v>45690.33393518519</v>
      </c>
      <c r="B616" t="s">
        <v>90</v>
      </c>
      <c r="C616" s="3">
        <v>45690.336435185185</v>
      </c>
      <c r="D616" t="s">
        <v>90</v>
      </c>
      <c r="E616" s="4">
        <v>0.10199999999999999</v>
      </c>
      <c r="F616" s="4">
        <v>80377.585999999996</v>
      </c>
      <c r="G616" s="4">
        <v>80377.687999999995</v>
      </c>
      <c r="H616" s="5">
        <f>159 / 86400</f>
        <v>1.8402777777777777E-3</v>
      </c>
      <c r="I616" t="s">
        <v>91</v>
      </c>
      <c r="J616" t="s">
        <v>79</v>
      </c>
      <c r="K616" s="5">
        <f>216 / 86400</f>
        <v>2.5000000000000001E-3</v>
      </c>
      <c r="L616" s="5">
        <f>77690 / 86400</f>
        <v>0.89918981481481486</v>
      </c>
    </row>
    <row r="617" spans="1:12" x14ac:dyDescent="0.25">
      <c r="A617" s="3">
        <v>45690.901689814811</v>
      </c>
      <c r="B617" t="s">
        <v>90</v>
      </c>
      <c r="C617" s="3">
        <v>45690.906585648147</v>
      </c>
      <c r="D617" t="s">
        <v>90</v>
      </c>
      <c r="E617" s="4">
        <v>0.1</v>
      </c>
      <c r="F617" s="4">
        <v>80377.687999999995</v>
      </c>
      <c r="G617" s="4">
        <v>80377.788</v>
      </c>
      <c r="H617" s="5">
        <f>339 / 86400</f>
        <v>3.9236111111111112E-3</v>
      </c>
      <c r="I617" t="s">
        <v>60</v>
      </c>
      <c r="J617" t="s">
        <v>41</v>
      </c>
      <c r="K617" s="5">
        <f>422 / 86400</f>
        <v>4.8842592592592592E-3</v>
      </c>
      <c r="L617" s="5">
        <f>8070 / 86400</f>
        <v>9.3402777777777779E-2</v>
      </c>
    </row>
    <row r="618" spans="1:12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</row>
    <row r="619" spans="1:12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</row>
    <row r="620" spans="1:12" s="10" customFormat="1" ht="20.100000000000001" customHeight="1" x14ac:dyDescent="0.35">
      <c r="A620" s="15" t="s">
        <v>342</v>
      </c>
      <c r="B620" s="15"/>
      <c r="C620" s="15"/>
      <c r="D620" s="15"/>
      <c r="E620" s="15"/>
      <c r="F620" s="15"/>
      <c r="G620" s="15"/>
      <c r="H620" s="15"/>
      <c r="I620" s="15"/>
      <c r="J620" s="15"/>
    </row>
    <row r="621" spans="1:12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</row>
    <row r="622" spans="1:12" ht="30" x14ac:dyDescent="0.25">
      <c r="A622" s="2" t="s">
        <v>6</v>
      </c>
      <c r="B622" s="2" t="s">
        <v>7</v>
      </c>
      <c r="C622" s="2" t="s">
        <v>8</v>
      </c>
      <c r="D622" s="2" t="s">
        <v>9</v>
      </c>
      <c r="E622" s="2" t="s">
        <v>10</v>
      </c>
      <c r="F622" s="2" t="s">
        <v>11</v>
      </c>
      <c r="G622" s="2" t="s">
        <v>12</v>
      </c>
      <c r="H622" s="2" t="s">
        <v>13</v>
      </c>
      <c r="I622" s="2" t="s">
        <v>14</v>
      </c>
      <c r="J622" s="2" t="s">
        <v>15</v>
      </c>
      <c r="K622" s="2" t="s">
        <v>16</v>
      </c>
      <c r="L622" s="2" t="s">
        <v>17</v>
      </c>
    </row>
    <row r="623" spans="1:12" x14ac:dyDescent="0.25">
      <c r="A623" s="3">
        <v>45690.245451388888</v>
      </c>
      <c r="B623" t="s">
        <v>92</v>
      </c>
      <c r="C623" s="3">
        <v>45690.246990740736</v>
      </c>
      <c r="D623" t="s">
        <v>25</v>
      </c>
      <c r="E623" s="4">
        <v>0.02</v>
      </c>
      <c r="F623" s="4">
        <v>468170.55300000001</v>
      </c>
      <c r="G623" s="4">
        <v>468170.57299999997</v>
      </c>
      <c r="H623" s="5">
        <f>98 / 86400</f>
        <v>1.1342592592592593E-3</v>
      </c>
      <c r="I623" t="s">
        <v>41</v>
      </c>
      <c r="J623" t="s">
        <v>41</v>
      </c>
      <c r="K623" s="5">
        <f>132 / 86400</f>
        <v>1.5277777777777779E-3</v>
      </c>
      <c r="L623" s="5">
        <f>22334 / 86400</f>
        <v>0.25849537037037035</v>
      </c>
    </row>
    <row r="624" spans="1:12" x14ac:dyDescent="0.25">
      <c r="A624" s="3">
        <v>45690.260034722218</v>
      </c>
      <c r="B624" t="s">
        <v>25</v>
      </c>
      <c r="C624" s="3">
        <v>45690.271516203706</v>
      </c>
      <c r="D624" t="s">
        <v>278</v>
      </c>
      <c r="E624" s="4">
        <v>3.302</v>
      </c>
      <c r="F624" s="4">
        <v>468170.57299999997</v>
      </c>
      <c r="G624" s="4">
        <v>468173.875</v>
      </c>
      <c r="H624" s="5">
        <f>160 / 86400</f>
        <v>1.8518518518518519E-3</v>
      </c>
      <c r="I624" t="s">
        <v>134</v>
      </c>
      <c r="J624" t="s">
        <v>125</v>
      </c>
      <c r="K624" s="5">
        <f>991 / 86400</f>
        <v>1.1469907407407408E-2</v>
      </c>
      <c r="L624" s="5">
        <f>32868 / 86400</f>
        <v>0.38041666666666668</v>
      </c>
    </row>
    <row r="625" spans="1:12" x14ac:dyDescent="0.25">
      <c r="A625" s="3">
        <v>45690.651932870373</v>
      </c>
      <c r="B625" t="s">
        <v>278</v>
      </c>
      <c r="C625" s="3">
        <v>45690.66611111111</v>
      </c>
      <c r="D625" t="s">
        <v>25</v>
      </c>
      <c r="E625" s="4">
        <v>3.16</v>
      </c>
      <c r="F625" s="4">
        <v>468173.875</v>
      </c>
      <c r="G625" s="4">
        <v>468177.03499999997</v>
      </c>
      <c r="H625" s="5">
        <f>400 / 86400</f>
        <v>4.6296296296296294E-3</v>
      </c>
      <c r="I625" t="s">
        <v>93</v>
      </c>
      <c r="J625" t="s">
        <v>88</v>
      </c>
      <c r="K625" s="5">
        <f>1225 / 86400</f>
        <v>1.4178240740740741E-2</v>
      </c>
      <c r="L625" s="5">
        <f>705 / 86400</f>
        <v>8.1597222222222227E-3</v>
      </c>
    </row>
    <row r="626" spans="1:12" x14ac:dyDescent="0.25">
      <c r="A626" s="3">
        <v>45690.674270833333</v>
      </c>
      <c r="B626" t="s">
        <v>25</v>
      </c>
      <c r="C626" s="3">
        <v>45690.675069444449</v>
      </c>
      <c r="D626" t="s">
        <v>25</v>
      </c>
      <c r="E626" s="4">
        <v>8.9999999999999993E-3</v>
      </c>
      <c r="F626" s="4">
        <v>468177.03499999997</v>
      </c>
      <c r="G626" s="4">
        <v>468177.04399999999</v>
      </c>
      <c r="H626" s="5">
        <f>59 / 86400</f>
        <v>6.8287037037037036E-4</v>
      </c>
      <c r="I626" t="s">
        <v>39</v>
      </c>
      <c r="J626" t="s">
        <v>39</v>
      </c>
      <c r="K626" s="5">
        <f>68 / 86400</f>
        <v>7.8703703703703705E-4</v>
      </c>
      <c r="L626" s="5">
        <f>28073 / 86400</f>
        <v>0.32491898148148146</v>
      </c>
    </row>
    <row r="627" spans="1:1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2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</row>
    <row r="629" spans="1:12" s="10" customFormat="1" ht="20.100000000000001" customHeight="1" x14ac:dyDescent="0.35">
      <c r="A629" s="15" t="s">
        <v>343</v>
      </c>
      <c r="B629" s="15"/>
      <c r="C629" s="15"/>
      <c r="D629" s="15"/>
      <c r="E629" s="15"/>
      <c r="F629" s="15"/>
      <c r="G629" s="15"/>
      <c r="H629" s="15"/>
      <c r="I629" s="15"/>
      <c r="J629" s="15"/>
    </row>
    <row r="630" spans="1:1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2" ht="30" x14ac:dyDescent="0.25">
      <c r="A631" s="2" t="s">
        <v>6</v>
      </c>
      <c r="B631" s="2" t="s">
        <v>7</v>
      </c>
      <c r="C631" s="2" t="s">
        <v>8</v>
      </c>
      <c r="D631" s="2" t="s">
        <v>9</v>
      </c>
      <c r="E631" s="2" t="s">
        <v>10</v>
      </c>
      <c r="F631" s="2" t="s">
        <v>11</v>
      </c>
      <c r="G631" s="2" t="s">
        <v>12</v>
      </c>
      <c r="H631" s="2" t="s">
        <v>13</v>
      </c>
      <c r="I631" s="2" t="s">
        <v>14</v>
      </c>
      <c r="J631" s="2" t="s">
        <v>15</v>
      </c>
      <c r="K631" s="2" t="s">
        <v>16</v>
      </c>
      <c r="L631" s="2" t="s">
        <v>17</v>
      </c>
    </row>
    <row r="632" spans="1:12" x14ac:dyDescent="0.25">
      <c r="A632" s="3">
        <v>45690.424398148149</v>
      </c>
      <c r="B632" t="s">
        <v>94</v>
      </c>
      <c r="C632" s="3">
        <v>45690.429259259261</v>
      </c>
      <c r="D632" t="s">
        <v>140</v>
      </c>
      <c r="E632" s="4">
        <v>0.81</v>
      </c>
      <c r="F632" s="4">
        <v>426948.53</v>
      </c>
      <c r="G632" s="4">
        <v>426949.34</v>
      </c>
      <c r="H632" s="5">
        <f>179 / 86400</f>
        <v>2.0717592592592593E-3</v>
      </c>
      <c r="I632" t="s">
        <v>84</v>
      </c>
      <c r="J632" t="s">
        <v>91</v>
      </c>
      <c r="K632" s="5">
        <f>419 / 86400</f>
        <v>4.8495370370370368E-3</v>
      </c>
      <c r="L632" s="5">
        <f>37226 / 86400</f>
        <v>0.43085648148148148</v>
      </c>
    </row>
    <row r="633" spans="1:12" x14ac:dyDescent="0.25">
      <c r="A633" s="3">
        <v>45690.435717592598</v>
      </c>
      <c r="B633" t="s">
        <v>140</v>
      </c>
      <c r="C633" s="3">
        <v>45690.437581018516</v>
      </c>
      <c r="D633" t="s">
        <v>143</v>
      </c>
      <c r="E633" s="4">
        <v>0.69199999999999995</v>
      </c>
      <c r="F633" s="4">
        <v>426949.34</v>
      </c>
      <c r="G633" s="4">
        <v>426950.03200000001</v>
      </c>
      <c r="H633" s="5">
        <f>39 / 86400</f>
        <v>4.5138888888888887E-4</v>
      </c>
      <c r="I633" t="s">
        <v>279</v>
      </c>
      <c r="J633" t="s">
        <v>139</v>
      </c>
      <c r="K633" s="5">
        <f>161 / 86400</f>
        <v>1.8634259259259259E-3</v>
      </c>
      <c r="L633" s="5">
        <f>596 / 86400</f>
        <v>6.898148148148148E-3</v>
      </c>
    </row>
    <row r="634" spans="1:12" x14ac:dyDescent="0.25">
      <c r="A634" s="3">
        <v>45690.444479166668</v>
      </c>
      <c r="B634" t="s">
        <v>143</v>
      </c>
      <c r="C634" s="3">
        <v>45690.580416666664</v>
      </c>
      <c r="D634" t="s">
        <v>280</v>
      </c>
      <c r="E634" s="4">
        <v>57.228000000000002</v>
      </c>
      <c r="F634" s="4">
        <v>426950.03200000001</v>
      </c>
      <c r="G634" s="4">
        <v>427007.26</v>
      </c>
      <c r="H634" s="5">
        <f>3979 / 86400</f>
        <v>4.6053240740740742E-2</v>
      </c>
      <c r="I634" t="s">
        <v>35</v>
      </c>
      <c r="J634" t="s">
        <v>33</v>
      </c>
      <c r="K634" s="5">
        <f>11744 / 86400</f>
        <v>0.13592592592592592</v>
      </c>
      <c r="L634" s="5">
        <f>64 / 86400</f>
        <v>7.407407407407407E-4</v>
      </c>
    </row>
    <row r="635" spans="1:12" x14ac:dyDescent="0.25">
      <c r="A635" s="3">
        <v>45690.581157407403</v>
      </c>
      <c r="B635" t="s">
        <v>280</v>
      </c>
      <c r="C635" s="3">
        <v>45690.64744212963</v>
      </c>
      <c r="D635" t="s">
        <v>44</v>
      </c>
      <c r="E635" s="4">
        <v>36.79</v>
      </c>
      <c r="F635" s="4">
        <v>427007.26</v>
      </c>
      <c r="G635" s="4">
        <v>427044.05</v>
      </c>
      <c r="H635" s="5">
        <f>1359 / 86400</f>
        <v>1.5729166666666666E-2</v>
      </c>
      <c r="I635" t="s">
        <v>31</v>
      </c>
      <c r="J635" t="s">
        <v>86</v>
      </c>
      <c r="K635" s="5">
        <f>5726 / 86400</f>
        <v>6.627314814814815E-2</v>
      </c>
      <c r="L635" s="5">
        <f>103 / 86400</f>
        <v>1.1921296296296296E-3</v>
      </c>
    </row>
    <row r="636" spans="1:12" x14ac:dyDescent="0.25">
      <c r="A636" s="3">
        <v>45690.648634259254</v>
      </c>
      <c r="B636" t="s">
        <v>44</v>
      </c>
      <c r="C636" s="3">
        <v>45690.648888888885</v>
      </c>
      <c r="D636" t="s">
        <v>44</v>
      </c>
      <c r="E636" s="4">
        <v>0</v>
      </c>
      <c r="F636" s="4">
        <v>427044.05</v>
      </c>
      <c r="G636" s="4">
        <v>427044.05</v>
      </c>
      <c r="H636" s="5">
        <f>19 / 86400</f>
        <v>2.199074074074074E-4</v>
      </c>
      <c r="I636" t="s">
        <v>39</v>
      </c>
      <c r="J636" t="s">
        <v>39</v>
      </c>
      <c r="K636" s="5">
        <f>21 / 86400</f>
        <v>2.4305555555555555E-4</v>
      </c>
      <c r="L636" s="5">
        <f>1852 / 86400</f>
        <v>2.1435185185185186E-2</v>
      </c>
    </row>
    <row r="637" spans="1:12" x14ac:dyDescent="0.25">
      <c r="A637" s="3">
        <v>45690.670324074075</v>
      </c>
      <c r="B637" t="s">
        <v>44</v>
      </c>
      <c r="C637" s="3">
        <v>45690.688125000001</v>
      </c>
      <c r="D637" t="s">
        <v>271</v>
      </c>
      <c r="E637" s="4">
        <v>7.1909999999999998</v>
      </c>
      <c r="F637" s="4">
        <v>427044.05</v>
      </c>
      <c r="G637" s="4">
        <v>427051.24099999998</v>
      </c>
      <c r="H637" s="5">
        <f>79 / 86400</f>
        <v>9.1435185185185185E-4</v>
      </c>
      <c r="I637" t="s">
        <v>229</v>
      </c>
      <c r="J637" t="s">
        <v>27</v>
      </c>
      <c r="K637" s="5">
        <f>1537 / 86400</f>
        <v>1.7789351851851851E-2</v>
      </c>
      <c r="L637" s="5">
        <f>350 / 86400</f>
        <v>4.0509259259259257E-3</v>
      </c>
    </row>
    <row r="638" spans="1:12" x14ac:dyDescent="0.25">
      <c r="A638" s="3">
        <v>45690.692175925928</v>
      </c>
      <c r="B638" t="s">
        <v>271</v>
      </c>
      <c r="C638" s="3">
        <v>45690.792025462964</v>
      </c>
      <c r="D638" t="s">
        <v>272</v>
      </c>
      <c r="E638" s="4">
        <v>48.098999999999997</v>
      </c>
      <c r="F638" s="4">
        <v>427051.24099999998</v>
      </c>
      <c r="G638" s="4">
        <v>427099.34</v>
      </c>
      <c r="H638" s="5">
        <f>2221 / 86400</f>
        <v>2.5706018518518517E-2</v>
      </c>
      <c r="I638" t="s">
        <v>185</v>
      </c>
      <c r="J638" t="s">
        <v>58</v>
      </c>
      <c r="K638" s="5">
        <f>8626 / 86400</f>
        <v>9.9837962962962962E-2</v>
      </c>
      <c r="L638" s="5">
        <f>88 / 86400</f>
        <v>1.0185185185185184E-3</v>
      </c>
    </row>
    <row r="639" spans="1:12" x14ac:dyDescent="0.25">
      <c r="A639" s="3">
        <v>45690.793043981481</v>
      </c>
      <c r="B639" t="s">
        <v>272</v>
      </c>
      <c r="C639" s="3">
        <v>45690.866875</v>
      </c>
      <c r="D639" t="s">
        <v>117</v>
      </c>
      <c r="E639" s="4">
        <v>28.911000000000001</v>
      </c>
      <c r="F639" s="4">
        <v>427099.34</v>
      </c>
      <c r="G639" s="4">
        <v>427128.25099999999</v>
      </c>
      <c r="H639" s="5">
        <f>2219 / 86400</f>
        <v>2.568287037037037E-2</v>
      </c>
      <c r="I639" t="s">
        <v>179</v>
      </c>
      <c r="J639" t="s">
        <v>97</v>
      </c>
      <c r="K639" s="5">
        <f>6378 / 86400</f>
        <v>7.3819444444444438E-2</v>
      </c>
      <c r="L639" s="5">
        <f>60 / 86400</f>
        <v>6.9444444444444447E-4</v>
      </c>
    </row>
    <row r="640" spans="1:12" x14ac:dyDescent="0.25">
      <c r="A640" s="3">
        <v>45690.867569444439</v>
      </c>
      <c r="B640" t="s">
        <v>37</v>
      </c>
      <c r="C640" s="3">
        <v>45690.901354166665</v>
      </c>
      <c r="D640" t="s">
        <v>140</v>
      </c>
      <c r="E640" s="4">
        <v>18.573</v>
      </c>
      <c r="F640" s="4">
        <v>427128.25199999998</v>
      </c>
      <c r="G640" s="4">
        <v>427146.82500000001</v>
      </c>
      <c r="H640" s="5">
        <f>540 / 86400</f>
        <v>6.2500000000000003E-3</v>
      </c>
      <c r="I640" t="s">
        <v>214</v>
      </c>
      <c r="J640" t="s">
        <v>86</v>
      </c>
      <c r="K640" s="5">
        <f>2918 / 86400</f>
        <v>3.3773148148148149E-2</v>
      </c>
      <c r="L640" s="5">
        <f>376 / 86400</f>
        <v>4.3518518518518515E-3</v>
      </c>
    </row>
    <row r="641" spans="1:12" x14ac:dyDescent="0.25">
      <c r="A641" s="3">
        <v>45690.905706018515</v>
      </c>
      <c r="B641" t="s">
        <v>140</v>
      </c>
      <c r="C641" s="3">
        <v>45690.908275462964</v>
      </c>
      <c r="D641" t="s">
        <v>94</v>
      </c>
      <c r="E641" s="4">
        <v>0.63800000000000001</v>
      </c>
      <c r="F641" s="4">
        <v>427146.82500000001</v>
      </c>
      <c r="G641" s="4">
        <v>427147.46299999999</v>
      </c>
      <c r="H641" s="5">
        <f>60 / 86400</f>
        <v>6.9444444444444447E-4</v>
      </c>
      <c r="I641" t="s">
        <v>168</v>
      </c>
      <c r="J641" t="s">
        <v>24</v>
      </c>
      <c r="K641" s="5">
        <f>222 / 86400</f>
        <v>2.5694444444444445E-3</v>
      </c>
      <c r="L641" s="5">
        <f>759 / 86400</f>
        <v>8.7847222222222215E-3</v>
      </c>
    </row>
    <row r="642" spans="1:12" x14ac:dyDescent="0.25">
      <c r="A642" s="3">
        <v>45690.91706018518</v>
      </c>
      <c r="B642" t="s">
        <v>94</v>
      </c>
      <c r="C642" s="3">
        <v>45690.918495370366</v>
      </c>
      <c r="D642" t="s">
        <v>94</v>
      </c>
      <c r="E642" s="4">
        <v>0.113</v>
      </c>
      <c r="F642" s="4">
        <v>427147.46299999999</v>
      </c>
      <c r="G642" s="4">
        <v>427147.576</v>
      </c>
      <c r="H642" s="5">
        <f>60 / 86400</f>
        <v>6.9444444444444447E-4</v>
      </c>
      <c r="I642" t="s">
        <v>88</v>
      </c>
      <c r="J642" t="s">
        <v>75</v>
      </c>
      <c r="K642" s="5">
        <f>123 / 86400</f>
        <v>1.4236111111111112E-3</v>
      </c>
      <c r="L642" s="5">
        <f>7041 / 86400</f>
        <v>8.1493055555555555E-2</v>
      </c>
    </row>
    <row r="643" spans="1:1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</row>
    <row r="644" spans="1:1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 spans="1:12" s="10" customFormat="1" ht="20.100000000000001" customHeight="1" x14ac:dyDescent="0.35">
      <c r="A645" s="15" t="s">
        <v>344</v>
      </c>
      <c r="B645" s="15"/>
      <c r="C645" s="15"/>
      <c r="D645" s="15"/>
      <c r="E645" s="15"/>
      <c r="F645" s="15"/>
      <c r="G645" s="15"/>
      <c r="H645" s="15"/>
      <c r="I645" s="15"/>
      <c r="J645" s="15"/>
    </row>
    <row r="646" spans="1:1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2" ht="30" x14ac:dyDescent="0.25">
      <c r="A647" s="2" t="s">
        <v>6</v>
      </c>
      <c r="B647" s="2" t="s">
        <v>7</v>
      </c>
      <c r="C647" s="2" t="s">
        <v>8</v>
      </c>
      <c r="D647" s="2" t="s">
        <v>9</v>
      </c>
      <c r="E647" s="2" t="s">
        <v>10</v>
      </c>
      <c r="F647" s="2" t="s">
        <v>11</v>
      </c>
      <c r="G647" s="2" t="s">
        <v>12</v>
      </c>
      <c r="H647" s="2" t="s">
        <v>13</v>
      </c>
      <c r="I647" s="2" t="s">
        <v>14</v>
      </c>
      <c r="J647" s="2" t="s">
        <v>15</v>
      </c>
      <c r="K647" s="2" t="s">
        <v>16</v>
      </c>
      <c r="L647" s="2" t="s">
        <v>17</v>
      </c>
    </row>
    <row r="648" spans="1:12" x14ac:dyDescent="0.25">
      <c r="A648" s="3">
        <v>45690.248587962968</v>
      </c>
      <c r="B648" t="s">
        <v>25</v>
      </c>
      <c r="C648" s="3">
        <v>45690.538472222222</v>
      </c>
      <c r="D648" t="s">
        <v>89</v>
      </c>
      <c r="E648" s="4">
        <v>131.001</v>
      </c>
      <c r="F648" s="4">
        <v>573476.70900000003</v>
      </c>
      <c r="G648" s="4">
        <v>573607.71</v>
      </c>
      <c r="H648" s="5">
        <f>6320 / 86400</f>
        <v>7.3148148148148143E-2</v>
      </c>
      <c r="I648" t="s">
        <v>55</v>
      </c>
      <c r="J648" t="s">
        <v>20</v>
      </c>
      <c r="K648" s="5">
        <f>25046 / 86400</f>
        <v>0.28988425925925926</v>
      </c>
      <c r="L648" s="5">
        <f>21518 / 86400</f>
        <v>0.24905092592592593</v>
      </c>
    </row>
    <row r="649" spans="1:12" x14ac:dyDescent="0.25">
      <c r="A649" s="3">
        <v>45690.538935185185</v>
      </c>
      <c r="B649" t="s">
        <v>89</v>
      </c>
      <c r="C649" s="3">
        <v>45690.539953703701</v>
      </c>
      <c r="D649" t="s">
        <v>89</v>
      </c>
      <c r="E649" s="4">
        <v>0.29699999999999999</v>
      </c>
      <c r="F649" s="4">
        <v>573607.71</v>
      </c>
      <c r="G649" s="4">
        <v>573608.00699999998</v>
      </c>
      <c r="H649" s="5">
        <f>19 / 86400</f>
        <v>2.199074074074074E-4</v>
      </c>
      <c r="I649" t="s">
        <v>229</v>
      </c>
      <c r="J649" t="s">
        <v>125</v>
      </c>
      <c r="K649" s="5">
        <f>87 / 86400</f>
        <v>1.0069444444444444E-3</v>
      </c>
      <c r="L649" s="5">
        <f>96 / 86400</f>
        <v>1.1111111111111111E-3</v>
      </c>
    </row>
    <row r="650" spans="1:12" x14ac:dyDescent="0.25">
      <c r="A650" s="3">
        <v>45690.54106481481</v>
      </c>
      <c r="B650" t="s">
        <v>89</v>
      </c>
      <c r="C650" s="3">
        <v>45690.54184027778</v>
      </c>
      <c r="D650" t="s">
        <v>89</v>
      </c>
      <c r="E650" s="4">
        <v>8.3000000000000004E-2</v>
      </c>
      <c r="F650" s="4">
        <v>573608.00699999998</v>
      </c>
      <c r="G650" s="4">
        <v>573608.09</v>
      </c>
      <c r="H650" s="5">
        <f>20 / 86400</f>
        <v>2.3148148148148149E-4</v>
      </c>
      <c r="I650" t="s">
        <v>125</v>
      </c>
      <c r="J650" t="s">
        <v>163</v>
      </c>
      <c r="K650" s="5">
        <f>67 / 86400</f>
        <v>7.7546296296296293E-4</v>
      </c>
      <c r="L650" s="5">
        <f>78 / 86400</f>
        <v>9.0277777777777774E-4</v>
      </c>
    </row>
    <row r="651" spans="1:12" x14ac:dyDescent="0.25">
      <c r="A651" s="3">
        <v>45690.542743055557</v>
      </c>
      <c r="B651" t="s">
        <v>89</v>
      </c>
      <c r="C651" s="3">
        <v>45690.545902777776</v>
      </c>
      <c r="D651" t="s">
        <v>89</v>
      </c>
      <c r="E651" s="4">
        <v>0</v>
      </c>
      <c r="F651" s="4">
        <v>573608.09</v>
      </c>
      <c r="G651" s="4">
        <v>573608.09</v>
      </c>
      <c r="H651" s="5">
        <f>259 / 86400</f>
        <v>2.9976851851851853E-3</v>
      </c>
      <c r="I651" t="s">
        <v>39</v>
      </c>
      <c r="J651" t="s">
        <v>39</v>
      </c>
      <c r="K651" s="5">
        <f>272 / 86400</f>
        <v>3.1481481481481482E-3</v>
      </c>
      <c r="L651" s="5">
        <f>366 / 86400</f>
        <v>4.2361111111111115E-3</v>
      </c>
    </row>
    <row r="652" spans="1:12" x14ac:dyDescent="0.25">
      <c r="A652" s="3">
        <v>45690.550138888888</v>
      </c>
      <c r="B652" t="s">
        <v>89</v>
      </c>
      <c r="C652" s="3">
        <v>45690.62118055555</v>
      </c>
      <c r="D652" t="s">
        <v>44</v>
      </c>
      <c r="E652" s="4">
        <v>37.761000000000003</v>
      </c>
      <c r="F652" s="4">
        <v>573608.09</v>
      </c>
      <c r="G652" s="4">
        <v>573645.85100000002</v>
      </c>
      <c r="H652" s="5">
        <f>1660 / 86400</f>
        <v>1.9212962962962963E-2</v>
      </c>
      <c r="I652" t="s">
        <v>103</v>
      </c>
      <c r="J652" t="s">
        <v>84</v>
      </c>
      <c r="K652" s="5">
        <f>6138 / 86400</f>
        <v>7.104166666666667E-2</v>
      </c>
      <c r="L652" s="5">
        <f>2648 / 86400</f>
        <v>3.0648148148148147E-2</v>
      </c>
    </row>
    <row r="653" spans="1:12" x14ac:dyDescent="0.25">
      <c r="A653" s="3">
        <v>45690.651828703703</v>
      </c>
      <c r="B653" t="s">
        <v>44</v>
      </c>
      <c r="C653" s="3">
        <v>45690.656412037039</v>
      </c>
      <c r="D653" t="s">
        <v>128</v>
      </c>
      <c r="E653" s="4">
        <v>1.085</v>
      </c>
      <c r="F653" s="4">
        <v>573645.85100000002</v>
      </c>
      <c r="G653" s="4">
        <v>573646.93599999999</v>
      </c>
      <c r="H653" s="5">
        <f>99 / 86400</f>
        <v>1.1458333333333333E-3</v>
      </c>
      <c r="I653" t="s">
        <v>189</v>
      </c>
      <c r="J653" t="s">
        <v>24</v>
      </c>
      <c r="K653" s="5">
        <f>395 / 86400</f>
        <v>4.5717592592592589E-3</v>
      </c>
      <c r="L653" s="5">
        <f>4467 / 86400</f>
        <v>5.1701388888888887E-2</v>
      </c>
    </row>
    <row r="654" spans="1:12" x14ac:dyDescent="0.25">
      <c r="A654" s="3">
        <v>45690.708113425921</v>
      </c>
      <c r="B654" t="s">
        <v>128</v>
      </c>
      <c r="C654" s="3">
        <v>45690.742384259254</v>
      </c>
      <c r="D654" t="s">
        <v>253</v>
      </c>
      <c r="E654" s="4">
        <v>2.613</v>
      </c>
      <c r="F654" s="4">
        <v>573646.93599999999</v>
      </c>
      <c r="G654" s="4">
        <v>573649.549</v>
      </c>
      <c r="H654" s="5">
        <f>2519 / 86400</f>
        <v>2.9155092592592594E-2</v>
      </c>
      <c r="I654" t="s">
        <v>234</v>
      </c>
      <c r="J654" t="s">
        <v>75</v>
      </c>
      <c r="K654" s="5">
        <f>2960 / 86400</f>
        <v>3.425925925925926E-2</v>
      </c>
      <c r="L654" s="5">
        <f>108 / 86400</f>
        <v>1.25E-3</v>
      </c>
    </row>
    <row r="655" spans="1:12" x14ac:dyDescent="0.25">
      <c r="A655" s="3">
        <v>45690.743634259255</v>
      </c>
      <c r="B655" t="s">
        <v>253</v>
      </c>
      <c r="C655" s="3">
        <v>45690.940474537041</v>
      </c>
      <c r="D655" t="s">
        <v>25</v>
      </c>
      <c r="E655" s="4">
        <v>83.44</v>
      </c>
      <c r="F655" s="4">
        <v>573649.549</v>
      </c>
      <c r="G655" s="4">
        <v>573732.98899999994</v>
      </c>
      <c r="H655" s="5">
        <f>4843 / 86400</f>
        <v>5.6053240740740744E-2</v>
      </c>
      <c r="I655" t="s">
        <v>26</v>
      </c>
      <c r="J655" t="s">
        <v>33</v>
      </c>
      <c r="K655" s="5">
        <f>17007 / 86400</f>
        <v>0.19684027777777777</v>
      </c>
      <c r="L655" s="5">
        <f>5142 / 86400</f>
        <v>5.9513888888888887E-2</v>
      </c>
    </row>
    <row r="656" spans="1:1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</row>
    <row r="658" spans="1:12" s="10" customFormat="1" ht="20.100000000000001" customHeight="1" x14ac:dyDescent="0.35">
      <c r="A658" s="15" t="s">
        <v>345</v>
      </c>
      <c r="B658" s="15"/>
      <c r="C658" s="15"/>
      <c r="D658" s="15"/>
      <c r="E658" s="15"/>
      <c r="F658" s="15"/>
      <c r="G658" s="15"/>
      <c r="H658" s="15"/>
      <c r="I658" s="15"/>
      <c r="J658" s="15"/>
    </row>
    <row r="659" spans="1:12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</row>
    <row r="660" spans="1:12" ht="30" x14ac:dyDescent="0.25">
      <c r="A660" s="2" t="s">
        <v>6</v>
      </c>
      <c r="B660" s="2" t="s">
        <v>7</v>
      </c>
      <c r="C660" s="2" t="s">
        <v>8</v>
      </c>
      <c r="D660" s="2" t="s">
        <v>9</v>
      </c>
      <c r="E660" s="2" t="s">
        <v>10</v>
      </c>
      <c r="F660" s="2" t="s">
        <v>11</v>
      </c>
      <c r="G660" s="2" t="s">
        <v>12</v>
      </c>
      <c r="H660" s="2" t="s">
        <v>13</v>
      </c>
      <c r="I660" s="2" t="s">
        <v>14</v>
      </c>
      <c r="J660" s="2" t="s">
        <v>15</v>
      </c>
      <c r="K660" s="2" t="s">
        <v>16</v>
      </c>
      <c r="L660" s="2" t="s">
        <v>17</v>
      </c>
    </row>
    <row r="661" spans="1:12" x14ac:dyDescent="0.25">
      <c r="A661" s="3">
        <v>45690.316643518519</v>
      </c>
      <c r="B661" t="s">
        <v>95</v>
      </c>
      <c r="C661" s="3">
        <v>45690.316736111112</v>
      </c>
      <c r="D661" t="s">
        <v>95</v>
      </c>
      <c r="E661" s="4">
        <v>0</v>
      </c>
      <c r="F661" s="4">
        <v>399017.13900000002</v>
      </c>
      <c r="G661" s="4">
        <v>399017.13900000002</v>
      </c>
      <c r="H661" s="5">
        <f>0 / 86400</f>
        <v>0</v>
      </c>
      <c r="I661" t="s">
        <v>39</v>
      </c>
      <c r="J661" t="s">
        <v>39</v>
      </c>
      <c r="K661" s="5">
        <f>8 / 86400</f>
        <v>9.2592592592592588E-5</v>
      </c>
      <c r="L661" s="5">
        <f>27395 / 86400</f>
        <v>0.31707175925925923</v>
      </c>
    </row>
    <row r="662" spans="1:12" x14ac:dyDescent="0.25">
      <c r="A662" s="3">
        <v>45690.317164351851</v>
      </c>
      <c r="B662" t="s">
        <v>95</v>
      </c>
      <c r="C662" s="3">
        <v>45690.317199074074</v>
      </c>
      <c r="D662" t="s">
        <v>95</v>
      </c>
      <c r="E662" s="4">
        <v>0</v>
      </c>
      <c r="F662" s="4">
        <v>399017.13900000002</v>
      </c>
      <c r="G662" s="4">
        <v>399017.13900000002</v>
      </c>
      <c r="H662" s="5">
        <f>0 / 86400</f>
        <v>0</v>
      </c>
      <c r="I662" t="s">
        <v>39</v>
      </c>
      <c r="J662" t="s">
        <v>39</v>
      </c>
      <c r="K662" s="5">
        <f>3 / 86400</f>
        <v>3.4722222222222222E-5</v>
      </c>
      <c r="L662" s="5">
        <f>33 / 86400</f>
        <v>3.8194444444444446E-4</v>
      </c>
    </row>
    <row r="663" spans="1:12" x14ac:dyDescent="0.25">
      <c r="A663" s="3">
        <v>45690.31758101852</v>
      </c>
      <c r="B663" t="s">
        <v>95</v>
      </c>
      <c r="C663" s="3">
        <v>45690.333599537036</v>
      </c>
      <c r="D663" t="s">
        <v>281</v>
      </c>
      <c r="E663" s="4">
        <v>9.1679999999999993</v>
      </c>
      <c r="F663" s="4">
        <v>399017.13900000002</v>
      </c>
      <c r="G663" s="4">
        <v>399026.30699999997</v>
      </c>
      <c r="H663" s="5">
        <f>410 / 86400</f>
        <v>4.7453703703703703E-3</v>
      </c>
      <c r="I663" t="s">
        <v>183</v>
      </c>
      <c r="J663" t="s">
        <v>189</v>
      </c>
      <c r="K663" s="5">
        <f>1384 / 86400</f>
        <v>1.6018518518518519E-2</v>
      </c>
      <c r="L663" s="5">
        <f>1025 / 86400</f>
        <v>1.1863425925925927E-2</v>
      </c>
    </row>
    <row r="664" spans="1:12" x14ac:dyDescent="0.25">
      <c r="A664" s="3">
        <v>45690.345462962963</v>
      </c>
      <c r="B664" t="s">
        <v>281</v>
      </c>
      <c r="C664" s="3">
        <v>45690.345914351856</v>
      </c>
      <c r="D664" t="s">
        <v>281</v>
      </c>
      <c r="E664" s="4">
        <v>0</v>
      </c>
      <c r="F664" s="4">
        <v>399026.30699999997</v>
      </c>
      <c r="G664" s="4">
        <v>399026.30699999997</v>
      </c>
      <c r="H664" s="5">
        <f>19 / 86400</f>
        <v>2.199074074074074E-4</v>
      </c>
      <c r="I664" t="s">
        <v>39</v>
      </c>
      <c r="J664" t="s">
        <v>39</v>
      </c>
      <c r="K664" s="5">
        <f>39 / 86400</f>
        <v>4.5138888888888887E-4</v>
      </c>
      <c r="L664" s="5">
        <f>509 / 86400</f>
        <v>5.8912037037037041E-3</v>
      </c>
    </row>
    <row r="665" spans="1:12" x14ac:dyDescent="0.25">
      <c r="A665" s="3">
        <v>45690.351805555554</v>
      </c>
      <c r="B665" t="s">
        <v>281</v>
      </c>
      <c r="C665" s="3">
        <v>45690.353877314818</v>
      </c>
      <c r="D665" t="s">
        <v>281</v>
      </c>
      <c r="E665" s="4">
        <v>1.7999999999999999E-2</v>
      </c>
      <c r="F665" s="4">
        <v>399026.30699999997</v>
      </c>
      <c r="G665" s="4">
        <v>399026.32500000001</v>
      </c>
      <c r="H665" s="5">
        <f>119 / 86400</f>
        <v>1.3773148148148147E-3</v>
      </c>
      <c r="I665" t="s">
        <v>79</v>
      </c>
      <c r="J665" t="s">
        <v>39</v>
      </c>
      <c r="K665" s="5">
        <f>179 / 86400</f>
        <v>2.0717592592592593E-3</v>
      </c>
      <c r="L665" s="5">
        <f>195 / 86400</f>
        <v>2.2569444444444442E-3</v>
      </c>
    </row>
    <row r="666" spans="1:12" x14ac:dyDescent="0.25">
      <c r="A666" s="3">
        <v>45690.356134259258</v>
      </c>
      <c r="B666" t="s">
        <v>281</v>
      </c>
      <c r="C666" s="3">
        <v>45690.358113425929</v>
      </c>
      <c r="D666" t="s">
        <v>281</v>
      </c>
      <c r="E666" s="4">
        <v>0</v>
      </c>
      <c r="F666" s="4">
        <v>399026.32500000001</v>
      </c>
      <c r="G666" s="4">
        <v>399026.32500000001</v>
      </c>
      <c r="H666" s="5">
        <f>159 / 86400</f>
        <v>1.8402777777777777E-3</v>
      </c>
      <c r="I666" t="s">
        <v>39</v>
      </c>
      <c r="J666" t="s">
        <v>39</v>
      </c>
      <c r="K666" s="5">
        <f>170 / 86400</f>
        <v>1.9675925925925924E-3</v>
      </c>
      <c r="L666" s="5">
        <f>137 / 86400</f>
        <v>1.5856481481481481E-3</v>
      </c>
    </row>
    <row r="667" spans="1:12" x14ac:dyDescent="0.25">
      <c r="A667" s="3">
        <v>45690.359699074077</v>
      </c>
      <c r="B667" t="s">
        <v>281</v>
      </c>
      <c r="C667" s="3">
        <v>45690.364479166667</v>
      </c>
      <c r="D667" t="s">
        <v>48</v>
      </c>
      <c r="E667" s="4">
        <v>0.88100000000000001</v>
      </c>
      <c r="F667" s="4">
        <v>399026.32500000001</v>
      </c>
      <c r="G667" s="4">
        <v>399027.20600000001</v>
      </c>
      <c r="H667" s="5">
        <f>199 / 86400</f>
        <v>2.3032407407407407E-3</v>
      </c>
      <c r="I667" t="s">
        <v>156</v>
      </c>
      <c r="J667" t="s">
        <v>173</v>
      </c>
      <c r="K667" s="5">
        <f>413 / 86400</f>
        <v>4.7800925925925927E-3</v>
      </c>
      <c r="L667" s="5">
        <f>92 / 86400</f>
        <v>1.0648148148148149E-3</v>
      </c>
    </row>
    <row r="668" spans="1:12" x14ac:dyDescent="0.25">
      <c r="A668" s="3">
        <v>45690.365543981483</v>
      </c>
      <c r="B668" t="s">
        <v>48</v>
      </c>
      <c r="C668" s="3">
        <v>45690.366157407407</v>
      </c>
      <c r="D668" t="s">
        <v>48</v>
      </c>
      <c r="E668" s="4">
        <v>9.6000000000000002E-2</v>
      </c>
      <c r="F668" s="4">
        <v>399027.20600000001</v>
      </c>
      <c r="G668" s="4">
        <v>399027.30200000003</v>
      </c>
      <c r="H668" s="5">
        <f>0 / 86400</f>
        <v>0</v>
      </c>
      <c r="I668" t="s">
        <v>144</v>
      </c>
      <c r="J668" t="s">
        <v>91</v>
      </c>
      <c r="K668" s="5">
        <f>52 / 86400</f>
        <v>6.018518518518519E-4</v>
      </c>
      <c r="L668" s="5">
        <f>1896 / 86400</f>
        <v>2.1944444444444444E-2</v>
      </c>
    </row>
    <row r="669" spans="1:12" x14ac:dyDescent="0.25">
      <c r="A669" s="3">
        <v>45690.388101851851</v>
      </c>
      <c r="B669" t="s">
        <v>48</v>
      </c>
      <c r="C669" s="3">
        <v>45690.391435185185</v>
      </c>
      <c r="D669" t="s">
        <v>143</v>
      </c>
      <c r="E669" s="4">
        <v>0.68400000000000005</v>
      </c>
      <c r="F669" s="4">
        <v>399027.30200000003</v>
      </c>
      <c r="G669" s="4">
        <v>399027.98599999998</v>
      </c>
      <c r="H669" s="5">
        <f>60 / 86400</f>
        <v>6.9444444444444447E-4</v>
      </c>
      <c r="I669" t="s">
        <v>20</v>
      </c>
      <c r="J669" t="s">
        <v>88</v>
      </c>
      <c r="K669" s="5">
        <f>287 / 86400</f>
        <v>3.3217592592592591E-3</v>
      </c>
      <c r="L669" s="5">
        <f>7881 / 86400</f>
        <v>9.1215277777777784E-2</v>
      </c>
    </row>
    <row r="670" spans="1:12" x14ac:dyDescent="0.25">
      <c r="A670" s="3">
        <v>45690.48265046296</v>
      </c>
      <c r="B670" t="s">
        <v>143</v>
      </c>
      <c r="C670" s="3">
        <v>45690.484317129631</v>
      </c>
      <c r="D670" t="s">
        <v>174</v>
      </c>
      <c r="E670" s="4">
        <v>0.10299999999999999</v>
      </c>
      <c r="F670" s="4">
        <v>399027.98599999998</v>
      </c>
      <c r="G670" s="4">
        <v>399028.08899999998</v>
      </c>
      <c r="H670" s="5">
        <f>79 / 86400</f>
        <v>9.1435185185185185E-4</v>
      </c>
      <c r="I670" t="s">
        <v>91</v>
      </c>
      <c r="J670" t="s">
        <v>75</v>
      </c>
      <c r="K670" s="5">
        <f>144 / 86400</f>
        <v>1.6666666666666668E-3</v>
      </c>
      <c r="L670" s="5">
        <f>207 / 86400</f>
        <v>2.3958333333333331E-3</v>
      </c>
    </row>
    <row r="671" spans="1:12" x14ac:dyDescent="0.25">
      <c r="A671" s="3">
        <v>45690.486712962964</v>
      </c>
      <c r="B671" t="s">
        <v>174</v>
      </c>
      <c r="C671" s="3">
        <v>45690.618969907402</v>
      </c>
      <c r="D671" t="s">
        <v>217</v>
      </c>
      <c r="E671" s="4">
        <v>50.101999999999997</v>
      </c>
      <c r="F671" s="4">
        <v>399028.08899999998</v>
      </c>
      <c r="G671" s="4">
        <v>399078.19099999999</v>
      </c>
      <c r="H671" s="5">
        <f>4310 / 86400</f>
        <v>4.988425925925926E-2</v>
      </c>
      <c r="I671" t="s">
        <v>96</v>
      </c>
      <c r="J671" t="s">
        <v>97</v>
      </c>
      <c r="K671" s="5">
        <f>11427 / 86400</f>
        <v>0.13225694444444444</v>
      </c>
      <c r="L671" s="5">
        <f>5356 / 86400</f>
        <v>6.1990740740740742E-2</v>
      </c>
    </row>
    <row r="672" spans="1:12" x14ac:dyDescent="0.25">
      <c r="A672" s="3">
        <v>45690.680960648147</v>
      </c>
      <c r="B672" t="s">
        <v>217</v>
      </c>
      <c r="C672" s="3">
        <v>45690.811990740738</v>
      </c>
      <c r="D672" t="s">
        <v>247</v>
      </c>
      <c r="E672" s="4">
        <v>46.741</v>
      </c>
      <c r="F672" s="4">
        <v>399078.19099999999</v>
      </c>
      <c r="G672" s="4">
        <v>399124.93199999997</v>
      </c>
      <c r="H672" s="5">
        <f>3781 / 86400</f>
        <v>4.3761574074074071E-2</v>
      </c>
      <c r="I672" t="s">
        <v>141</v>
      </c>
      <c r="J672" t="s">
        <v>139</v>
      </c>
      <c r="K672" s="5">
        <f>11320 / 86400</f>
        <v>0.13101851851851851</v>
      </c>
      <c r="L672" s="5">
        <f>787 / 86400</f>
        <v>9.1087962962962971E-3</v>
      </c>
    </row>
    <row r="673" spans="1:12" x14ac:dyDescent="0.25">
      <c r="A673" s="3">
        <v>45690.821099537032</v>
      </c>
      <c r="B673" t="s">
        <v>247</v>
      </c>
      <c r="C673" s="3">
        <v>45690.825428240743</v>
      </c>
      <c r="D673" t="s">
        <v>282</v>
      </c>
      <c r="E673" s="4">
        <v>0.70899999999999996</v>
      </c>
      <c r="F673" s="4">
        <v>399124.93199999997</v>
      </c>
      <c r="G673" s="4">
        <v>399125.641</v>
      </c>
      <c r="H673" s="5">
        <f>100 / 86400</f>
        <v>1.1574074074074073E-3</v>
      </c>
      <c r="I673" t="s">
        <v>139</v>
      </c>
      <c r="J673" t="s">
        <v>91</v>
      </c>
      <c r="K673" s="5">
        <f>373 / 86400</f>
        <v>4.31712962962963E-3</v>
      </c>
      <c r="L673" s="5">
        <f>5289 / 86400</f>
        <v>6.1215277777777778E-2</v>
      </c>
    </row>
    <row r="674" spans="1:12" x14ac:dyDescent="0.25">
      <c r="A674" s="3">
        <v>45690.886643518519</v>
      </c>
      <c r="B674" t="s">
        <v>282</v>
      </c>
      <c r="C674" s="3">
        <v>45690.886793981481</v>
      </c>
      <c r="D674" t="s">
        <v>282</v>
      </c>
      <c r="E674" s="4">
        <v>5.0000000000000001E-3</v>
      </c>
      <c r="F674" s="4">
        <v>399125.641</v>
      </c>
      <c r="G674" s="4">
        <v>399125.64600000001</v>
      </c>
      <c r="H674" s="5">
        <f>0 / 86400</f>
        <v>0</v>
      </c>
      <c r="I674" t="s">
        <v>39</v>
      </c>
      <c r="J674" t="s">
        <v>79</v>
      </c>
      <c r="K674" s="5">
        <f>12 / 86400</f>
        <v>1.3888888888888889E-4</v>
      </c>
      <c r="L674" s="5">
        <f>409 / 86400</f>
        <v>4.7337962962962967E-3</v>
      </c>
    </row>
    <row r="675" spans="1:12" x14ac:dyDescent="0.25">
      <c r="A675" s="3">
        <v>45690.891527777778</v>
      </c>
      <c r="B675" t="s">
        <v>282</v>
      </c>
      <c r="C675" s="3">
        <v>45690.89534722222</v>
      </c>
      <c r="D675" t="s">
        <v>131</v>
      </c>
      <c r="E675" s="4">
        <v>0.48699999999999999</v>
      </c>
      <c r="F675" s="4">
        <v>399125.64600000001</v>
      </c>
      <c r="G675" s="4">
        <v>399126.13299999997</v>
      </c>
      <c r="H675" s="5">
        <f>119 / 86400</f>
        <v>1.3773148148148147E-3</v>
      </c>
      <c r="I675" t="s">
        <v>33</v>
      </c>
      <c r="J675" t="s">
        <v>60</v>
      </c>
      <c r="K675" s="5">
        <f>330 / 86400</f>
        <v>3.8194444444444443E-3</v>
      </c>
      <c r="L675" s="5">
        <f>3968 / 86400</f>
        <v>4.5925925925925926E-2</v>
      </c>
    </row>
    <row r="676" spans="1:12" x14ac:dyDescent="0.25">
      <c r="A676" s="3">
        <v>45690.94127314815</v>
      </c>
      <c r="B676" t="s">
        <v>131</v>
      </c>
      <c r="C676" s="3">
        <v>45690.949502314819</v>
      </c>
      <c r="D676" t="s">
        <v>140</v>
      </c>
      <c r="E676" s="4">
        <v>3.7549999999999999</v>
      </c>
      <c r="F676" s="4">
        <v>399126.13299999997</v>
      </c>
      <c r="G676" s="4">
        <v>399129.88799999998</v>
      </c>
      <c r="H676" s="5">
        <f>179 / 86400</f>
        <v>2.0717592592592593E-3</v>
      </c>
      <c r="I676" t="s">
        <v>229</v>
      </c>
      <c r="J676" t="s">
        <v>20</v>
      </c>
      <c r="K676" s="5">
        <f>711 / 86400</f>
        <v>8.2291666666666659E-3</v>
      </c>
      <c r="L676" s="5">
        <f>325 / 86400</f>
        <v>3.7615740740740739E-3</v>
      </c>
    </row>
    <row r="677" spans="1:12" x14ac:dyDescent="0.25">
      <c r="A677" s="3">
        <v>45690.953263888892</v>
      </c>
      <c r="B677" t="s">
        <v>140</v>
      </c>
      <c r="C677" s="3">
        <v>45690.965648148151</v>
      </c>
      <c r="D677" t="s">
        <v>95</v>
      </c>
      <c r="E677" s="4">
        <v>9.0630000000000006</v>
      </c>
      <c r="F677" s="4">
        <v>399129.88799999998</v>
      </c>
      <c r="G677" s="4">
        <v>399138.951</v>
      </c>
      <c r="H677" s="5">
        <f>0 / 86400</f>
        <v>0</v>
      </c>
      <c r="I677" t="s">
        <v>227</v>
      </c>
      <c r="J677" t="s">
        <v>126</v>
      </c>
      <c r="K677" s="5">
        <f>1070 / 86400</f>
        <v>1.238425925925926E-2</v>
      </c>
      <c r="L677" s="5">
        <f>2967 / 86400</f>
        <v>3.4340277777777775E-2</v>
      </c>
    </row>
    <row r="678" spans="1:1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 spans="1:12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</row>
    <row r="680" spans="1:12" s="10" customFormat="1" ht="20.100000000000001" customHeight="1" x14ac:dyDescent="0.35">
      <c r="A680" s="15" t="s">
        <v>346</v>
      </c>
      <c r="B680" s="15"/>
      <c r="C680" s="15"/>
      <c r="D680" s="15"/>
      <c r="E680" s="15"/>
      <c r="F680" s="15"/>
      <c r="G680" s="15"/>
      <c r="H680" s="15"/>
      <c r="I680" s="15"/>
      <c r="J680" s="15"/>
    </row>
    <row r="681" spans="1:1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</row>
    <row r="682" spans="1:12" ht="30" x14ac:dyDescent="0.25">
      <c r="A682" s="2" t="s">
        <v>6</v>
      </c>
      <c r="B682" s="2" t="s">
        <v>7</v>
      </c>
      <c r="C682" s="2" t="s">
        <v>8</v>
      </c>
      <c r="D682" s="2" t="s">
        <v>9</v>
      </c>
      <c r="E682" s="2" t="s">
        <v>10</v>
      </c>
      <c r="F682" s="2" t="s">
        <v>11</v>
      </c>
      <c r="G682" s="2" t="s">
        <v>12</v>
      </c>
      <c r="H682" s="2" t="s">
        <v>13</v>
      </c>
      <c r="I682" s="2" t="s">
        <v>14</v>
      </c>
      <c r="J682" s="2" t="s">
        <v>15</v>
      </c>
      <c r="K682" s="2" t="s">
        <v>16</v>
      </c>
      <c r="L682" s="2" t="s">
        <v>17</v>
      </c>
    </row>
    <row r="683" spans="1:12" x14ac:dyDescent="0.25">
      <c r="A683" s="3">
        <v>45690.285543981481</v>
      </c>
      <c r="B683" t="s">
        <v>98</v>
      </c>
      <c r="C683" s="3">
        <v>45690.292025462964</v>
      </c>
      <c r="D683" t="s">
        <v>128</v>
      </c>
      <c r="E683" s="4">
        <v>1.87</v>
      </c>
      <c r="F683" s="4">
        <v>544042.48300000001</v>
      </c>
      <c r="G683" s="4">
        <v>544044.353</v>
      </c>
      <c r="H683" s="5">
        <f>159 / 86400</f>
        <v>1.8402777777777777E-3</v>
      </c>
      <c r="I683" t="s">
        <v>134</v>
      </c>
      <c r="J683" t="s">
        <v>125</v>
      </c>
      <c r="K683" s="5">
        <f>560 / 86400</f>
        <v>6.4814814814814813E-3</v>
      </c>
      <c r="L683" s="5">
        <f>25068 / 86400</f>
        <v>0.29013888888888889</v>
      </c>
    </row>
    <row r="684" spans="1:12" x14ac:dyDescent="0.25">
      <c r="A684" s="3">
        <v>45690.296620370369</v>
      </c>
      <c r="B684" t="s">
        <v>128</v>
      </c>
      <c r="C684" s="3">
        <v>45690.296898148154</v>
      </c>
      <c r="D684" t="s">
        <v>128</v>
      </c>
      <c r="E684" s="4">
        <v>0</v>
      </c>
      <c r="F684" s="4">
        <v>544044.353</v>
      </c>
      <c r="G684" s="4">
        <v>544044.353</v>
      </c>
      <c r="H684" s="5">
        <f>19 / 86400</f>
        <v>2.199074074074074E-4</v>
      </c>
      <c r="I684" t="s">
        <v>39</v>
      </c>
      <c r="J684" t="s">
        <v>39</v>
      </c>
      <c r="K684" s="5">
        <f>24 / 86400</f>
        <v>2.7777777777777778E-4</v>
      </c>
      <c r="L684" s="5">
        <f>153 / 86400</f>
        <v>1.7708333333333332E-3</v>
      </c>
    </row>
    <row r="685" spans="1:12" x14ac:dyDescent="0.25">
      <c r="A685" s="3">
        <v>45690.298668981486</v>
      </c>
      <c r="B685" t="s">
        <v>128</v>
      </c>
      <c r="C685" s="3">
        <v>45690.300717592589</v>
      </c>
      <c r="D685" t="s">
        <v>174</v>
      </c>
      <c r="E685" s="4">
        <v>0.74299999999999999</v>
      </c>
      <c r="F685" s="4">
        <v>544044.353</v>
      </c>
      <c r="G685" s="4">
        <v>544045.09600000002</v>
      </c>
      <c r="H685" s="5">
        <f>20 / 86400</f>
        <v>2.3148148148148149E-4</v>
      </c>
      <c r="I685" t="s">
        <v>156</v>
      </c>
      <c r="J685" t="s">
        <v>139</v>
      </c>
      <c r="K685" s="5">
        <f>177 / 86400</f>
        <v>2.0486111111111113E-3</v>
      </c>
      <c r="L685" s="5">
        <f>94 / 86400</f>
        <v>1.0879629629629629E-3</v>
      </c>
    </row>
    <row r="686" spans="1:12" x14ac:dyDescent="0.25">
      <c r="A686" s="3">
        <v>45690.301805555559</v>
      </c>
      <c r="B686" t="s">
        <v>174</v>
      </c>
      <c r="C686" s="3">
        <v>45690.301990740743</v>
      </c>
      <c r="D686" t="s">
        <v>145</v>
      </c>
      <c r="E686" s="4">
        <v>8.9999999999999993E-3</v>
      </c>
      <c r="F686" s="4">
        <v>544045.09600000002</v>
      </c>
      <c r="G686" s="4">
        <v>544045.10499999998</v>
      </c>
      <c r="H686" s="5">
        <f>0 / 86400</f>
        <v>0</v>
      </c>
      <c r="I686" t="s">
        <v>39</v>
      </c>
      <c r="J686" t="s">
        <v>79</v>
      </c>
      <c r="K686" s="5">
        <f>16 / 86400</f>
        <v>1.8518518518518518E-4</v>
      </c>
      <c r="L686" s="5">
        <f>219 / 86400</f>
        <v>2.5347222222222221E-3</v>
      </c>
    </row>
    <row r="687" spans="1:12" x14ac:dyDescent="0.25">
      <c r="A687" s="3">
        <v>45690.304525462961</v>
      </c>
      <c r="B687" t="s">
        <v>145</v>
      </c>
      <c r="C687" s="3">
        <v>45690.30469907407</v>
      </c>
      <c r="D687" t="s">
        <v>145</v>
      </c>
      <c r="E687" s="4">
        <v>8.9999999999999993E-3</v>
      </c>
      <c r="F687" s="4">
        <v>544045.10499999998</v>
      </c>
      <c r="G687" s="4">
        <v>544045.11399999994</v>
      </c>
      <c r="H687" s="5">
        <f>0 / 86400</f>
        <v>0</v>
      </c>
      <c r="I687" t="s">
        <v>39</v>
      </c>
      <c r="J687" t="s">
        <v>79</v>
      </c>
      <c r="K687" s="5">
        <f>14 / 86400</f>
        <v>1.6203703703703703E-4</v>
      </c>
      <c r="L687" s="5">
        <f>220 / 86400</f>
        <v>2.5462962962962965E-3</v>
      </c>
    </row>
    <row r="688" spans="1:12" x14ac:dyDescent="0.25">
      <c r="A688" s="3">
        <v>45690.307245370372</v>
      </c>
      <c r="B688" t="s">
        <v>145</v>
      </c>
      <c r="C688" s="3">
        <v>45690.410057870366</v>
      </c>
      <c r="D688" t="s">
        <v>283</v>
      </c>
      <c r="E688" s="4">
        <v>50.115000000000002</v>
      </c>
      <c r="F688" s="4">
        <v>544045.11399999994</v>
      </c>
      <c r="G688" s="4">
        <v>544095.22900000005</v>
      </c>
      <c r="H688" s="5">
        <f>2559 / 86400</f>
        <v>2.9618055555555557E-2</v>
      </c>
      <c r="I688" t="s">
        <v>57</v>
      </c>
      <c r="J688" t="s">
        <v>58</v>
      </c>
      <c r="K688" s="5">
        <f>8882 / 86400</f>
        <v>0.10280092592592592</v>
      </c>
      <c r="L688" s="5">
        <f>1394 / 86400</f>
        <v>1.6134259259259258E-2</v>
      </c>
    </row>
    <row r="689" spans="1:12" x14ac:dyDescent="0.25">
      <c r="A689" s="3">
        <v>45690.426192129627</v>
      </c>
      <c r="B689" t="s">
        <v>283</v>
      </c>
      <c r="C689" s="3">
        <v>45690.540381944447</v>
      </c>
      <c r="D689" t="s">
        <v>143</v>
      </c>
      <c r="E689" s="4">
        <v>51.588000000000001</v>
      </c>
      <c r="F689" s="4">
        <v>544095.22900000005</v>
      </c>
      <c r="G689" s="4">
        <v>544146.81700000004</v>
      </c>
      <c r="H689" s="5">
        <f>2603 / 86400</f>
        <v>3.0127314814814815E-2</v>
      </c>
      <c r="I689" t="s">
        <v>214</v>
      </c>
      <c r="J689" t="s">
        <v>20</v>
      </c>
      <c r="K689" s="5">
        <f>9865 / 86400</f>
        <v>0.11417824074074075</v>
      </c>
      <c r="L689" s="5">
        <f>2627 / 86400</f>
        <v>3.0405092592592591E-2</v>
      </c>
    </row>
    <row r="690" spans="1:12" x14ac:dyDescent="0.25">
      <c r="A690" s="3">
        <v>45690.570787037039</v>
      </c>
      <c r="B690" t="s">
        <v>155</v>
      </c>
      <c r="C690" s="3">
        <v>45690.571354166663</v>
      </c>
      <c r="D690" t="s">
        <v>174</v>
      </c>
      <c r="E690" s="4">
        <v>0.158</v>
      </c>
      <c r="F690" s="4">
        <v>544146.81700000004</v>
      </c>
      <c r="G690" s="4">
        <v>544146.97499999998</v>
      </c>
      <c r="H690" s="5">
        <f>0 / 86400</f>
        <v>0</v>
      </c>
      <c r="I690" t="s">
        <v>20</v>
      </c>
      <c r="J690" t="s">
        <v>125</v>
      </c>
      <c r="K690" s="5">
        <f>48 / 86400</f>
        <v>5.5555555555555556E-4</v>
      </c>
      <c r="L690" s="5">
        <f>262 / 86400</f>
        <v>3.0324074074074073E-3</v>
      </c>
    </row>
    <row r="691" spans="1:12" x14ac:dyDescent="0.25">
      <c r="A691" s="3">
        <v>45690.574386574073</v>
      </c>
      <c r="B691" t="s">
        <v>145</v>
      </c>
      <c r="C691" s="3">
        <v>45690.574861111112</v>
      </c>
      <c r="D691" t="s">
        <v>145</v>
      </c>
      <c r="E691" s="4">
        <v>4.0000000000000001E-3</v>
      </c>
      <c r="F691" s="4">
        <v>544146.97499999998</v>
      </c>
      <c r="G691" s="4">
        <v>544146.97900000005</v>
      </c>
      <c r="H691" s="5">
        <f>39 / 86400</f>
        <v>4.5138888888888887E-4</v>
      </c>
      <c r="I691" t="s">
        <v>39</v>
      </c>
      <c r="J691" t="s">
        <v>39</v>
      </c>
      <c r="K691" s="5">
        <f>41 / 86400</f>
        <v>4.7453703703703704E-4</v>
      </c>
      <c r="L691" s="5">
        <f>154 / 86400</f>
        <v>1.7824074074074075E-3</v>
      </c>
    </row>
    <row r="692" spans="1:12" x14ac:dyDescent="0.25">
      <c r="A692" s="3">
        <v>45690.576643518521</v>
      </c>
      <c r="B692" t="s">
        <v>145</v>
      </c>
      <c r="C692" s="3">
        <v>45690.576782407406</v>
      </c>
      <c r="D692" t="s">
        <v>145</v>
      </c>
      <c r="E692" s="4">
        <v>1E-3</v>
      </c>
      <c r="F692" s="4">
        <v>544146.97900000005</v>
      </c>
      <c r="G692" s="4">
        <v>544146.98</v>
      </c>
      <c r="H692" s="5">
        <f>0 / 86400</f>
        <v>0</v>
      </c>
      <c r="I692" t="s">
        <v>39</v>
      </c>
      <c r="J692" t="s">
        <v>39</v>
      </c>
      <c r="K692" s="5">
        <f>11 / 86400</f>
        <v>1.273148148148148E-4</v>
      </c>
      <c r="L692" s="5">
        <f>95 / 86400</f>
        <v>1.0995370370370371E-3</v>
      </c>
    </row>
    <row r="693" spans="1:12" x14ac:dyDescent="0.25">
      <c r="A693" s="3">
        <v>45690.577881944446</v>
      </c>
      <c r="B693" t="s">
        <v>145</v>
      </c>
      <c r="C693" s="3">
        <v>45690.577997685185</v>
      </c>
      <c r="D693" t="s">
        <v>145</v>
      </c>
      <c r="E693" s="4">
        <v>4.0000000000000001E-3</v>
      </c>
      <c r="F693" s="4">
        <v>544146.98</v>
      </c>
      <c r="G693" s="4">
        <v>544146.98400000005</v>
      </c>
      <c r="H693" s="5">
        <f>0 / 86400</f>
        <v>0</v>
      </c>
      <c r="I693" t="s">
        <v>39</v>
      </c>
      <c r="J693" t="s">
        <v>79</v>
      </c>
      <c r="K693" s="5">
        <f>9 / 86400</f>
        <v>1.0416666666666667E-4</v>
      </c>
      <c r="L693" s="5">
        <f>250 / 86400</f>
        <v>2.8935185185185184E-3</v>
      </c>
    </row>
    <row r="694" spans="1:12" x14ac:dyDescent="0.25">
      <c r="A694" s="3">
        <v>45690.580891203703</v>
      </c>
      <c r="B694" t="s">
        <v>145</v>
      </c>
      <c r="C694" s="3">
        <v>45690.686655092592</v>
      </c>
      <c r="D694" t="s">
        <v>284</v>
      </c>
      <c r="E694" s="4">
        <v>50.259</v>
      </c>
      <c r="F694" s="4">
        <v>544146.98400000005</v>
      </c>
      <c r="G694" s="4">
        <v>544197.24300000002</v>
      </c>
      <c r="H694" s="5">
        <f>2660 / 86400</f>
        <v>3.0787037037037036E-2</v>
      </c>
      <c r="I694" t="s">
        <v>116</v>
      </c>
      <c r="J694" t="s">
        <v>58</v>
      </c>
      <c r="K694" s="5">
        <f>9137 / 86400</f>
        <v>0.10575231481481481</v>
      </c>
      <c r="L694" s="5">
        <f>801 / 86400</f>
        <v>9.2708333333333341E-3</v>
      </c>
    </row>
    <row r="695" spans="1:12" x14ac:dyDescent="0.25">
      <c r="A695" s="3">
        <v>45690.695925925931</v>
      </c>
      <c r="B695" t="s">
        <v>285</v>
      </c>
      <c r="C695" s="3">
        <v>45690.809212962966</v>
      </c>
      <c r="D695" t="s">
        <v>140</v>
      </c>
      <c r="E695" s="4">
        <v>50.296999999999997</v>
      </c>
      <c r="F695" s="4">
        <v>544197.24300000002</v>
      </c>
      <c r="G695" s="4">
        <v>544247.54</v>
      </c>
      <c r="H695" s="5">
        <f>2899 / 86400</f>
        <v>3.3553240740740738E-2</v>
      </c>
      <c r="I695" t="s">
        <v>161</v>
      </c>
      <c r="J695" t="s">
        <v>33</v>
      </c>
      <c r="K695" s="5">
        <f>9788 / 86400</f>
        <v>0.11328703703703703</v>
      </c>
      <c r="L695" s="5">
        <f>644 / 86400</f>
        <v>7.4537037037037037E-3</v>
      </c>
    </row>
    <row r="696" spans="1:12" x14ac:dyDescent="0.25">
      <c r="A696" s="3">
        <v>45690.816666666666</v>
      </c>
      <c r="B696" t="s">
        <v>140</v>
      </c>
      <c r="C696" s="3">
        <v>45690.820034722223</v>
      </c>
      <c r="D696" t="s">
        <v>98</v>
      </c>
      <c r="E696" s="4">
        <v>0.58599999999999997</v>
      </c>
      <c r="F696" s="4">
        <v>544247.54</v>
      </c>
      <c r="G696" s="4">
        <v>544248.12600000005</v>
      </c>
      <c r="H696" s="5">
        <f>140 / 86400</f>
        <v>1.6203703703703703E-3</v>
      </c>
      <c r="I696" t="s">
        <v>51</v>
      </c>
      <c r="J696" t="s">
        <v>91</v>
      </c>
      <c r="K696" s="5">
        <f>291 / 86400</f>
        <v>3.3680555555555556E-3</v>
      </c>
      <c r="L696" s="5">
        <f>15548 / 86400</f>
        <v>0.1799537037037037</v>
      </c>
    </row>
    <row r="697" spans="1:1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</row>
    <row r="699" spans="1:12" s="10" customFormat="1" ht="20.100000000000001" customHeight="1" x14ac:dyDescent="0.35">
      <c r="A699" s="15" t="s">
        <v>347</v>
      </c>
      <c r="B699" s="15"/>
      <c r="C699" s="15"/>
      <c r="D699" s="15"/>
      <c r="E699" s="15"/>
      <c r="F699" s="15"/>
      <c r="G699" s="15"/>
      <c r="H699" s="15"/>
      <c r="I699" s="15"/>
      <c r="J699" s="15"/>
    </row>
    <row r="700" spans="1:1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</row>
    <row r="701" spans="1:12" ht="30" x14ac:dyDescent="0.25">
      <c r="A701" s="2" t="s">
        <v>6</v>
      </c>
      <c r="B701" s="2" t="s">
        <v>7</v>
      </c>
      <c r="C701" s="2" t="s">
        <v>8</v>
      </c>
      <c r="D701" s="2" t="s">
        <v>9</v>
      </c>
      <c r="E701" s="2" t="s">
        <v>10</v>
      </c>
      <c r="F701" s="2" t="s">
        <v>11</v>
      </c>
      <c r="G701" s="2" t="s">
        <v>12</v>
      </c>
      <c r="H701" s="2" t="s">
        <v>13</v>
      </c>
      <c r="I701" s="2" t="s">
        <v>14</v>
      </c>
      <c r="J701" s="2" t="s">
        <v>15</v>
      </c>
      <c r="K701" s="2" t="s">
        <v>16</v>
      </c>
      <c r="L701" s="2" t="s">
        <v>17</v>
      </c>
    </row>
    <row r="702" spans="1:12" x14ac:dyDescent="0.25">
      <c r="A702" s="3">
        <v>45690</v>
      </c>
      <c r="B702" t="s">
        <v>99</v>
      </c>
      <c r="C702" s="3">
        <v>45690.002893518518</v>
      </c>
      <c r="D702" t="s">
        <v>286</v>
      </c>
      <c r="E702" s="4">
        <v>2.302</v>
      </c>
      <c r="F702" s="4">
        <v>100870.815</v>
      </c>
      <c r="G702" s="4">
        <v>100873.117</v>
      </c>
      <c r="H702" s="5">
        <f>20 / 86400</f>
        <v>2.3148148148148149E-4</v>
      </c>
      <c r="I702" t="s">
        <v>161</v>
      </c>
      <c r="J702" t="s">
        <v>149</v>
      </c>
      <c r="K702" s="5">
        <f>250 / 86400</f>
        <v>2.8935185185185184E-3</v>
      </c>
      <c r="L702" s="5">
        <f>227 / 86400</f>
        <v>2.627314814814815E-3</v>
      </c>
    </row>
    <row r="703" spans="1:12" x14ac:dyDescent="0.25">
      <c r="A703" s="3">
        <v>45690.005520833336</v>
      </c>
      <c r="B703" t="s">
        <v>286</v>
      </c>
      <c r="C703" s="3">
        <v>45690.009837962964</v>
      </c>
      <c r="D703" t="s">
        <v>287</v>
      </c>
      <c r="E703" s="4">
        <v>1.306</v>
      </c>
      <c r="F703" s="4">
        <v>100873.117</v>
      </c>
      <c r="G703" s="4">
        <v>100874.423</v>
      </c>
      <c r="H703" s="5">
        <f>137 / 86400</f>
        <v>1.5856481481481481E-3</v>
      </c>
      <c r="I703" t="s">
        <v>229</v>
      </c>
      <c r="J703" t="s">
        <v>151</v>
      </c>
      <c r="K703" s="5">
        <f>373 / 86400</f>
        <v>4.31712962962963E-3</v>
      </c>
      <c r="L703" s="5">
        <f>2738 / 86400</f>
        <v>3.1689814814814816E-2</v>
      </c>
    </row>
    <row r="704" spans="1:12" x14ac:dyDescent="0.25">
      <c r="A704" s="3">
        <v>45690.041527777779</v>
      </c>
      <c r="B704" t="s">
        <v>287</v>
      </c>
      <c r="C704" s="3">
        <v>45690.131226851852</v>
      </c>
      <c r="D704" t="s">
        <v>94</v>
      </c>
      <c r="E704" s="4">
        <v>50.12</v>
      </c>
      <c r="F704" s="4">
        <v>100874.423</v>
      </c>
      <c r="G704" s="4">
        <v>100924.54300000001</v>
      </c>
      <c r="H704" s="5">
        <f>1918 / 86400</f>
        <v>2.2199074074074072E-2</v>
      </c>
      <c r="I704" t="s">
        <v>67</v>
      </c>
      <c r="J704" t="s">
        <v>86</v>
      </c>
      <c r="K704" s="5">
        <f>7750 / 86400</f>
        <v>8.969907407407407E-2</v>
      </c>
      <c r="L704" s="5">
        <f>809 / 86400</f>
        <v>9.3634259259259261E-3</v>
      </c>
    </row>
    <row r="705" spans="1:12" x14ac:dyDescent="0.25">
      <c r="A705" s="3">
        <v>45690.140590277777</v>
      </c>
      <c r="B705" t="s">
        <v>94</v>
      </c>
      <c r="C705" s="3">
        <v>45690.141435185185</v>
      </c>
      <c r="D705" t="s">
        <v>94</v>
      </c>
      <c r="E705" s="4">
        <v>7.1999999999999995E-2</v>
      </c>
      <c r="F705" s="4">
        <v>100924.54300000001</v>
      </c>
      <c r="G705" s="4">
        <v>100924.61500000001</v>
      </c>
      <c r="H705" s="5">
        <f>40 / 86400</f>
        <v>4.6296296296296298E-4</v>
      </c>
      <c r="I705" t="s">
        <v>125</v>
      </c>
      <c r="J705" t="s">
        <v>163</v>
      </c>
      <c r="K705" s="5">
        <f>73 / 86400</f>
        <v>8.4490740740740739E-4</v>
      </c>
      <c r="L705" s="5">
        <f>4919 / 86400</f>
        <v>5.693287037037037E-2</v>
      </c>
    </row>
    <row r="706" spans="1:12" x14ac:dyDescent="0.25">
      <c r="A706" s="3">
        <v>45690.198368055557</v>
      </c>
      <c r="B706" t="s">
        <v>94</v>
      </c>
      <c r="C706" s="3">
        <v>45690.198969907404</v>
      </c>
      <c r="D706" t="s">
        <v>94</v>
      </c>
      <c r="E706" s="4">
        <v>0</v>
      </c>
      <c r="F706" s="4">
        <v>100924.61500000001</v>
      </c>
      <c r="G706" s="4">
        <v>100924.61500000001</v>
      </c>
      <c r="H706" s="5">
        <f>37 / 86400</f>
        <v>4.2824074074074075E-4</v>
      </c>
      <c r="I706" t="s">
        <v>39</v>
      </c>
      <c r="J706" t="s">
        <v>39</v>
      </c>
      <c r="K706" s="5">
        <f>52 / 86400</f>
        <v>6.018518518518519E-4</v>
      </c>
      <c r="L706" s="5">
        <f>6185 / 86400</f>
        <v>7.1585648148148148E-2</v>
      </c>
    </row>
    <row r="707" spans="1:12" x14ac:dyDescent="0.25">
      <c r="A707" s="3">
        <v>45690.270555555559</v>
      </c>
      <c r="B707" t="s">
        <v>94</v>
      </c>
      <c r="C707" s="3">
        <v>45690.271585648152</v>
      </c>
      <c r="D707" t="s">
        <v>94</v>
      </c>
      <c r="E707" s="4">
        <v>3.7999999999999999E-2</v>
      </c>
      <c r="F707" s="4">
        <v>100924.61500000001</v>
      </c>
      <c r="G707" s="4">
        <v>100924.65300000001</v>
      </c>
      <c r="H707" s="5">
        <f>37 / 86400</f>
        <v>4.2824074074074075E-4</v>
      </c>
      <c r="I707" t="s">
        <v>38</v>
      </c>
      <c r="J707" t="s">
        <v>79</v>
      </c>
      <c r="K707" s="5">
        <f>89 / 86400</f>
        <v>1.0300925925925926E-3</v>
      </c>
      <c r="L707" s="5">
        <f>11820 / 86400</f>
        <v>0.13680555555555557</v>
      </c>
    </row>
    <row r="708" spans="1:12" x14ac:dyDescent="0.25">
      <c r="A708" s="3">
        <v>45690.408391203702</v>
      </c>
      <c r="B708" t="s">
        <v>94</v>
      </c>
      <c r="C708" s="3">
        <v>45690.413668981477</v>
      </c>
      <c r="D708" t="s">
        <v>48</v>
      </c>
      <c r="E708" s="4">
        <v>1.8959999999999999</v>
      </c>
      <c r="F708" s="4">
        <v>100924.65300000001</v>
      </c>
      <c r="G708" s="4">
        <v>100926.549</v>
      </c>
      <c r="H708" s="5">
        <f>98 / 86400</f>
        <v>1.1342592592592593E-3</v>
      </c>
      <c r="I708" t="s">
        <v>87</v>
      </c>
      <c r="J708" t="s">
        <v>139</v>
      </c>
      <c r="K708" s="5">
        <f>456 / 86400</f>
        <v>5.2777777777777779E-3</v>
      </c>
      <c r="L708" s="5">
        <f>3179 / 86400</f>
        <v>3.6793981481481483E-2</v>
      </c>
    </row>
    <row r="709" spans="1:12" x14ac:dyDescent="0.25">
      <c r="A709" s="3">
        <v>45690.450462962966</v>
      </c>
      <c r="B709" t="s">
        <v>48</v>
      </c>
      <c r="C709" s="3">
        <v>45690.454212962963</v>
      </c>
      <c r="D709" t="s">
        <v>288</v>
      </c>
      <c r="E709" s="4">
        <v>0.93200000000000005</v>
      </c>
      <c r="F709" s="4">
        <v>100926.549</v>
      </c>
      <c r="G709" s="4">
        <v>100927.481</v>
      </c>
      <c r="H709" s="5">
        <f>40 / 86400</f>
        <v>4.6296296296296298E-4</v>
      </c>
      <c r="I709" t="s">
        <v>168</v>
      </c>
      <c r="J709" t="s">
        <v>24</v>
      </c>
      <c r="K709" s="5">
        <f>324 / 86400</f>
        <v>3.7499999999999999E-3</v>
      </c>
      <c r="L709" s="5">
        <f>702 / 86400</f>
        <v>8.1250000000000003E-3</v>
      </c>
    </row>
    <row r="710" spans="1:12" x14ac:dyDescent="0.25">
      <c r="A710" s="3">
        <v>45690.462337962963</v>
      </c>
      <c r="B710" t="s">
        <v>288</v>
      </c>
      <c r="C710" s="3">
        <v>45690.463506944448</v>
      </c>
      <c r="D710" t="s">
        <v>128</v>
      </c>
      <c r="E710" s="4">
        <v>0.27700000000000002</v>
      </c>
      <c r="F710" s="4">
        <v>100927.481</v>
      </c>
      <c r="G710" s="4">
        <v>100927.758</v>
      </c>
      <c r="H710" s="5">
        <f>20 / 86400</f>
        <v>2.3148148148148149E-4</v>
      </c>
      <c r="I710" t="s">
        <v>189</v>
      </c>
      <c r="J710" t="s">
        <v>24</v>
      </c>
      <c r="K710" s="5">
        <f>101 / 86400</f>
        <v>1.1689814814814816E-3</v>
      </c>
      <c r="L710" s="5">
        <f>1068 / 86400</f>
        <v>1.2361111111111111E-2</v>
      </c>
    </row>
    <row r="711" spans="1:12" x14ac:dyDescent="0.25">
      <c r="A711" s="3">
        <v>45690.475868055553</v>
      </c>
      <c r="B711" t="s">
        <v>128</v>
      </c>
      <c r="C711" s="3">
        <v>45690.476076388892</v>
      </c>
      <c r="D711" t="s">
        <v>128</v>
      </c>
      <c r="E711" s="4">
        <v>0.02</v>
      </c>
      <c r="F711" s="4">
        <v>100927.758</v>
      </c>
      <c r="G711" s="4">
        <v>100927.77800000001</v>
      </c>
      <c r="H711" s="5">
        <f>0 / 86400</f>
        <v>0</v>
      </c>
      <c r="I711" t="s">
        <v>39</v>
      </c>
      <c r="J711" t="s">
        <v>163</v>
      </c>
      <c r="K711" s="5">
        <f>18 / 86400</f>
        <v>2.0833333333333335E-4</v>
      </c>
      <c r="L711" s="5">
        <f>173 / 86400</f>
        <v>2.0023148148148148E-3</v>
      </c>
    </row>
    <row r="712" spans="1:12" x14ac:dyDescent="0.25">
      <c r="A712" s="3">
        <v>45690.478078703702</v>
      </c>
      <c r="B712" t="s">
        <v>128</v>
      </c>
      <c r="C712" s="3">
        <v>45690.481412037036</v>
      </c>
      <c r="D712" t="s">
        <v>48</v>
      </c>
      <c r="E712" s="4">
        <v>1.1359999999999999</v>
      </c>
      <c r="F712" s="4">
        <v>100927.77800000001</v>
      </c>
      <c r="G712" s="4">
        <v>100928.914</v>
      </c>
      <c r="H712" s="5">
        <f>20 / 86400</f>
        <v>2.3148148148148149E-4</v>
      </c>
      <c r="I712" t="s">
        <v>168</v>
      </c>
      <c r="J712" t="s">
        <v>127</v>
      </c>
      <c r="K712" s="5">
        <f>288 / 86400</f>
        <v>3.3333333333333335E-3</v>
      </c>
      <c r="L712" s="5">
        <f>1030 / 86400</f>
        <v>1.1921296296296296E-2</v>
      </c>
    </row>
    <row r="713" spans="1:12" x14ac:dyDescent="0.25">
      <c r="A713" s="3">
        <v>45690.493333333332</v>
      </c>
      <c r="B713" t="s">
        <v>48</v>
      </c>
      <c r="C713" s="3">
        <v>45690.497094907405</v>
      </c>
      <c r="D713" t="s">
        <v>289</v>
      </c>
      <c r="E713" s="4">
        <v>1.5269999999999999</v>
      </c>
      <c r="F713" s="4">
        <v>100928.914</v>
      </c>
      <c r="G713" s="4">
        <v>100930.44100000001</v>
      </c>
      <c r="H713" s="5">
        <f>18 / 86400</f>
        <v>2.0833333333333335E-4</v>
      </c>
      <c r="I713" t="s">
        <v>149</v>
      </c>
      <c r="J713" t="s">
        <v>27</v>
      </c>
      <c r="K713" s="5">
        <f>325 / 86400</f>
        <v>3.7615740740740739E-3</v>
      </c>
      <c r="L713" s="5">
        <f>495 / 86400</f>
        <v>5.7291666666666663E-3</v>
      </c>
    </row>
    <row r="714" spans="1:12" x14ac:dyDescent="0.25">
      <c r="A714" s="3">
        <v>45690.502824074079</v>
      </c>
      <c r="B714" t="s">
        <v>289</v>
      </c>
      <c r="C714" s="3">
        <v>45690.503194444449</v>
      </c>
      <c r="D714" t="s">
        <v>289</v>
      </c>
      <c r="E714" s="4">
        <v>1.2E-2</v>
      </c>
      <c r="F714" s="4">
        <v>100930.44100000001</v>
      </c>
      <c r="G714" s="4">
        <v>100930.45299999999</v>
      </c>
      <c r="H714" s="5">
        <f>0 / 86400</f>
        <v>0</v>
      </c>
      <c r="I714" t="s">
        <v>79</v>
      </c>
      <c r="J714" t="s">
        <v>41</v>
      </c>
      <c r="K714" s="5">
        <f>32 / 86400</f>
        <v>3.7037037037037035E-4</v>
      </c>
      <c r="L714" s="5">
        <f>16199 / 86400</f>
        <v>0.18748842592592593</v>
      </c>
    </row>
    <row r="715" spans="1:12" x14ac:dyDescent="0.25">
      <c r="A715" s="3">
        <v>45690.690682870365</v>
      </c>
      <c r="B715" t="s">
        <v>289</v>
      </c>
      <c r="C715" s="3">
        <v>45690.705266203702</v>
      </c>
      <c r="D715" t="s">
        <v>253</v>
      </c>
      <c r="E715" s="4">
        <v>5.1239999999999997</v>
      </c>
      <c r="F715" s="4">
        <v>100930.45299999999</v>
      </c>
      <c r="G715" s="4">
        <v>100935.577</v>
      </c>
      <c r="H715" s="5">
        <f>577 / 86400</f>
        <v>6.6782407407407407E-3</v>
      </c>
      <c r="I715" t="s">
        <v>214</v>
      </c>
      <c r="J715" t="s">
        <v>139</v>
      </c>
      <c r="K715" s="5">
        <f>1260 / 86400</f>
        <v>1.4583333333333334E-2</v>
      </c>
      <c r="L715" s="5">
        <f>3 / 86400</f>
        <v>3.4722222222222222E-5</v>
      </c>
    </row>
    <row r="716" spans="1:12" x14ac:dyDescent="0.25">
      <c r="A716" s="3">
        <v>45690.705300925925</v>
      </c>
      <c r="B716" t="s">
        <v>253</v>
      </c>
      <c r="C716" s="3">
        <v>45690.877928240741</v>
      </c>
      <c r="D716" t="s">
        <v>247</v>
      </c>
      <c r="E716" s="4">
        <v>78.941000000000003</v>
      </c>
      <c r="F716" s="4">
        <v>100935.577</v>
      </c>
      <c r="G716" s="4">
        <v>101014.518</v>
      </c>
      <c r="H716" s="5">
        <f>6139 / 86400</f>
        <v>7.1053240740740736E-2</v>
      </c>
      <c r="I716" t="s">
        <v>74</v>
      </c>
      <c r="J716" t="s">
        <v>20</v>
      </c>
      <c r="K716" s="5">
        <f>14915 / 86400</f>
        <v>0.1726273148148148</v>
      </c>
      <c r="L716" s="5">
        <f>579 / 86400</f>
        <v>6.7013888888888887E-3</v>
      </c>
    </row>
    <row r="717" spans="1:12" x14ac:dyDescent="0.25">
      <c r="A717" s="3">
        <v>45690.884629629625</v>
      </c>
      <c r="B717" t="s">
        <v>247</v>
      </c>
      <c r="C717" s="3">
        <v>45690.970856481479</v>
      </c>
      <c r="D717" t="s">
        <v>272</v>
      </c>
      <c r="E717" s="4">
        <v>42.741999999999997</v>
      </c>
      <c r="F717" s="4">
        <v>101014.518</v>
      </c>
      <c r="G717" s="4">
        <v>101057.26</v>
      </c>
      <c r="H717" s="5">
        <f>3020 / 86400</f>
        <v>3.4953703703703702E-2</v>
      </c>
      <c r="I717" t="s">
        <v>101</v>
      </c>
      <c r="J717" t="s">
        <v>30</v>
      </c>
      <c r="K717" s="5">
        <f>7450 / 86400</f>
        <v>8.6226851851851846E-2</v>
      </c>
      <c r="L717" s="5">
        <f>398 / 86400</f>
        <v>4.6064814814814814E-3</v>
      </c>
    </row>
    <row r="718" spans="1:12" x14ac:dyDescent="0.25">
      <c r="A718" s="3">
        <v>45690.975462962961</v>
      </c>
      <c r="B718" t="s">
        <v>272</v>
      </c>
      <c r="C718" s="3">
        <v>45690.975717592592</v>
      </c>
      <c r="D718" t="s">
        <v>272</v>
      </c>
      <c r="E718" s="4">
        <v>8.0000000000000002E-3</v>
      </c>
      <c r="F718" s="4">
        <v>101057.26</v>
      </c>
      <c r="G718" s="4">
        <v>101057.268</v>
      </c>
      <c r="H718" s="5">
        <f>0 / 86400</f>
        <v>0</v>
      </c>
      <c r="I718" t="s">
        <v>60</v>
      </c>
      <c r="J718" t="s">
        <v>41</v>
      </c>
      <c r="K718" s="5">
        <f>22 / 86400</f>
        <v>2.5462962962962961E-4</v>
      </c>
      <c r="L718" s="5">
        <f>376 / 86400</f>
        <v>4.3518518518518515E-3</v>
      </c>
    </row>
    <row r="719" spans="1:12" x14ac:dyDescent="0.25">
      <c r="A719" s="3">
        <v>45690.980069444442</v>
      </c>
      <c r="B719" t="s">
        <v>272</v>
      </c>
      <c r="C719" s="3">
        <v>45690.981006944443</v>
      </c>
      <c r="D719" t="s">
        <v>272</v>
      </c>
      <c r="E719" s="4">
        <v>0</v>
      </c>
      <c r="F719" s="4">
        <v>101057.268</v>
      </c>
      <c r="G719" s="4">
        <v>101057.268</v>
      </c>
      <c r="H719" s="5">
        <f>58 / 86400</f>
        <v>6.7129629629629625E-4</v>
      </c>
      <c r="I719" t="s">
        <v>39</v>
      </c>
      <c r="J719" t="s">
        <v>39</v>
      </c>
      <c r="K719" s="5">
        <f>81 / 86400</f>
        <v>9.3749999999999997E-4</v>
      </c>
      <c r="L719" s="5">
        <f>178 / 86400</f>
        <v>2.0601851851851853E-3</v>
      </c>
    </row>
    <row r="720" spans="1:12" x14ac:dyDescent="0.25">
      <c r="A720" s="3">
        <v>45690.983067129629</v>
      </c>
      <c r="B720" t="s">
        <v>272</v>
      </c>
      <c r="C720" s="3">
        <v>45690.99998842593</v>
      </c>
      <c r="D720" t="s">
        <v>100</v>
      </c>
      <c r="E720" s="4">
        <v>4.5359999999999996</v>
      </c>
      <c r="F720" s="4">
        <v>101057.268</v>
      </c>
      <c r="G720" s="4">
        <v>101061.804</v>
      </c>
      <c r="H720" s="5">
        <f>658 / 86400</f>
        <v>7.6157407407407406E-3</v>
      </c>
      <c r="I720" t="s">
        <v>153</v>
      </c>
      <c r="J720" t="s">
        <v>144</v>
      </c>
      <c r="K720" s="5">
        <f>1462 / 86400</f>
        <v>1.6921296296296295E-2</v>
      </c>
      <c r="L720" s="5">
        <f>0 / 86400</f>
        <v>0</v>
      </c>
    </row>
    <row r="721" spans="1:1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 spans="1:12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</row>
    <row r="723" spans="1:12" s="10" customFormat="1" ht="20.100000000000001" customHeight="1" x14ac:dyDescent="0.35">
      <c r="A723" s="15" t="s">
        <v>348</v>
      </c>
      <c r="B723" s="15"/>
      <c r="C723" s="15"/>
      <c r="D723" s="15"/>
      <c r="E723" s="15"/>
      <c r="F723" s="15"/>
      <c r="G723" s="15"/>
      <c r="H723" s="15"/>
      <c r="I723" s="15"/>
      <c r="J723" s="15"/>
    </row>
    <row r="724" spans="1:12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</row>
    <row r="725" spans="1:12" ht="30" x14ac:dyDescent="0.25">
      <c r="A725" s="2" t="s">
        <v>6</v>
      </c>
      <c r="B725" s="2" t="s">
        <v>7</v>
      </c>
      <c r="C725" s="2" t="s">
        <v>8</v>
      </c>
      <c r="D725" s="2" t="s">
        <v>9</v>
      </c>
      <c r="E725" s="2" t="s">
        <v>10</v>
      </c>
      <c r="F725" s="2" t="s">
        <v>11</v>
      </c>
      <c r="G725" s="2" t="s">
        <v>12</v>
      </c>
      <c r="H725" s="2" t="s">
        <v>13</v>
      </c>
      <c r="I725" s="2" t="s">
        <v>14</v>
      </c>
      <c r="J725" s="2" t="s">
        <v>15</v>
      </c>
      <c r="K725" s="2" t="s">
        <v>16</v>
      </c>
      <c r="L725" s="2" t="s">
        <v>17</v>
      </c>
    </row>
    <row r="726" spans="1:12" x14ac:dyDescent="0.25">
      <c r="A726" s="3">
        <v>45690.21</v>
      </c>
      <c r="B726" t="s">
        <v>102</v>
      </c>
      <c r="C726" s="3">
        <v>45690.211122685185</v>
      </c>
      <c r="D726" t="s">
        <v>102</v>
      </c>
      <c r="E726" s="4">
        <v>0</v>
      </c>
      <c r="F726" s="4">
        <v>52261.677000000003</v>
      </c>
      <c r="G726" s="4">
        <v>52261.677000000003</v>
      </c>
      <c r="H726" s="5">
        <f>78 / 86400</f>
        <v>9.0277777777777774E-4</v>
      </c>
      <c r="I726" t="s">
        <v>39</v>
      </c>
      <c r="J726" t="s">
        <v>39</v>
      </c>
      <c r="K726" s="5">
        <f>97 / 86400</f>
        <v>1.1226851851851851E-3</v>
      </c>
      <c r="L726" s="5">
        <f>19769 / 86400</f>
        <v>0.22880787037037037</v>
      </c>
    </row>
    <row r="727" spans="1:12" x14ac:dyDescent="0.25">
      <c r="A727" s="3">
        <v>45690.229930555557</v>
      </c>
      <c r="B727" t="s">
        <v>102</v>
      </c>
      <c r="C727" s="3">
        <v>45690.231064814812</v>
      </c>
      <c r="D727" t="s">
        <v>102</v>
      </c>
      <c r="E727" s="4">
        <v>0</v>
      </c>
      <c r="F727" s="4">
        <v>52261.677000000003</v>
      </c>
      <c r="G727" s="4">
        <v>52261.677000000003</v>
      </c>
      <c r="H727" s="5">
        <f>78 / 86400</f>
        <v>9.0277777777777774E-4</v>
      </c>
      <c r="I727" t="s">
        <v>39</v>
      </c>
      <c r="J727" t="s">
        <v>39</v>
      </c>
      <c r="K727" s="5">
        <f>98 / 86400</f>
        <v>1.1342592592592593E-3</v>
      </c>
      <c r="L727" s="5">
        <f>4649 / 86400</f>
        <v>5.3807870370370367E-2</v>
      </c>
    </row>
    <row r="728" spans="1:12" x14ac:dyDescent="0.25">
      <c r="A728" s="3">
        <v>45690.284872685181</v>
      </c>
      <c r="B728" t="s">
        <v>102</v>
      </c>
      <c r="C728" s="3">
        <v>45690.485821759255</v>
      </c>
      <c r="D728" t="s">
        <v>143</v>
      </c>
      <c r="E728" s="4">
        <v>82.873999999999995</v>
      </c>
      <c r="F728" s="4">
        <v>52261.677000000003</v>
      </c>
      <c r="G728" s="4">
        <v>52344.550999999999</v>
      </c>
      <c r="H728" s="5">
        <f>5697 / 86400</f>
        <v>6.5937499999999996E-2</v>
      </c>
      <c r="I728" t="s">
        <v>26</v>
      </c>
      <c r="J728" t="s">
        <v>27</v>
      </c>
      <c r="K728" s="5">
        <f>17362 / 86400</f>
        <v>0.20094907407407409</v>
      </c>
      <c r="L728" s="5">
        <f>2253 / 86400</f>
        <v>2.6076388888888889E-2</v>
      </c>
    </row>
    <row r="729" spans="1:12" x14ac:dyDescent="0.25">
      <c r="A729" s="3">
        <v>45690.51189814815</v>
      </c>
      <c r="B729" t="s">
        <v>143</v>
      </c>
      <c r="C729" s="3">
        <v>45690.515405092592</v>
      </c>
      <c r="D729" t="s">
        <v>145</v>
      </c>
      <c r="E729" s="4">
        <v>0.13800000000000001</v>
      </c>
      <c r="F729" s="4">
        <v>52344.550999999999</v>
      </c>
      <c r="G729" s="4">
        <v>52344.688999999998</v>
      </c>
      <c r="H729" s="5">
        <f>261 / 86400</f>
        <v>3.0208333333333333E-3</v>
      </c>
      <c r="I729" t="s">
        <v>97</v>
      </c>
      <c r="J729" t="s">
        <v>79</v>
      </c>
      <c r="K729" s="5">
        <f>303 / 86400</f>
        <v>3.5069444444444445E-3</v>
      </c>
      <c r="L729" s="5">
        <f>250 / 86400</f>
        <v>2.8935185185185184E-3</v>
      </c>
    </row>
    <row r="730" spans="1:12" x14ac:dyDescent="0.25">
      <c r="A730" s="3">
        <v>45690.51829861111</v>
      </c>
      <c r="B730" t="s">
        <v>145</v>
      </c>
      <c r="C730" s="3">
        <v>45690.518472222218</v>
      </c>
      <c r="D730" t="s">
        <v>145</v>
      </c>
      <c r="E730" s="4">
        <v>8.0000000000000002E-3</v>
      </c>
      <c r="F730" s="4">
        <v>52344.688999999998</v>
      </c>
      <c r="G730" s="4">
        <v>52344.697</v>
      </c>
      <c r="H730" s="5">
        <f>0 / 86400</f>
        <v>0</v>
      </c>
      <c r="I730" t="s">
        <v>39</v>
      </c>
      <c r="J730" t="s">
        <v>79</v>
      </c>
      <c r="K730" s="5">
        <f>15 / 86400</f>
        <v>1.7361111111111112E-4</v>
      </c>
      <c r="L730" s="5">
        <f>133 / 86400</f>
        <v>1.5393518518518519E-3</v>
      </c>
    </row>
    <row r="731" spans="1:12" x14ac:dyDescent="0.25">
      <c r="A731" s="3">
        <v>45690.520011574074</v>
      </c>
      <c r="B731" t="s">
        <v>145</v>
      </c>
      <c r="C731" s="3">
        <v>45690.520115740743</v>
      </c>
      <c r="D731" t="s">
        <v>145</v>
      </c>
      <c r="E731" s="4">
        <v>0</v>
      </c>
      <c r="F731" s="4">
        <v>52344.697</v>
      </c>
      <c r="G731" s="4">
        <v>52344.697</v>
      </c>
      <c r="H731" s="5">
        <f>0 / 86400</f>
        <v>0</v>
      </c>
      <c r="I731" t="s">
        <v>39</v>
      </c>
      <c r="J731" t="s">
        <v>39</v>
      </c>
      <c r="K731" s="5">
        <f>9 / 86400</f>
        <v>1.0416666666666667E-4</v>
      </c>
      <c r="L731" s="5">
        <f>103 / 86400</f>
        <v>1.1921296296296296E-3</v>
      </c>
    </row>
    <row r="732" spans="1:12" x14ac:dyDescent="0.25">
      <c r="A732" s="3">
        <v>45690.521307870367</v>
      </c>
      <c r="B732" t="s">
        <v>145</v>
      </c>
      <c r="C732" s="3">
        <v>45690.521469907406</v>
      </c>
      <c r="D732" t="s">
        <v>145</v>
      </c>
      <c r="E732" s="4">
        <v>0</v>
      </c>
      <c r="F732" s="4">
        <v>52344.697</v>
      </c>
      <c r="G732" s="4">
        <v>52344.697</v>
      </c>
      <c r="H732" s="5">
        <f>0 / 86400</f>
        <v>0</v>
      </c>
      <c r="I732" t="s">
        <v>39</v>
      </c>
      <c r="J732" t="s">
        <v>39</v>
      </c>
      <c r="K732" s="5">
        <f>14 / 86400</f>
        <v>1.6203703703703703E-4</v>
      </c>
      <c r="L732" s="5">
        <f>244 / 86400</f>
        <v>2.8240740740740739E-3</v>
      </c>
    </row>
    <row r="733" spans="1:12" x14ac:dyDescent="0.25">
      <c r="A733" s="3">
        <v>45690.524293981478</v>
      </c>
      <c r="B733" t="s">
        <v>145</v>
      </c>
      <c r="C733" s="3">
        <v>45690.692546296297</v>
      </c>
      <c r="D733" t="s">
        <v>247</v>
      </c>
      <c r="E733" s="4">
        <v>92.531000000000006</v>
      </c>
      <c r="F733" s="4">
        <v>52344.697</v>
      </c>
      <c r="G733" s="4">
        <v>52437.228000000003</v>
      </c>
      <c r="H733" s="5">
        <f>4159 / 86400</f>
        <v>4.8136574074074075E-2</v>
      </c>
      <c r="I733" t="s">
        <v>62</v>
      </c>
      <c r="J733" t="s">
        <v>86</v>
      </c>
      <c r="K733" s="5">
        <f>14537 / 86400</f>
        <v>0.16825231481481481</v>
      </c>
      <c r="L733" s="5">
        <f>987 / 86400</f>
        <v>1.1423611111111112E-2</v>
      </c>
    </row>
    <row r="734" spans="1:12" x14ac:dyDescent="0.25">
      <c r="A734" s="3">
        <v>45690.703969907408</v>
      </c>
      <c r="B734" t="s">
        <v>247</v>
      </c>
      <c r="C734" s="3">
        <v>45690.854120370372</v>
      </c>
      <c r="D734" t="s">
        <v>255</v>
      </c>
      <c r="E734" s="4">
        <v>78.114000000000004</v>
      </c>
      <c r="F734" s="4">
        <v>52437.228000000003</v>
      </c>
      <c r="G734" s="4">
        <v>52515.341999999997</v>
      </c>
      <c r="H734" s="5">
        <f>3657 / 86400</f>
        <v>4.2326388888888886E-2</v>
      </c>
      <c r="I734" t="s">
        <v>103</v>
      </c>
      <c r="J734" t="s">
        <v>84</v>
      </c>
      <c r="K734" s="5">
        <f>12973 / 86400</f>
        <v>0.15015046296296297</v>
      </c>
      <c r="L734" s="5">
        <f>59 / 86400</f>
        <v>6.8287037037037036E-4</v>
      </c>
    </row>
    <row r="735" spans="1:12" x14ac:dyDescent="0.25">
      <c r="A735" s="3">
        <v>45690.854803240742</v>
      </c>
      <c r="B735" t="s">
        <v>255</v>
      </c>
      <c r="C735" s="3">
        <v>45690.868599537032</v>
      </c>
      <c r="D735" t="s">
        <v>112</v>
      </c>
      <c r="E735" s="4">
        <v>9.5519999999999996</v>
      </c>
      <c r="F735" s="4">
        <v>52515.341999999997</v>
      </c>
      <c r="G735" s="4">
        <v>52524.894</v>
      </c>
      <c r="H735" s="5">
        <f>296 / 86400</f>
        <v>3.425925925925926E-3</v>
      </c>
      <c r="I735" t="s">
        <v>57</v>
      </c>
      <c r="J735" t="s">
        <v>279</v>
      </c>
      <c r="K735" s="5">
        <f>1192 / 86400</f>
        <v>1.3796296296296296E-2</v>
      </c>
      <c r="L735" s="5">
        <f>633 / 86400</f>
        <v>7.3263888888888892E-3</v>
      </c>
    </row>
    <row r="736" spans="1:12" x14ac:dyDescent="0.25">
      <c r="A736" s="3">
        <v>45690.875925925924</v>
      </c>
      <c r="B736" t="s">
        <v>112</v>
      </c>
      <c r="C736" s="3">
        <v>45690.876168981486</v>
      </c>
      <c r="D736" t="s">
        <v>112</v>
      </c>
      <c r="E736" s="4">
        <v>0</v>
      </c>
      <c r="F736" s="4">
        <v>52524.894</v>
      </c>
      <c r="G736" s="4">
        <v>52524.894</v>
      </c>
      <c r="H736" s="5">
        <f>18 / 86400</f>
        <v>2.0833333333333335E-4</v>
      </c>
      <c r="I736" t="s">
        <v>39</v>
      </c>
      <c r="J736" t="s">
        <v>39</v>
      </c>
      <c r="K736" s="5">
        <f>21 / 86400</f>
        <v>2.4305555555555555E-4</v>
      </c>
      <c r="L736" s="5">
        <f>231 / 86400</f>
        <v>2.673611111111111E-3</v>
      </c>
    </row>
    <row r="737" spans="1:12" x14ac:dyDescent="0.25">
      <c r="A737" s="3">
        <v>45690.878842592589</v>
      </c>
      <c r="B737" t="s">
        <v>112</v>
      </c>
      <c r="C737" s="3">
        <v>45690.88449074074</v>
      </c>
      <c r="D737" t="s">
        <v>25</v>
      </c>
      <c r="E737" s="4">
        <v>2.4729999999999999</v>
      </c>
      <c r="F737" s="4">
        <v>52524.894</v>
      </c>
      <c r="G737" s="4">
        <v>52527.366999999998</v>
      </c>
      <c r="H737" s="5">
        <f>98 / 86400</f>
        <v>1.1342592592592593E-3</v>
      </c>
      <c r="I737" t="s">
        <v>135</v>
      </c>
      <c r="J737" t="s">
        <v>33</v>
      </c>
      <c r="K737" s="5">
        <f>488 / 86400</f>
        <v>5.6481481481481478E-3</v>
      </c>
      <c r="L737" s="5">
        <f>9979 / 86400</f>
        <v>0.11549768518518519</v>
      </c>
    </row>
    <row r="738" spans="1:1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</row>
    <row r="739" spans="1:1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</row>
    <row r="740" spans="1:12" s="10" customFormat="1" ht="20.100000000000001" customHeight="1" x14ac:dyDescent="0.35">
      <c r="A740" s="15" t="s">
        <v>349</v>
      </c>
      <c r="B740" s="15"/>
      <c r="C740" s="15"/>
      <c r="D740" s="15"/>
      <c r="E740" s="15"/>
      <c r="F740" s="15"/>
      <c r="G740" s="15"/>
      <c r="H740" s="15"/>
      <c r="I740" s="15"/>
      <c r="J740" s="15"/>
    </row>
    <row r="741" spans="1:1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</row>
    <row r="742" spans="1:12" ht="30" x14ac:dyDescent="0.25">
      <c r="A742" s="2" t="s">
        <v>6</v>
      </c>
      <c r="B742" s="2" t="s">
        <v>7</v>
      </c>
      <c r="C742" s="2" t="s">
        <v>8</v>
      </c>
      <c r="D742" s="2" t="s">
        <v>9</v>
      </c>
      <c r="E742" s="2" t="s">
        <v>10</v>
      </c>
      <c r="F742" s="2" t="s">
        <v>11</v>
      </c>
      <c r="G742" s="2" t="s">
        <v>12</v>
      </c>
      <c r="H742" s="2" t="s">
        <v>13</v>
      </c>
      <c r="I742" s="2" t="s">
        <v>14</v>
      </c>
      <c r="J742" s="2" t="s">
        <v>15</v>
      </c>
      <c r="K742" s="2" t="s">
        <v>16</v>
      </c>
      <c r="L742" s="2" t="s">
        <v>17</v>
      </c>
    </row>
    <row r="743" spans="1:12" x14ac:dyDescent="0.25">
      <c r="A743" s="3">
        <v>45690.345486111109</v>
      </c>
      <c r="B743" t="s">
        <v>104</v>
      </c>
      <c r="C743" s="3">
        <v>45690.354386574079</v>
      </c>
      <c r="D743" t="s">
        <v>104</v>
      </c>
      <c r="E743" s="4">
        <v>0</v>
      </c>
      <c r="F743" s="4">
        <v>76740.941000000006</v>
      </c>
      <c r="G743" s="4">
        <v>76740.941000000006</v>
      </c>
      <c r="H743" s="5">
        <f>758 / 86400</f>
        <v>8.773148148148148E-3</v>
      </c>
      <c r="I743" t="s">
        <v>39</v>
      </c>
      <c r="J743" t="s">
        <v>39</v>
      </c>
      <c r="K743" s="5">
        <f>769 / 86400</f>
        <v>8.9004629629629625E-3</v>
      </c>
      <c r="L743" s="5">
        <f>85630 / 86400</f>
        <v>0.99108796296296298</v>
      </c>
    </row>
    <row r="744" spans="1:1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</row>
    <row r="745" spans="1:1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</row>
    <row r="746" spans="1:12" s="10" customFormat="1" ht="20.100000000000001" customHeight="1" x14ac:dyDescent="0.35">
      <c r="A746" s="15" t="s">
        <v>350</v>
      </c>
      <c r="B746" s="15"/>
      <c r="C746" s="15"/>
      <c r="D746" s="15"/>
      <c r="E746" s="15"/>
      <c r="F746" s="15"/>
      <c r="G746" s="15"/>
      <c r="H746" s="15"/>
      <c r="I746" s="15"/>
      <c r="J746" s="15"/>
    </row>
    <row r="747" spans="1:12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</row>
    <row r="748" spans="1:12" ht="30" x14ac:dyDescent="0.25">
      <c r="A748" s="2" t="s">
        <v>6</v>
      </c>
      <c r="B748" s="2" t="s">
        <v>7</v>
      </c>
      <c r="C748" s="2" t="s">
        <v>8</v>
      </c>
      <c r="D748" s="2" t="s">
        <v>9</v>
      </c>
      <c r="E748" s="2" t="s">
        <v>10</v>
      </c>
      <c r="F748" s="2" t="s">
        <v>11</v>
      </c>
      <c r="G748" s="2" t="s">
        <v>12</v>
      </c>
      <c r="H748" s="2" t="s">
        <v>13</v>
      </c>
      <c r="I748" s="2" t="s">
        <v>14</v>
      </c>
      <c r="J748" s="2" t="s">
        <v>15</v>
      </c>
      <c r="K748" s="2" t="s">
        <v>16</v>
      </c>
      <c r="L748" s="2" t="s">
        <v>17</v>
      </c>
    </row>
    <row r="749" spans="1:12" x14ac:dyDescent="0.25">
      <c r="A749" s="3">
        <v>45690.011215277773</v>
      </c>
      <c r="B749" t="s">
        <v>37</v>
      </c>
      <c r="C749" s="3">
        <v>45690.012546296297</v>
      </c>
      <c r="D749" t="s">
        <v>105</v>
      </c>
      <c r="E749" s="4">
        <v>2.5999999999999999E-2</v>
      </c>
      <c r="F749" s="4">
        <v>37466.139000000003</v>
      </c>
      <c r="G749" s="4">
        <v>37466.165000000001</v>
      </c>
      <c r="H749" s="5">
        <f>91 / 86400</f>
        <v>1.0532407407407407E-3</v>
      </c>
      <c r="I749" t="s">
        <v>38</v>
      </c>
      <c r="J749" t="s">
        <v>41</v>
      </c>
      <c r="K749" s="5">
        <f>115 / 86400</f>
        <v>1.3310185185185185E-3</v>
      </c>
      <c r="L749" s="5">
        <f>1170 / 86400</f>
        <v>1.3541666666666667E-2</v>
      </c>
    </row>
    <row r="750" spans="1:12" x14ac:dyDescent="0.25">
      <c r="A750" s="3">
        <v>45690.014872685184</v>
      </c>
      <c r="B750" t="s">
        <v>105</v>
      </c>
      <c r="C750" s="3">
        <v>45690.019259259258</v>
      </c>
      <c r="D750" t="s">
        <v>290</v>
      </c>
      <c r="E750" s="4">
        <v>1.216</v>
      </c>
      <c r="F750" s="4">
        <v>37466.165000000001</v>
      </c>
      <c r="G750" s="4">
        <v>37467.381000000001</v>
      </c>
      <c r="H750" s="5">
        <f>149 / 86400</f>
        <v>1.724537037037037E-3</v>
      </c>
      <c r="I750" t="s">
        <v>234</v>
      </c>
      <c r="J750" t="s">
        <v>125</v>
      </c>
      <c r="K750" s="5">
        <f>379 / 86400</f>
        <v>4.386574074074074E-3</v>
      </c>
      <c r="L750" s="5">
        <f>19176 / 86400</f>
        <v>0.22194444444444444</v>
      </c>
    </row>
    <row r="751" spans="1:12" x14ac:dyDescent="0.25">
      <c r="A751" s="3">
        <v>45690.241203703699</v>
      </c>
      <c r="B751" t="s">
        <v>290</v>
      </c>
      <c r="C751" s="3">
        <v>45690.244745370372</v>
      </c>
      <c r="D751" t="s">
        <v>165</v>
      </c>
      <c r="E751" s="4">
        <v>0.17299999999999999</v>
      </c>
      <c r="F751" s="4">
        <v>37467.381000000001</v>
      </c>
      <c r="G751" s="4">
        <v>37467.553999999996</v>
      </c>
      <c r="H751" s="5">
        <f>179 / 86400</f>
        <v>2.0717592592592593E-3</v>
      </c>
      <c r="I751" t="s">
        <v>60</v>
      </c>
      <c r="J751" t="s">
        <v>79</v>
      </c>
      <c r="K751" s="5">
        <f>306 / 86400</f>
        <v>3.5416666666666665E-3</v>
      </c>
      <c r="L751" s="5">
        <f>98 / 86400</f>
        <v>1.1342592592592593E-3</v>
      </c>
    </row>
    <row r="752" spans="1:12" x14ac:dyDescent="0.25">
      <c r="A752" s="3">
        <v>45690.245879629627</v>
      </c>
      <c r="B752" t="s">
        <v>165</v>
      </c>
      <c r="C752" s="3">
        <v>45690.246944444443</v>
      </c>
      <c r="D752" t="s">
        <v>165</v>
      </c>
      <c r="E752" s="4">
        <v>2E-3</v>
      </c>
      <c r="F752" s="4">
        <v>37467.553999999996</v>
      </c>
      <c r="G752" s="4">
        <v>37467.555999999997</v>
      </c>
      <c r="H752" s="5">
        <f>89 / 86400</f>
        <v>1.0300925925925926E-3</v>
      </c>
      <c r="I752" t="s">
        <v>39</v>
      </c>
      <c r="J752" t="s">
        <v>39</v>
      </c>
      <c r="K752" s="5">
        <f>92 / 86400</f>
        <v>1.0648148148148149E-3</v>
      </c>
      <c r="L752" s="5">
        <f>45 / 86400</f>
        <v>5.2083333333333333E-4</v>
      </c>
    </row>
    <row r="753" spans="1:12" x14ac:dyDescent="0.25">
      <c r="A753" s="3">
        <v>45690.247465277775</v>
      </c>
      <c r="B753" t="s">
        <v>165</v>
      </c>
      <c r="C753" s="3">
        <v>45690.247743055559</v>
      </c>
      <c r="D753" t="s">
        <v>165</v>
      </c>
      <c r="E753" s="4">
        <v>0</v>
      </c>
      <c r="F753" s="4">
        <v>37467.555999999997</v>
      </c>
      <c r="G753" s="4">
        <v>37467.555999999997</v>
      </c>
      <c r="H753" s="5">
        <f>1 / 86400</f>
        <v>1.1574074074074073E-5</v>
      </c>
      <c r="I753" t="s">
        <v>39</v>
      </c>
      <c r="J753" t="s">
        <v>39</v>
      </c>
      <c r="K753" s="5">
        <f>24 / 86400</f>
        <v>2.7777777777777778E-4</v>
      </c>
      <c r="L753" s="5">
        <f>222 / 86400</f>
        <v>2.5694444444444445E-3</v>
      </c>
    </row>
    <row r="754" spans="1:12" x14ac:dyDescent="0.25">
      <c r="A754" s="3">
        <v>45690.2503125</v>
      </c>
      <c r="B754" t="s">
        <v>165</v>
      </c>
      <c r="C754" s="3">
        <v>45690.250856481478</v>
      </c>
      <c r="D754" t="s">
        <v>165</v>
      </c>
      <c r="E754" s="4">
        <v>0</v>
      </c>
      <c r="F754" s="4">
        <v>37467.555999999997</v>
      </c>
      <c r="G754" s="4">
        <v>37467.555999999997</v>
      </c>
      <c r="H754" s="5">
        <f>29 / 86400</f>
        <v>3.3564814814814812E-4</v>
      </c>
      <c r="I754" t="s">
        <v>39</v>
      </c>
      <c r="J754" t="s">
        <v>39</v>
      </c>
      <c r="K754" s="5">
        <f>47 / 86400</f>
        <v>5.4398148148148144E-4</v>
      </c>
      <c r="L754" s="5">
        <f>29715 / 86400</f>
        <v>0.34392361111111114</v>
      </c>
    </row>
    <row r="755" spans="1:12" x14ac:dyDescent="0.25">
      <c r="A755" s="3">
        <v>45690.594780092593</v>
      </c>
      <c r="B755" t="s">
        <v>165</v>
      </c>
      <c r="C755" s="3">
        <v>45690.599131944444</v>
      </c>
      <c r="D755" t="s">
        <v>117</v>
      </c>
      <c r="E755" s="4">
        <v>0.56999999999999995</v>
      </c>
      <c r="F755" s="4">
        <v>37467.555999999997</v>
      </c>
      <c r="G755" s="4">
        <v>37468.125999999997</v>
      </c>
      <c r="H755" s="5">
        <f>210 / 86400</f>
        <v>2.4305555555555556E-3</v>
      </c>
      <c r="I755" t="s">
        <v>84</v>
      </c>
      <c r="J755" t="s">
        <v>60</v>
      </c>
      <c r="K755" s="5">
        <f>376 / 86400</f>
        <v>4.3518518518518515E-3</v>
      </c>
      <c r="L755" s="5">
        <f>681 / 86400</f>
        <v>7.8819444444444449E-3</v>
      </c>
    </row>
    <row r="756" spans="1:12" x14ac:dyDescent="0.25">
      <c r="A756" s="3">
        <v>45690.60701388889</v>
      </c>
      <c r="B756" t="s">
        <v>117</v>
      </c>
      <c r="C756" s="3">
        <v>45690.99728009259</v>
      </c>
      <c r="D756" t="s">
        <v>105</v>
      </c>
      <c r="E756" s="4">
        <v>189.85599999999999</v>
      </c>
      <c r="F756" s="4">
        <v>37468.125999999997</v>
      </c>
      <c r="G756" s="4">
        <v>37657.982000000004</v>
      </c>
      <c r="H756" s="5">
        <f>10683 / 86400</f>
        <v>0.12364583333333333</v>
      </c>
      <c r="I756" t="s">
        <v>29</v>
      </c>
      <c r="J756" t="s">
        <v>58</v>
      </c>
      <c r="K756" s="5">
        <f>33719 / 86400</f>
        <v>0.39026620370370368</v>
      </c>
      <c r="L756" s="5">
        <f>234 / 86400</f>
        <v>2.7083333333333334E-3</v>
      </c>
    </row>
    <row r="757" spans="1:12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</row>
    <row r="758" spans="1:1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</row>
    <row r="759" spans="1:12" s="10" customFormat="1" ht="20.100000000000001" customHeight="1" x14ac:dyDescent="0.35">
      <c r="A759" s="15" t="s">
        <v>351</v>
      </c>
      <c r="B759" s="15"/>
      <c r="C759" s="15"/>
      <c r="D759" s="15"/>
      <c r="E759" s="15"/>
      <c r="F759" s="15"/>
      <c r="G759" s="15"/>
      <c r="H759" s="15"/>
      <c r="I759" s="15"/>
      <c r="J759" s="15"/>
    </row>
    <row r="760" spans="1:12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</row>
    <row r="761" spans="1:12" ht="30" x14ac:dyDescent="0.25">
      <c r="A761" s="2" t="s">
        <v>6</v>
      </c>
      <c r="B761" s="2" t="s">
        <v>7</v>
      </c>
      <c r="C761" s="2" t="s">
        <v>8</v>
      </c>
      <c r="D761" s="2" t="s">
        <v>9</v>
      </c>
      <c r="E761" s="2" t="s">
        <v>10</v>
      </c>
      <c r="F761" s="2" t="s">
        <v>11</v>
      </c>
      <c r="G761" s="2" t="s">
        <v>12</v>
      </c>
      <c r="H761" s="2" t="s">
        <v>13</v>
      </c>
      <c r="I761" s="2" t="s">
        <v>14</v>
      </c>
      <c r="J761" s="2" t="s">
        <v>15</v>
      </c>
      <c r="K761" s="2" t="s">
        <v>16</v>
      </c>
      <c r="L761" s="2" t="s">
        <v>17</v>
      </c>
    </row>
    <row r="762" spans="1:12" x14ac:dyDescent="0.25">
      <c r="A762" s="3">
        <v>45690.289502314816</v>
      </c>
      <c r="B762" t="s">
        <v>90</v>
      </c>
      <c r="C762" s="3">
        <v>45690.539467592593</v>
      </c>
      <c r="D762" t="s">
        <v>291</v>
      </c>
      <c r="E762" s="4">
        <v>107.22</v>
      </c>
      <c r="F762" s="4">
        <v>520297.79700000002</v>
      </c>
      <c r="G762" s="4">
        <v>520405.01699999999</v>
      </c>
      <c r="H762" s="5">
        <f>7025 / 86400</f>
        <v>8.1307870370370364E-2</v>
      </c>
      <c r="I762" t="s">
        <v>45</v>
      </c>
      <c r="J762" t="s">
        <v>33</v>
      </c>
      <c r="K762" s="5">
        <f>21596 / 86400</f>
        <v>0.24995370370370371</v>
      </c>
      <c r="L762" s="5">
        <f>28711 / 86400</f>
        <v>0.33230324074074075</v>
      </c>
    </row>
    <row r="763" spans="1:12" x14ac:dyDescent="0.25">
      <c r="A763" s="3">
        <v>45690.582268518519</v>
      </c>
      <c r="B763" t="s">
        <v>291</v>
      </c>
      <c r="C763" s="3">
        <v>45690.583425925928</v>
      </c>
      <c r="D763" t="s">
        <v>292</v>
      </c>
      <c r="E763" s="4">
        <v>0.19</v>
      </c>
      <c r="F763" s="4">
        <v>520405.01699999999</v>
      </c>
      <c r="G763" s="4">
        <v>520405.20699999999</v>
      </c>
      <c r="H763" s="5">
        <f>39 / 86400</f>
        <v>4.5138888888888887E-4</v>
      </c>
      <c r="I763" t="s">
        <v>126</v>
      </c>
      <c r="J763" t="s">
        <v>91</v>
      </c>
      <c r="K763" s="5">
        <f>99 / 86400</f>
        <v>1.1458333333333333E-3</v>
      </c>
      <c r="L763" s="5">
        <f>11 / 86400</f>
        <v>1.273148148148148E-4</v>
      </c>
    </row>
    <row r="764" spans="1:12" x14ac:dyDescent="0.25">
      <c r="A764" s="3">
        <v>45690.583553240736</v>
      </c>
      <c r="B764" t="s">
        <v>292</v>
      </c>
      <c r="C764" s="3">
        <v>45690.583854166667</v>
      </c>
      <c r="D764" t="s">
        <v>292</v>
      </c>
      <c r="E764" s="4">
        <v>1.7000000000000001E-2</v>
      </c>
      <c r="F764" s="4">
        <v>520405.20699999999</v>
      </c>
      <c r="G764" s="4">
        <v>520405.22399999999</v>
      </c>
      <c r="H764" s="5">
        <f>0 / 86400</f>
        <v>0</v>
      </c>
      <c r="I764" t="s">
        <v>38</v>
      </c>
      <c r="J764" t="s">
        <v>79</v>
      </c>
      <c r="K764" s="5">
        <f>25 / 86400</f>
        <v>2.8935185185185184E-4</v>
      </c>
      <c r="L764" s="5">
        <f>3473 / 86400</f>
        <v>4.0196759259259258E-2</v>
      </c>
    </row>
    <row r="765" spans="1:12" x14ac:dyDescent="0.25">
      <c r="A765" s="3">
        <v>45690.624050925922</v>
      </c>
      <c r="B765" t="s">
        <v>292</v>
      </c>
      <c r="C765" s="3">
        <v>45690.854641203703</v>
      </c>
      <c r="D765" t="s">
        <v>292</v>
      </c>
      <c r="E765" s="4">
        <v>107.578</v>
      </c>
      <c r="F765" s="4">
        <v>520405.22399999999</v>
      </c>
      <c r="G765" s="4">
        <v>520512.80200000003</v>
      </c>
      <c r="H765" s="5">
        <f>5779 / 86400</f>
        <v>6.6886574074074071E-2</v>
      </c>
      <c r="I765" t="s">
        <v>106</v>
      </c>
      <c r="J765" t="s">
        <v>20</v>
      </c>
      <c r="K765" s="5">
        <f>19922 / 86400</f>
        <v>0.2305787037037037</v>
      </c>
      <c r="L765" s="5">
        <f>1760 / 86400</f>
        <v>2.0370370370370372E-2</v>
      </c>
    </row>
    <row r="766" spans="1:12" x14ac:dyDescent="0.25">
      <c r="A766" s="3">
        <v>45690.87501157407</v>
      </c>
      <c r="B766" t="s">
        <v>292</v>
      </c>
      <c r="C766" s="3">
        <v>45690.875231481477</v>
      </c>
      <c r="D766" t="s">
        <v>292</v>
      </c>
      <c r="E766" s="4">
        <v>0</v>
      </c>
      <c r="F766" s="4">
        <v>520512.80200000003</v>
      </c>
      <c r="G766" s="4">
        <v>520512.80200000003</v>
      </c>
      <c r="H766" s="5">
        <f>0 / 86400</f>
        <v>0</v>
      </c>
      <c r="I766" t="s">
        <v>39</v>
      </c>
      <c r="J766" t="s">
        <v>39</v>
      </c>
      <c r="K766" s="5">
        <f>18 / 86400</f>
        <v>2.0833333333333335E-4</v>
      </c>
      <c r="L766" s="5">
        <f>766 / 86400</f>
        <v>8.86574074074074E-3</v>
      </c>
    </row>
    <row r="767" spans="1:12" x14ac:dyDescent="0.25">
      <c r="A767" s="3">
        <v>45690.884097222224</v>
      </c>
      <c r="B767" t="s">
        <v>292</v>
      </c>
      <c r="C767" s="3">
        <v>45690.902638888889</v>
      </c>
      <c r="D767" t="s">
        <v>90</v>
      </c>
      <c r="E767" s="4">
        <v>6.3029999999999999</v>
      </c>
      <c r="F767" s="4">
        <v>520512.80200000003</v>
      </c>
      <c r="G767" s="4">
        <v>520519.10499999998</v>
      </c>
      <c r="H767" s="5">
        <f>959 / 86400</f>
        <v>1.1099537037037036E-2</v>
      </c>
      <c r="I767" t="s">
        <v>184</v>
      </c>
      <c r="J767" t="s">
        <v>127</v>
      </c>
      <c r="K767" s="5">
        <f>1601 / 86400</f>
        <v>1.8530092592592591E-2</v>
      </c>
      <c r="L767" s="5">
        <f>8411 / 86400</f>
        <v>9.734953703703704E-2</v>
      </c>
    </row>
    <row r="768" spans="1:1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</row>
    <row r="769" spans="1:1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</row>
    <row r="770" spans="1:12" s="10" customFormat="1" ht="20.100000000000001" customHeight="1" x14ac:dyDescent="0.35">
      <c r="A770" s="15" t="s">
        <v>352</v>
      </c>
      <c r="B770" s="15"/>
      <c r="C770" s="15"/>
      <c r="D770" s="15"/>
      <c r="E770" s="15"/>
      <c r="F770" s="15"/>
      <c r="G770" s="15"/>
      <c r="H770" s="15"/>
      <c r="I770" s="15"/>
      <c r="J770" s="15"/>
    </row>
    <row r="771" spans="1:1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</row>
    <row r="772" spans="1:12" ht="30" x14ac:dyDescent="0.25">
      <c r="A772" s="2" t="s">
        <v>6</v>
      </c>
      <c r="B772" s="2" t="s">
        <v>7</v>
      </c>
      <c r="C772" s="2" t="s">
        <v>8</v>
      </c>
      <c r="D772" s="2" t="s">
        <v>9</v>
      </c>
      <c r="E772" s="2" t="s">
        <v>10</v>
      </c>
      <c r="F772" s="2" t="s">
        <v>11</v>
      </c>
      <c r="G772" s="2" t="s">
        <v>12</v>
      </c>
      <c r="H772" s="2" t="s">
        <v>13</v>
      </c>
      <c r="I772" s="2" t="s">
        <v>14</v>
      </c>
      <c r="J772" s="2" t="s">
        <v>15</v>
      </c>
      <c r="K772" s="2" t="s">
        <v>16</v>
      </c>
      <c r="L772" s="2" t="s">
        <v>17</v>
      </c>
    </row>
    <row r="773" spans="1:12" x14ac:dyDescent="0.25">
      <c r="A773" s="3">
        <v>45690.261215277773</v>
      </c>
      <c r="B773" t="s">
        <v>94</v>
      </c>
      <c r="C773" s="3">
        <v>45690.268055555556</v>
      </c>
      <c r="D773" t="s">
        <v>128</v>
      </c>
      <c r="E773" s="4">
        <v>2.1539999999999999</v>
      </c>
      <c r="F773" s="4">
        <v>20936.934000000001</v>
      </c>
      <c r="G773" s="4">
        <v>20939.088</v>
      </c>
      <c r="H773" s="5">
        <f>59 / 86400</f>
        <v>6.8287037037037036E-4</v>
      </c>
      <c r="I773" t="s">
        <v>69</v>
      </c>
      <c r="J773" t="s">
        <v>151</v>
      </c>
      <c r="K773" s="5">
        <f>591 / 86400</f>
        <v>6.8402777777777776E-3</v>
      </c>
      <c r="L773" s="5">
        <f>22578 / 86400</f>
        <v>0.26131944444444444</v>
      </c>
    </row>
    <row r="774" spans="1:12" x14ac:dyDescent="0.25">
      <c r="A774" s="3">
        <v>45690.268159722225</v>
      </c>
      <c r="B774" t="s">
        <v>128</v>
      </c>
      <c r="C774" s="3">
        <v>45690.271157407406</v>
      </c>
      <c r="D774" t="s">
        <v>142</v>
      </c>
      <c r="E774" s="4">
        <v>1.2170000000000001</v>
      </c>
      <c r="F774" s="4">
        <v>20939.088</v>
      </c>
      <c r="G774" s="4">
        <v>20940.305</v>
      </c>
      <c r="H774" s="5">
        <f>3 / 86400</f>
        <v>3.4722222222222222E-5</v>
      </c>
      <c r="I774" t="s">
        <v>136</v>
      </c>
      <c r="J774" t="s">
        <v>27</v>
      </c>
      <c r="K774" s="5">
        <f>259 / 86400</f>
        <v>2.9976851851851853E-3</v>
      </c>
      <c r="L774" s="5">
        <f>1031 / 86400</f>
        <v>1.193287037037037E-2</v>
      </c>
    </row>
    <row r="775" spans="1:12" x14ac:dyDescent="0.25">
      <c r="A775" s="3">
        <v>45690.283090277779</v>
      </c>
      <c r="B775" t="s">
        <v>142</v>
      </c>
      <c r="C775" s="3">
        <v>45690.283414351856</v>
      </c>
      <c r="D775" t="s">
        <v>142</v>
      </c>
      <c r="E775" s="4">
        <v>1.2E-2</v>
      </c>
      <c r="F775" s="4">
        <v>20940.305</v>
      </c>
      <c r="G775" s="4">
        <v>20940.316999999999</v>
      </c>
      <c r="H775" s="5">
        <f>0 / 86400</f>
        <v>0</v>
      </c>
      <c r="I775" t="s">
        <v>75</v>
      </c>
      <c r="J775" t="s">
        <v>79</v>
      </c>
      <c r="K775" s="5">
        <f>28 / 86400</f>
        <v>3.2407407407407406E-4</v>
      </c>
      <c r="L775" s="5">
        <f>753 / 86400</f>
        <v>8.7152777777777784E-3</v>
      </c>
    </row>
    <row r="776" spans="1:12" x14ac:dyDescent="0.25">
      <c r="A776" s="3">
        <v>45690.292129629626</v>
      </c>
      <c r="B776" t="s">
        <v>142</v>
      </c>
      <c r="C776" s="3">
        <v>45690.296770833331</v>
      </c>
      <c r="D776" t="s">
        <v>128</v>
      </c>
      <c r="E776" s="4">
        <v>1.375</v>
      </c>
      <c r="F776" s="4">
        <v>20940.316999999999</v>
      </c>
      <c r="G776" s="4">
        <v>20941.691999999999</v>
      </c>
      <c r="H776" s="5">
        <f>60 / 86400</f>
        <v>6.9444444444444447E-4</v>
      </c>
      <c r="I776" t="s">
        <v>51</v>
      </c>
      <c r="J776" t="s">
        <v>125</v>
      </c>
      <c r="K776" s="5">
        <f>401 / 86400</f>
        <v>4.6412037037037038E-3</v>
      </c>
      <c r="L776" s="5">
        <f>446 / 86400</f>
        <v>5.162037037037037E-3</v>
      </c>
    </row>
    <row r="777" spans="1:12" x14ac:dyDescent="0.25">
      <c r="A777" s="3">
        <v>45690.301932870367</v>
      </c>
      <c r="B777" t="s">
        <v>128</v>
      </c>
      <c r="C777" s="3">
        <v>45690.304085648153</v>
      </c>
      <c r="D777" t="s">
        <v>174</v>
      </c>
      <c r="E777" s="4">
        <v>0.74</v>
      </c>
      <c r="F777" s="4">
        <v>20941.691999999999</v>
      </c>
      <c r="G777" s="4">
        <v>20942.432000000001</v>
      </c>
      <c r="H777" s="5">
        <f>0 / 86400</f>
        <v>0</v>
      </c>
      <c r="I777" t="s">
        <v>30</v>
      </c>
      <c r="J777" t="s">
        <v>127</v>
      </c>
      <c r="K777" s="5">
        <f>185 / 86400</f>
        <v>2.1412037037037038E-3</v>
      </c>
      <c r="L777" s="5">
        <f>54 / 86400</f>
        <v>6.2500000000000001E-4</v>
      </c>
    </row>
    <row r="778" spans="1:12" x14ac:dyDescent="0.25">
      <c r="A778" s="3">
        <v>45690.304710648154</v>
      </c>
      <c r="B778" t="s">
        <v>145</v>
      </c>
      <c r="C778" s="3">
        <v>45690.304861111115</v>
      </c>
      <c r="D778" t="s">
        <v>145</v>
      </c>
      <c r="E778" s="4">
        <v>8.9999999999999993E-3</v>
      </c>
      <c r="F778" s="4">
        <v>20942.432000000001</v>
      </c>
      <c r="G778" s="4">
        <v>20942.440999999999</v>
      </c>
      <c r="H778" s="5">
        <f>0 / 86400</f>
        <v>0</v>
      </c>
      <c r="I778" t="s">
        <v>39</v>
      </c>
      <c r="J778" t="s">
        <v>75</v>
      </c>
      <c r="K778" s="5">
        <f>12 / 86400</f>
        <v>1.3888888888888889E-4</v>
      </c>
      <c r="L778" s="5">
        <f>216 / 86400</f>
        <v>2.5000000000000001E-3</v>
      </c>
    </row>
    <row r="779" spans="1:12" x14ac:dyDescent="0.25">
      <c r="A779" s="3">
        <v>45690.30736111111</v>
      </c>
      <c r="B779" t="s">
        <v>145</v>
      </c>
      <c r="C779" s="3">
        <v>45690.307708333334</v>
      </c>
      <c r="D779" t="s">
        <v>145</v>
      </c>
      <c r="E779" s="4">
        <v>6.0000000000000001E-3</v>
      </c>
      <c r="F779" s="4">
        <v>20942.440999999999</v>
      </c>
      <c r="G779" s="4">
        <v>20942.447</v>
      </c>
      <c r="H779" s="5">
        <f>19 / 86400</f>
        <v>2.199074074074074E-4</v>
      </c>
      <c r="I779" t="s">
        <v>39</v>
      </c>
      <c r="J779" t="s">
        <v>41</v>
      </c>
      <c r="K779" s="5">
        <f>29 / 86400</f>
        <v>3.3564814814814812E-4</v>
      </c>
      <c r="L779" s="5">
        <f>323 / 86400</f>
        <v>3.7384259259259259E-3</v>
      </c>
    </row>
    <row r="780" spans="1:12" x14ac:dyDescent="0.25">
      <c r="A780" s="3">
        <v>45690.31144675926</v>
      </c>
      <c r="B780" t="s">
        <v>145</v>
      </c>
      <c r="C780" s="3">
        <v>45690.312037037038</v>
      </c>
      <c r="D780" t="s">
        <v>145</v>
      </c>
      <c r="E780" s="4">
        <v>5.0000000000000001E-3</v>
      </c>
      <c r="F780" s="4">
        <v>20942.447</v>
      </c>
      <c r="G780" s="4">
        <v>20942.452000000001</v>
      </c>
      <c r="H780" s="5">
        <f>39 / 86400</f>
        <v>4.5138888888888887E-4</v>
      </c>
      <c r="I780" t="s">
        <v>39</v>
      </c>
      <c r="J780" t="s">
        <v>39</v>
      </c>
      <c r="K780" s="5">
        <f>51 / 86400</f>
        <v>5.9027777777777778E-4</v>
      </c>
      <c r="L780" s="5">
        <f>180 / 86400</f>
        <v>2.0833333333333333E-3</v>
      </c>
    </row>
    <row r="781" spans="1:12" x14ac:dyDescent="0.25">
      <c r="A781" s="3">
        <v>45690.314120370371</v>
      </c>
      <c r="B781" t="s">
        <v>145</v>
      </c>
      <c r="C781" s="3">
        <v>45690.425659722227</v>
      </c>
      <c r="D781" t="s">
        <v>220</v>
      </c>
      <c r="E781" s="4">
        <v>50.331000000000003</v>
      </c>
      <c r="F781" s="4">
        <v>20942.452000000001</v>
      </c>
      <c r="G781" s="4">
        <v>20992.782999999999</v>
      </c>
      <c r="H781" s="5">
        <f>2759 / 86400</f>
        <v>3.1932870370370368E-2</v>
      </c>
      <c r="I781" t="s">
        <v>43</v>
      </c>
      <c r="J781" t="s">
        <v>20</v>
      </c>
      <c r="K781" s="5">
        <f>9637 / 86400</f>
        <v>0.11153935185185185</v>
      </c>
      <c r="L781" s="5">
        <f>248 / 86400</f>
        <v>2.8703703703703703E-3</v>
      </c>
    </row>
    <row r="782" spans="1:12" x14ac:dyDescent="0.25">
      <c r="A782" s="3">
        <v>45690.428530092591</v>
      </c>
      <c r="B782" t="s">
        <v>220</v>
      </c>
      <c r="C782" s="3">
        <v>45690.553229166668</v>
      </c>
      <c r="D782" t="s">
        <v>240</v>
      </c>
      <c r="E782" s="4">
        <v>50.63</v>
      </c>
      <c r="F782" s="4">
        <v>20992.782999999999</v>
      </c>
      <c r="G782" s="4">
        <v>21043.413</v>
      </c>
      <c r="H782" s="5">
        <f>3581 / 86400</f>
        <v>4.144675925925926E-2</v>
      </c>
      <c r="I782" t="s">
        <v>96</v>
      </c>
      <c r="J782" t="s">
        <v>27</v>
      </c>
      <c r="K782" s="5">
        <f>10774 / 86400</f>
        <v>0.12469907407407407</v>
      </c>
      <c r="L782" s="5">
        <f>80 / 86400</f>
        <v>9.2592592592592596E-4</v>
      </c>
    </row>
    <row r="783" spans="1:12" x14ac:dyDescent="0.25">
      <c r="A783" s="3">
        <v>45690.554155092592</v>
      </c>
      <c r="B783" t="s">
        <v>240</v>
      </c>
      <c r="C783" s="3">
        <v>45690.556446759263</v>
      </c>
      <c r="D783" t="s">
        <v>44</v>
      </c>
      <c r="E783" s="4">
        <v>0.48699999999999999</v>
      </c>
      <c r="F783" s="4">
        <v>21043.413</v>
      </c>
      <c r="G783" s="4">
        <v>21043.9</v>
      </c>
      <c r="H783" s="5">
        <f>40 / 86400</f>
        <v>4.6296296296296298E-4</v>
      </c>
      <c r="I783" t="s">
        <v>27</v>
      </c>
      <c r="J783" t="s">
        <v>88</v>
      </c>
      <c r="K783" s="5">
        <f>198 / 86400</f>
        <v>2.2916666666666667E-3</v>
      </c>
      <c r="L783" s="5">
        <f>1750 / 86400</f>
        <v>2.0254629629629629E-2</v>
      </c>
    </row>
    <row r="784" spans="1:12" x14ac:dyDescent="0.25">
      <c r="A784" s="3">
        <v>45690.576701388884</v>
      </c>
      <c r="B784" t="s">
        <v>44</v>
      </c>
      <c r="C784" s="3">
        <v>45690.793981481482</v>
      </c>
      <c r="D784" t="s">
        <v>167</v>
      </c>
      <c r="E784" s="4">
        <v>95.326999999999998</v>
      </c>
      <c r="F784" s="4">
        <v>21043.9</v>
      </c>
      <c r="G784" s="4">
        <v>21139.226999999999</v>
      </c>
      <c r="H784" s="5">
        <f>4901 / 86400</f>
        <v>5.6724537037037039E-2</v>
      </c>
      <c r="I784" t="s">
        <v>31</v>
      </c>
      <c r="J784" t="s">
        <v>33</v>
      </c>
      <c r="K784" s="5">
        <f>18773 / 86400</f>
        <v>0.21728009259259259</v>
      </c>
      <c r="L784" s="5">
        <f>434 / 86400</f>
        <v>5.0231481481481481E-3</v>
      </c>
    </row>
    <row r="785" spans="1:12" x14ac:dyDescent="0.25">
      <c r="A785" s="3">
        <v>45690.799004629633</v>
      </c>
      <c r="B785" t="s">
        <v>167</v>
      </c>
      <c r="C785" s="3">
        <v>45690.801053240742</v>
      </c>
      <c r="D785" t="s">
        <v>140</v>
      </c>
      <c r="E785" s="4">
        <v>0.70899999999999996</v>
      </c>
      <c r="F785" s="4">
        <v>21139.226999999999</v>
      </c>
      <c r="G785" s="4">
        <v>21139.936000000002</v>
      </c>
      <c r="H785" s="5">
        <f>20 / 86400</f>
        <v>2.3148148148148149E-4</v>
      </c>
      <c r="I785" t="s">
        <v>136</v>
      </c>
      <c r="J785" t="s">
        <v>127</v>
      </c>
      <c r="K785" s="5">
        <f>177 / 86400</f>
        <v>2.0486111111111113E-3</v>
      </c>
      <c r="L785" s="5">
        <f>216 / 86400</f>
        <v>2.5000000000000001E-3</v>
      </c>
    </row>
    <row r="786" spans="1:12" x14ac:dyDescent="0.25">
      <c r="A786" s="3">
        <v>45690.803553240738</v>
      </c>
      <c r="B786" t="s">
        <v>140</v>
      </c>
      <c r="C786" s="3">
        <v>45690.80678240741</v>
      </c>
      <c r="D786" t="s">
        <v>94</v>
      </c>
      <c r="E786" s="4">
        <v>0.73099999999999998</v>
      </c>
      <c r="F786" s="4">
        <v>21139.936000000002</v>
      </c>
      <c r="G786" s="4">
        <v>21140.667000000001</v>
      </c>
      <c r="H786" s="5">
        <f>40 / 86400</f>
        <v>4.6296296296296298E-4</v>
      </c>
      <c r="I786" t="s">
        <v>84</v>
      </c>
      <c r="J786" t="s">
        <v>88</v>
      </c>
      <c r="K786" s="5">
        <f>279 / 86400</f>
        <v>3.2291666666666666E-3</v>
      </c>
      <c r="L786" s="5">
        <f>16693 / 86400</f>
        <v>0.19320601851851851</v>
      </c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</row>
    <row r="789" spans="1:12" s="10" customFormat="1" ht="20.100000000000001" customHeight="1" x14ac:dyDescent="0.35">
      <c r="A789" s="15" t="s">
        <v>353</v>
      </c>
      <c r="B789" s="15"/>
      <c r="C789" s="15"/>
      <c r="D789" s="15"/>
      <c r="E789" s="15"/>
      <c r="F789" s="15"/>
      <c r="G789" s="15"/>
      <c r="H789" s="15"/>
      <c r="I789" s="15"/>
      <c r="J789" s="15"/>
    </row>
    <row r="790" spans="1:1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</row>
    <row r="791" spans="1:12" ht="30" x14ac:dyDescent="0.25">
      <c r="A791" s="2" t="s">
        <v>6</v>
      </c>
      <c r="B791" s="2" t="s">
        <v>7</v>
      </c>
      <c r="C791" s="2" t="s">
        <v>8</v>
      </c>
      <c r="D791" s="2" t="s">
        <v>9</v>
      </c>
      <c r="E791" s="2" t="s">
        <v>10</v>
      </c>
      <c r="F791" s="2" t="s">
        <v>11</v>
      </c>
      <c r="G791" s="2" t="s">
        <v>12</v>
      </c>
      <c r="H791" s="2" t="s">
        <v>13</v>
      </c>
      <c r="I791" s="2" t="s">
        <v>14</v>
      </c>
      <c r="J791" s="2" t="s">
        <v>15</v>
      </c>
      <c r="K791" s="2" t="s">
        <v>16</v>
      </c>
      <c r="L791" s="2" t="s">
        <v>17</v>
      </c>
    </row>
    <row r="792" spans="1:12" x14ac:dyDescent="0.25">
      <c r="A792" s="3">
        <v>45690.134351851855</v>
      </c>
      <c r="B792" t="s">
        <v>107</v>
      </c>
      <c r="C792" s="3">
        <v>45690.210694444446</v>
      </c>
      <c r="D792" t="s">
        <v>293</v>
      </c>
      <c r="E792" s="4">
        <v>39.020000000000003</v>
      </c>
      <c r="F792" s="4">
        <v>62369.241999999998</v>
      </c>
      <c r="G792" s="4">
        <v>62408.262000000002</v>
      </c>
      <c r="H792" s="5">
        <f>1458 / 86400</f>
        <v>1.6875000000000001E-2</v>
      </c>
      <c r="I792" t="s">
        <v>35</v>
      </c>
      <c r="J792" t="s">
        <v>30</v>
      </c>
      <c r="K792" s="5">
        <f>6595 / 86400</f>
        <v>7.633101851851852E-2</v>
      </c>
      <c r="L792" s="5">
        <f>11975 / 86400</f>
        <v>0.13859953703703703</v>
      </c>
    </row>
    <row r="793" spans="1:12" x14ac:dyDescent="0.25">
      <c r="A793" s="3">
        <v>45690.214942129634</v>
      </c>
      <c r="B793" t="s">
        <v>294</v>
      </c>
      <c r="C793" s="3">
        <v>45690.215208333335</v>
      </c>
      <c r="D793" t="s">
        <v>294</v>
      </c>
      <c r="E793" s="4">
        <v>7.0000000000000001E-3</v>
      </c>
      <c r="F793" s="4">
        <v>62408.262000000002</v>
      </c>
      <c r="G793" s="4">
        <v>62408.269</v>
      </c>
      <c r="H793" s="5">
        <f>0 / 86400</f>
        <v>0</v>
      </c>
      <c r="I793" t="s">
        <v>41</v>
      </c>
      <c r="J793" t="s">
        <v>41</v>
      </c>
      <c r="K793" s="5">
        <f>23 / 86400</f>
        <v>2.6620370370370372E-4</v>
      </c>
      <c r="L793" s="5">
        <f>465 / 86400</f>
        <v>5.3819444444444444E-3</v>
      </c>
    </row>
    <row r="794" spans="1:12" x14ac:dyDescent="0.25">
      <c r="A794" s="3">
        <v>45690.220590277779</v>
      </c>
      <c r="B794" t="s">
        <v>294</v>
      </c>
      <c r="C794" s="3">
        <v>45690.309467592597</v>
      </c>
      <c r="D794" t="s">
        <v>140</v>
      </c>
      <c r="E794" s="4">
        <v>50.362000000000002</v>
      </c>
      <c r="F794" s="4">
        <v>62408.269</v>
      </c>
      <c r="G794" s="4">
        <v>62458.631000000001</v>
      </c>
      <c r="H794" s="5">
        <f>1618 / 86400</f>
        <v>1.8726851851851852E-2</v>
      </c>
      <c r="I794" t="s">
        <v>208</v>
      </c>
      <c r="J794" t="s">
        <v>189</v>
      </c>
      <c r="K794" s="5">
        <f>7679 / 86400</f>
        <v>8.8877314814814812E-2</v>
      </c>
      <c r="L794" s="5">
        <f>287 / 86400</f>
        <v>3.3217592592592591E-3</v>
      </c>
    </row>
    <row r="795" spans="1:12" x14ac:dyDescent="0.25">
      <c r="A795" s="3">
        <v>45690.312789351854</v>
      </c>
      <c r="B795" t="s">
        <v>140</v>
      </c>
      <c r="C795" s="3">
        <v>45690.31313657407</v>
      </c>
      <c r="D795" t="s">
        <v>140</v>
      </c>
      <c r="E795" s="4">
        <v>3.4000000000000002E-2</v>
      </c>
      <c r="F795" s="4">
        <v>62458.631000000001</v>
      </c>
      <c r="G795" s="4">
        <v>62458.665000000001</v>
      </c>
      <c r="H795" s="5">
        <f>0 / 86400</f>
        <v>0</v>
      </c>
      <c r="I795" t="s">
        <v>88</v>
      </c>
      <c r="J795" t="s">
        <v>163</v>
      </c>
      <c r="K795" s="5">
        <f>30 / 86400</f>
        <v>3.4722222222222224E-4</v>
      </c>
      <c r="L795" s="5">
        <f>594 / 86400</f>
        <v>6.875E-3</v>
      </c>
    </row>
    <row r="796" spans="1:12" x14ac:dyDescent="0.25">
      <c r="A796" s="3">
        <v>45690.320011574076</v>
      </c>
      <c r="B796" t="s">
        <v>140</v>
      </c>
      <c r="C796" s="3">
        <v>45690.320787037039</v>
      </c>
      <c r="D796" t="s">
        <v>140</v>
      </c>
      <c r="E796" s="4">
        <v>3.3000000000000002E-2</v>
      </c>
      <c r="F796" s="4">
        <v>62458.665000000001</v>
      </c>
      <c r="G796" s="4">
        <v>62458.697999999997</v>
      </c>
      <c r="H796" s="5">
        <f>39 / 86400</f>
        <v>4.5138888888888887E-4</v>
      </c>
      <c r="I796" t="s">
        <v>91</v>
      </c>
      <c r="J796" t="s">
        <v>79</v>
      </c>
      <c r="K796" s="5">
        <f>67 / 86400</f>
        <v>7.7546296296296293E-4</v>
      </c>
      <c r="L796" s="5">
        <f>351 / 86400</f>
        <v>4.0625000000000001E-3</v>
      </c>
    </row>
    <row r="797" spans="1:12" x14ac:dyDescent="0.25">
      <c r="A797" s="3">
        <v>45690.324849537035</v>
      </c>
      <c r="B797" t="s">
        <v>140</v>
      </c>
      <c r="C797" s="3">
        <v>45690.325578703705</v>
      </c>
      <c r="D797" t="s">
        <v>142</v>
      </c>
      <c r="E797" s="4">
        <v>3.7999999999999999E-2</v>
      </c>
      <c r="F797" s="4">
        <v>62458.697999999997</v>
      </c>
      <c r="G797" s="4">
        <v>62458.735999999997</v>
      </c>
      <c r="H797" s="5">
        <f>40 / 86400</f>
        <v>4.6296296296296298E-4</v>
      </c>
      <c r="I797" t="s">
        <v>38</v>
      </c>
      <c r="J797" t="s">
        <v>79</v>
      </c>
      <c r="K797" s="5">
        <f>63 / 86400</f>
        <v>7.291666666666667E-4</v>
      </c>
      <c r="L797" s="5">
        <f>3088 / 86400</f>
        <v>3.574074074074074E-2</v>
      </c>
    </row>
    <row r="798" spans="1:12" x14ac:dyDescent="0.25">
      <c r="A798" s="3">
        <v>45690.361319444448</v>
      </c>
      <c r="B798" t="s">
        <v>142</v>
      </c>
      <c r="C798" s="3">
        <v>45690.365023148144</v>
      </c>
      <c r="D798" t="s">
        <v>128</v>
      </c>
      <c r="E798" s="4">
        <v>1.3080000000000001</v>
      </c>
      <c r="F798" s="4">
        <v>62458.735999999997</v>
      </c>
      <c r="G798" s="4">
        <v>62460.044000000002</v>
      </c>
      <c r="H798" s="5">
        <f>20 / 86400</f>
        <v>2.3148148148148149E-4</v>
      </c>
      <c r="I798" t="s">
        <v>87</v>
      </c>
      <c r="J798" t="s">
        <v>139</v>
      </c>
      <c r="K798" s="5">
        <f>319 / 86400</f>
        <v>3.6921296296296298E-3</v>
      </c>
      <c r="L798" s="5">
        <f>579 / 86400</f>
        <v>6.7013888888888887E-3</v>
      </c>
    </row>
    <row r="799" spans="1:12" x14ac:dyDescent="0.25">
      <c r="A799" s="3">
        <v>45690.371724537035</v>
      </c>
      <c r="B799" t="s">
        <v>128</v>
      </c>
      <c r="C799" s="3">
        <v>45690.374699074076</v>
      </c>
      <c r="D799" t="s">
        <v>145</v>
      </c>
      <c r="E799" s="4">
        <v>0.77600000000000002</v>
      </c>
      <c r="F799" s="4">
        <v>62460.044000000002</v>
      </c>
      <c r="G799" s="4">
        <v>62460.82</v>
      </c>
      <c r="H799" s="5">
        <f>60 / 86400</f>
        <v>6.9444444444444447E-4</v>
      </c>
      <c r="I799" t="s">
        <v>86</v>
      </c>
      <c r="J799" t="s">
        <v>144</v>
      </c>
      <c r="K799" s="5">
        <f>257 / 86400</f>
        <v>2.9745370370370373E-3</v>
      </c>
      <c r="L799" s="5">
        <f>251 / 86400</f>
        <v>2.9050925925925928E-3</v>
      </c>
    </row>
    <row r="800" spans="1:12" x14ac:dyDescent="0.25">
      <c r="A800" s="3">
        <v>45690.377604166672</v>
      </c>
      <c r="B800" t="s">
        <v>145</v>
      </c>
      <c r="C800" s="3">
        <v>45690.572094907402</v>
      </c>
      <c r="D800" t="s">
        <v>295</v>
      </c>
      <c r="E800" s="4">
        <v>96.581000000000003</v>
      </c>
      <c r="F800" s="4">
        <v>62460.82</v>
      </c>
      <c r="G800" s="4">
        <v>62557.400999999998</v>
      </c>
      <c r="H800" s="5">
        <f>5020 / 86400</f>
        <v>5.8101851851851849E-2</v>
      </c>
      <c r="I800" t="s">
        <v>83</v>
      </c>
      <c r="J800" t="s">
        <v>30</v>
      </c>
      <c r="K800" s="5">
        <f>16804 / 86400</f>
        <v>0.19449074074074074</v>
      </c>
      <c r="L800" s="5">
        <f>218 / 86400</f>
        <v>2.5231481481481481E-3</v>
      </c>
    </row>
    <row r="801" spans="1:12" x14ac:dyDescent="0.25">
      <c r="A801" s="3">
        <v>45690.574618055558</v>
      </c>
      <c r="B801" t="s">
        <v>295</v>
      </c>
      <c r="C801" s="3">
        <v>45690.604259259257</v>
      </c>
      <c r="D801" t="s">
        <v>296</v>
      </c>
      <c r="E801" s="4">
        <v>19.393999999999998</v>
      </c>
      <c r="F801" s="4">
        <v>62557.400999999998</v>
      </c>
      <c r="G801" s="4">
        <v>62576.794999999998</v>
      </c>
      <c r="H801" s="5">
        <f>637 / 86400</f>
        <v>7.3726851851851852E-3</v>
      </c>
      <c r="I801" t="s">
        <v>64</v>
      </c>
      <c r="J801" t="s">
        <v>156</v>
      </c>
      <c r="K801" s="5">
        <f>2560 / 86400</f>
        <v>2.9629629629629631E-2</v>
      </c>
      <c r="L801" s="5">
        <f>110 / 86400</f>
        <v>1.2731481481481483E-3</v>
      </c>
    </row>
    <row r="802" spans="1:12" x14ac:dyDescent="0.25">
      <c r="A802" s="3">
        <v>45690.605532407411</v>
      </c>
      <c r="B802" t="s">
        <v>296</v>
      </c>
      <c r="C802" s="3">
        <v>45690.644768518519</v>
      </c>
      <c r="D802" t="s">
        <v>174</v>
      </c>
      <c r="E802" s="4">
        <v>23.138000000000002</v>
      </c>
      <c r="F802" s="4">
        <v>62576.794999999998</v>
      </c>
      <c r="G802" s="4">
        <v>62599.932999999997</v>
      </c>
      <c r="H802" s="5">
        <f>780 / 86400</f>
        <v>9.0277777777777769E-3</v>
      </c>
      <c r="I802" t="s">
        <v>138</v>
      </c>
      <c r="J802" t="s">
        <v>159</v>
      </c>
      <c r="K802" s="5">
        <f>3389 / 86400</f>
        <v>3.9224537037037037E-2</v>
      </c>
      <c r="L802" s="5">
        <f>278 / 86400</f>
        <v>3.2175925925925926E-3</v>
      </c>
    </row>
    <row r="803" spans="1:12" x14ac:dyDescent="0.25">
      <c r="A803" s="3">
        <v>45690.647986111115</v>
      </c>
      <c r="B803" t="s">
        <v>174</v>
      </c>
      <c r="C803" s="3">
        <v>45690.648125</v>
      </c>
      <c r="D803" t="s">
        <v>145</v>
      </c>
      <c r="E803" s="4">
        <v>6.0000000000000001E-3</v>
      </c>
      <c r="F803" s="4">
        <v>62599.932999999997</v>
      </c>
      <c r="G803" s="4">
        <v>62599.938999999998</v>
      </c>
      <c r="H803" s="5">
        <f>0 / 86400</f>
        <v>0</v>
      </c>
      <c r="I803" t="s">
        <v>39</v>
      </c>
      <c r="J803" t="s">
        <v>79</v>
      </c>
      <c r="K803" s="5">
        <f>12 / 86400</f>
        <v>1.3888888888888889E-4</v>
      </c>
      <c r="L803" s="5">
        <f>380 / 86400</f>
        <v>4.3981481481481484E-3</v>
      </c>
    </row>
    <row r="804" spans="1:12" x14ac:dyDescent="0.25">
      <c r="A804" s="3">
        <v>45690.65252314815</v>
      </c>
      <c r="B804" t="s">
        <v>145</v>
      </c>
      <c r="C804" s="3">
        <v>45690.652685185181</v>
      </c>
      <c r="D804" t="s">
        <v>145</v>
      </c>
      <c r="E804" s="4">
        <v>6.0000000000000001E-3</v>
      </c>
      <c r="F804" s="4">
        <v>62599.938999999998</v>
      </c>
      <c r="G804" s="4">
        <v>62599.945</v>
      </c>
      <c r="H804" s="5">
        <f>0 / 86400</f>
        <v>0</v>
      </c>
      <c r="I804" t="s">
        <v>39</v>
      </c>
      <c r="J804" t="s">
        <v>79</v>
      </c>
      <c r="K804" s="5">
        <f>14 / 86400</f>
        <v>1.6203703703703703E-4</v>
      </c>
      <c r="L804" s="5">
        <f>329 / 86400</f>
        <v>3.8078703703703703E-3</v>
      </c>
    </row>
    <row r="805" spans="1:12" x14ac:dyDescent="0.25">
      <c r="A805" s="3">
        <v>45690.656493055554</v>
      </c>
      <c r="B805" t="s">
        <v>145</v>
      </c>
      <c r="C805" s="3">
        <v>45690.656840277778</v>
      </c>
      <c r="D805" t="s">
        <v>145</v>
      </c>
      <c r="E805" s="4">
        <v>5.0000000000000001E-3</v>
      </c>
      <c r="F805" s="4">
        <v>62599.945</v>
      </c>
      <c r="G805" s="4">
        <v>62599.95</v>
      </c>
      <c r="H805" s="5">
        <f>0 / 86400</f>
        <v>0</v>
      </c>
      <c r="I805" t="s">
        <v>60</v>
      </c>
      <c r="J805" t="s">
        <v>41</v>
      </c>
      <c r="K805" s="5">
        <f>30 / 86400</f>
        <v>3.4722222222222224E-4</v>
      </c>
      <c r="L805" s="5">
        <f>292 / 86400</f>
        <v>3.3796296296296296E-3</v>
      </c>
    </row>
    <row r="806" spans="1:12" x14ac:dyDescent="0.25">
      <c r="A806" s="3">
        <v>45690.660219907411</v>
      </c>
      <c r="B806" t="s">
        <v>145</v>
      </c>
      <c r="C806" s="3">
        <v>45690.706689814819</v>
      </c>
      <c r="D806" t="s">
        <v>112</v>
      </c>
      <c r="E806" s="4">
        <v>22.663</v>
      </c>
      <c r="F806" s="4">
        <v>62599.95</v>
      </c>
      <c r="G806" s="4">
        <v>62622.612999999998</v>
      </c>
      <c r="H806" s="5">
        <f>1079 / 86400</f>
        <v>1.2488425925925925E-2</v>
      </c>
      <c r="I806" t="s">
        <v>43</v>
      </c>
      <c r="J806" t="s">
        <v>58</v>
      </c>
      <c r="K806" s="5">
        <f>4014 / 86400</f>
        <v>4.6458333333333331E-2</v>
      </c>
      <c r="L806" s="5">
        <f>537 / 86400</f>
        <v>6.2152777777777779E-3</v>
      </c>
    </row>
    <row r="807" spans="1:12" x14ac:dyDescent="0.25">
      <c r="A807" s="3">
        <v>45690.712905092594</v>
      </c>
      <c r="B807" t="s">
        <v>112</v>
      </c>
      <c r="C807" s="3">
        <v>45690.71775462963</v>
      </c>
      <c r="D807" t="s">
        <v>37</v>
      </c>
      <c r="E807" s="4">
        <v>2.76</v>
      </c>
      <c r="F807" s="4">
        <v>62622.612999999998</v>
      </c>
      <c r="G807" s="4">
        <v>62625.373</v>
      </c>
      <c r="H807" s="5">
        <f>120 / 86400</f>
        <v>1.3888888888888889E-3</v>
      </c>
      <c r="I807" t="s">
        <v>195</v>
      </c>
      <c r="J807" t="s">
        <v>189</v>
      </c>
      <c r="K807" s="5">
        <f>419 / 86400</f>
        <v>4.8495370370370368E-3</v>
      </c>
      <c r="L807" s="5">
        <f>24385 / 86400</f>
        <v>0.2822337962962963</v>
      </c>
    </row>
    <row r="808" spans="1:12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</row>
    <row r="809" spans="1:1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</row>
    <row r="810" spans="1:12" s="10" customFormat="1" ht="20.100000000000001" customHeight="1" x14ac:dyDescent="0.35">
      <c r="A810" s="15" t="s">
        <v>354</v>
      </c>
      <c r="B810" s="15"/>
      <c r="C810" s="15"/>
      <c r="D810" s="15"/>
      <c r="E810" s="15"/>
      <c r="F810" s="15"/>
      <c r="G810" s="15"/>
      <c r="H810" s="15"/>
      <c r="I810" s="15"/>
      <c r="J810" s="15"/>
    </row>
    <row r="811" spans="1:1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</row>
    <row r="812" spans="1:12" ht="30" x14ac:dyDescent="0.25">
      <c r="A812" s="2" t="s">
        <v>6</v>
      </c>
      <c r="B812" s="2" t="s">
        <v>7</v>
      </c>
      <c r="C812" s="2" t="s">
        <v>8</v>
      </c>
      <c r="D812" s="2" t="s">
        <v>9</v>
      </c>
      <c r="E812" s="2" t="s">
        <v>10</v>
      </c>
      <c r="F812" s="2" t="s">
        <v>11</v>
      </c>
      <c r="G812" s="2" t="s">
        <v>12</v>
      </c>
      <c r="H812" s="2" t="s">
        <v>13</v>
      </c>
      <c r="I812" s="2" t="s">
        <v>14</v>
      </c>
      <c r="J812" s="2" t="s">
        <v>15</v>
      </c>
      <c r="K812" s="2" t="s">
        <v>16</v>
      </c>
      <c r="L812" s="2" t="s">
        <v>17</v>
      </c>
    </row>
    <row r="813" spans="1:12" x14ac:dyDescent="0.25">
      <c r="A813" s="3">
        <v>45690.265381944446</v>
      </c>
      <c r="B813" t="s">
        <v>108</v>
      </c>
      <c r="C813" s="3">
        <v>45690.268518518518</v>
      </c>
      <c r="D813" t="s">
        <v>108</v>
      </c>
      <c r="E813" s="4">
        <v>0</v>
      </c>
      <c r="F813" s="4">
        <v>3885.4940000000001</v>
      </c>
      <c r="G813" s="4">
        <v>3885.4940000000001</v>
      </c>
      <c r="H813" s="5">
        <f>259 / 86400</f>
        <v>2.9976851851851853E-3</v>
      </c>
      <c r="I813" t="s">
        <v>39</v>
      </c>
      <c r="J813" t="s">
        <v>39</v>
      </c>
      <c r="K813" s="5">
        <f>270 / 86400</f>
        <v>3.1250000000000002E-3</v>
      </c>
      <c r="L813" s="5">
        <f>23192 / 86400</f>
        <v>0.2684259259259259</v>
      </c>
    </row>
    <row r="814" spans="1:12" x14ac:dyDescent="0.25">
      <c r="A814" s="3">
        <v>45690.271562499998</v>
      </c>
      <c r="B814" t="s">
        <v>108</v>
      </c>
      <c r="C814" s="3">
        <v>45690.271597222221</v>
      </c>
      <c r="D814" t="s">
        <v>108</v>
      </c>
      <c r="E814" s="4">
        <v>0</v>
      </c>
      <c r="F814" s="4">
        <v>3885.4940000000001</v>
      </c>
      <c r="G814" s="4">
        <v>3885.4940000000001</v>
      </c>
      <c r="H814" s="5">
        <f>0 / 86400</f>
        <v>0</v>
      </c>
      <c r="I814" t="s">
        <v>39</v>
      </c>
      <c r="J814" t="s">
        <v>39</v>
      </c>
      <c r="K814" s="5">
        <f>3 / 86400</f>
        <v>3.4722222222222222E-5</v>
      </c>
      <c r="L814" s="5">
        <f>2 / 86400</f>
        <v>2.3148148148148147E-5</v>
      </c>
    </row>
    <row r="815" spans="1:12" x14ac:dyDescent="0.25">
      <c r="A815" s="3">
        <v>45690.271620370375</v>
      </c>
      <c r="B815" t="s">
        <v>108</v>
      </c>
      <c r="C815" s="3">
        <v>45690.27171296296</v>
      </c>
      <c r="D815" t="s">
        <v>108</v>
      </c>
      <c r="E815" s="4">
        <v>0</v>
      </c>
      <c r="F815" s="4">
        <v>3885.4940000000001</v>
      </c>
      <c r="G815" s="4">
        <v>3885.4940000000001</v>
      </c>
      <c r="H815" s="5">
        <f>0 / 86400</f>
        <v>0</v>
      </c>
      <c r="I815" t="s">
        <v>39</v>
      </c>
      <c r="J815" t="s">
        <v>39</v>
      </c>
      <c r="K815" s="5">
        <f>8 / 86400</f>
        <v>9.2592592592592588E-5</v>
      </c>
      <c r="L815" s="5">
        <f>6 / 86400</f>
        <v>6.9444444444444444E-5</v>
      </c>
    </row>
    <row r="816" spans="1:12" x14ac:dyDescent="0.25">
      <c r="A816" s="3">
        <v>45690.271782407406</v>
      </c>
      <c r="B816" t="s">
        <v>108</v>
      </c>
      <c r="C816" s="3">
        <v>45690.271817129629</v>
      </c>
      <c r="D816" t="s">
        <v>108</v>
      </c>
      <c r="E816" s="4">
        <v>0</v>
      </c>
      <c r="F816" s="4">
        <v>3885.4940000000001</v>
      </c>
      <c r="G816" s="4">
        <v>3885.4940000000001</v>
      </c>
      <c r="H816" s="5">
        <f>0 / 86400</f>
        <v>0</v>
      </c>
      <c r="I816" t="s">
        <v>39</v>
      </c>
      <c r="J816" t="s">
        <v>39</v>
      </c>
      <c r="K816" s="5">
        <f>3 / 86400</f>
        <v>3.4722222222222222E-5</v>
      </c>
      <c r="L816" s="5">
        <f>10 / 86400</f>
        <v>1.1574074074074075E-4</v>
      </c>
    </row>
    <row r="817" spans="1:12" x14ac:dyDescent="0.25">
      <c r="A817" s="3">
        <v>45690.271932870368</v>
      </c>
      <c r="B817" t="s">
        <v>108</v>
      </c>
      <c r="C817" s="3">
        <v>45690.272118055553</v>
      </c>
      <c r="D817" t="s">
        <v>108</v>
      </c>
      <c r="E817" s="4">
        <v>0</v>
      </c>
      <c r="F817" s="4">
        <v>3885.4940000000001</v>
      </c>
      <c r="G817" s="4">
        <v>3885.4940000000001</v>
      </c>
      <c r="H817" s="5">
        <f>7 / 86400</f>
        <v>8.1018518518518516E-5</v>
      </c>
      <c r="I817" t="s">
        <v>39</v>
      </c>
      <c r="J817" t="s">
        <v>39</v>
      </c>
      <c r="K817" s="5">
        <f>16 / 86400</f>
        <v>1.8518518518518518E-4</v>
      </c>
      <c r="L817" s="5">
        <f>2 / 86400</f>
        <v>2.3148148148148147E-5</v>
      </c>
    </row>
    <row r="818" spans="1:12" x14ac:dyDescent="0.25">
      <c r="A818" s="3">
        <v>45690.272141203706</v>
      </c>
      <c r="B818" t="s">
        <v>108</v>
      </c>
      <c r="C818" s="3">
        <v>45690.272233796291</v>
      </c>
      <c r="D818" t="s">
        <v>108</v>
      </c>
      <c r="E818" s="4">
        <v>0</v>
      </c>
      <c r="F818" s="4">
        <v>3885.4940000000001</v>
      </c>
      <c r="G818" s="4">
        <v>3885.4940000000001</v>
      </c>
      <c r="H818" s="5">
        <f>0 / 86400</f>
        <v>0</v>
      </c>
      <c r="I818" t="s">
        <v>39</v>
      </c>
      <c r="J818" t="s">
        <v>39</v>
      </c>
      <c r="K818" s="5">
        <f>8 / 86400</f>
        <v>9.2592592592592588E-5</v>
      </c>
      <c r="L818" s="5">
        <f>17 / 86400</f>
        <v>1.9675925925925926E-4</v>
      </c>
    </row>
    <row r="819" spans="1:12" x14ac:dyDescent="0.25">
      <c r="A819" s="3">
        <v>45690.27243055556</v>
      </c>
      <c r="B819" t="s">
        <v>108</v>
      </c>
      <c r="C819" s="3">
        <v>45690.272743055553</v>
      </c>
      <c r="D819" t="s">
        <v>108</v>
      </c>
      <c r="E819" s="4">
        <v>0</v>
      </c>
      <c r="F819" s="4">
        <v>3885.4940000000001</v>
      </c>
      <c r="G819" s="4">
        <v>3885.4940000000001</v>
      </c>
      <c r="H819" s="5">
        <f>19 / 86400</f>
        <v>2.199074074074074E-4</v>
      </c>
      <c r="I819" t="s">
        <v>39</v>
      </c>
      <c r="J819" t="s">
        <v>39</v>
      </c>
      <c r="K819" s="5">
        <f>26 / 86400</f>
        <v>3.0092592592592595E-4</v>
      </c>
      <c r="L819" s="5">
        <f>6 / 86400</f>
        <v>6.9444444444444444E-5</v>
      </c>
    </row>
    <row r="820" spans="1:12" x14ac:dyDescent="0.25">
      <c r="A820" s="3">
        <v>45690.272812499999</v>
      </c>
      <c r="B820" t="s">
        <v>108</v>
      </c>
      <c r="C820" s="3">
        <v>45690.273136574076</v>
      </c>
      <c r="D820" t="s">
        <v>108</v>
      </c>
      <c r="E820" s="4">
        <v>0</v>
      </c>
      <c r="F820" s="4">
        <v>3885.4940000000001</v>
      </c>
      <c r="G820" s="4">
        <v>3885.4940000000001</v>
      </c>
      <c r="H820" s="5">
        <f>27 / 86400</f>
        <v>3.1250000000000001E-4</v>
      </c>
      <c r="I820" t="s">
        <v>39</v>
      </c>
      <c r="J820" t="s">
        <v>39</v>
      </c>
      <c r="K820" s="5">
        <f>28 / 86400</f>
        <v>3.2407407407407406E-4</v>
      </c>
      <c r="L820" s="5">
        <f>3 / 86400</f>
        <v>3.4722222222222222E-5</v>
      </c>
    </row>
    <row r="821" spans="1:12" x14ac:dyDescent="0.25">
      <c r="A821" s="3">
        <v>45690.2731712963</v>
      </c>
      <c r="B821" t="s">
        <v>108</v>
      </c>
      <c r="C821" s="3">
        <v>45690.273229166662</v>
      </c>
      <c r="D821" t="s">
        <v>108</v>
      </c>
      <c r="E821" s="4">
        <v>0</v>
      </c>
      <c r="F821" s="4">
        <v>3885.4940000000001</v>
      </c>
      <c r="G821" s="4">
        <v>3885.4940000000001</v>
      </c>
      <c r="H821" s="5">
        <f>0 / 86400</f>
        <v>0</v>
      </c>
      <c r="I821" t="s">
        <v>39</v>
      </c>
      <c r="J821" t="s">
        <v>39</v>
      </c>
      <c r="K821" s="5">
        <f>5 / 86400</f>
        <v>5.7870370370370373E-5</v>
      </c>
      <c r="L821" s="5">
        <f>39 / 86400</f>
        <v>4.5138888888888887E-4</v>
      </c>
    </row>
    <row r="822" spans="1:12" x14ac:dyDescent="0.25">
      <c r="A822" s="3">
        <v>45690.273680555554</v>
      </c>
      <c r="B822" t="s">
        <v>108</v>
      </c>
      <c r="C822" s="3">
        <v>45690.2737962963</v>
      </c>
      <c r="D822" t="s">
        <v>108</v>
      </c>
      <c r="E822" s="4">
        <v>0</v>
      </c>
      <c r="F822" s="4">
        <v>3885.4940000000001</v>
      </c>
      <c r="G822" s="4">
        <v>3885.4940000000001</v>
      </c>
      <c r="H822" s="5">
        <f>0 / 86400</f>
        <v>0</v>
      </c>
      <c r="I822" t="s">
        <v>39</v>
      </c>
      <c r="J822" t="s">
        <v>39</v>
      </c>
      <c r="K822" s="5">
        <f>9 / 86400</f>
        <v>1.0416666666666667E-4</v>
      </c>
      <c r="L822" s="5">
        <f>4 / 86400</f>
        <v>4.6296296296296294E-5</v>
      </c>
    </row>
    <row r="823" spans="1:12" x14ac:dyDescent="0.25">
      <c r="A823" s="3">
        <v>45690.273842592593</v>
      </c>
      <c r="B823" t="s">
        <v>108</v>
      </c>
      <c r="C823" s="3">
        <v>45690.281122685185</v>
      </c>
      <c r="D823" t="s">
        <v>108</v>
      </c>
      <c r="E823" s="4">
        <v>0</v>
      </c>
      <c r="F823" s="4">
        <v>3885.4940000000001</v>
      </c>
      <c r="G823" s="4">
        <v>3885.4940000000001</v>
      </c>
      <c r="H823" s="5">
        <f>626 / 86400</f>
        <v>7.2453703703703708E-3</v>
      </c>
      <c r="I823" t="s">
        <v>39</v>
      </c>
      <c r="J823" t="s">
        <v>39</v>
      </c>
      <c r="K823" s="5">
        <f>629 / 86400</f>
        <v>7.2800925925925923E-3</v>
      </c>
      <c r="L823" s="5">
        <f>273 / 86400</f>
        <v>3.1597222222222222E-3</v>
      </c>
    </row>
    <row r="824" spans="1:12" x14ac:dyDescent="0.25">
      <c r="A824" s="3">
        <v>45690.284282407403</v>
      </c>
      <c r="B824" t="s">
        <v>108</v>
      </c>
      <c r="C824" s="3">
        <v>45690.284803240742</v>
      </c>
      <c r="D824" t="s">
        <v>108</v>
      </c>
      <c r="E824" s="4">
        <v>0</v>
      </c>
      <c r="F824" s="4">
        <v>3885.4940000000001</v>
      </c>
      <c r="G824" s="4">
        <v>3885.4940000000001</v>
      </c>
      <c r="H824" s="5">
        <f>39 / 86400</f>
        <v>4.5138888888888887E-4</v>
      </c>
      <c r="I824" t="s">
        <v>39</v>
      </c>
      <c r="J824" t="s">
        <v>39</v>
      </c>
      <c r="K824" s="5">
        <f>45 / 86400</f>
        <v>5.2083333333333333E-4</v>
      </c>
      <c r="L824" s="5">
        <f>98 / 86400</f>
        <v>1.1342592592592593E-3</v>
      </c>
    </row>
    <row r="825" spans="1:12" x14ac:dyDescent="0.25">
      <c r="A825" s="3">
        <v>45690.285937499997</v>
      </c>
      <c r="B825" t="s">
        <v>108</v>
      </c>
      <c r="C825" s="3">
        <v>45690.286030092597</v>
      </c>
      <c r="D825" t="s">
        <v>108</v>
      </c>
      <c r="E825" s="4">
        <v>0</v>
      </c>
      <c r="F825" s="4">
        <v>3885.4940000000001</v>
      </c>
      <c r="G825" s="4">
        <v>3885.4940000000001</v>
      </c>
      <c r="H825" s="5">
        <f>0 / 86400</f>
        <v>0</v>
      </c>
      <c r="I825" t="s">
        <v>39</v>
      </c>
      <c r="J825" t="s">
        <v>39</v>
      </c>
      <c r="K825" s="5">
        <f>8 / 86400</f>
        <v>9.2592592592592588E-5</v>
      </c>
      <c r="L825" s="5">
        <f>111 / 86400</f>
        <v>1.2847222222222223E-3</v>
      </c>
    </row>
    <row r="826" spans="1:12" x14ac:dyDescent="0.25">
      <c r="A826" s="3">
        <v>45690.287314814814</v>
      </c>
      <c r="B826" t="s">
        <v>108</v>
      </c>
      <c r="C826" s="3">
        <v>45690.288136574076</v>
      </c>
      <c r="D826" t="s">
        <v>108</v>
      </c>
      <c r="E826" s="4">
        <v>0</v>
      </c>
      <c r="F826" s="4">
        <v>3885.4940000000001</v>
      </c>
      <c r="G826" s="4">
        <v>3885.4940000000001</v>
      </c>
      <c r="H826" s="5">
        <f>59 / 86400</f>
        <v>6.8287037037037036E-4</v>
      </c>
      <c r="I826" t="s">
        <v>39</v>
      </c>
      <c r="J826" t="s">
        <v>39</v>
      </c>
      <c r="K826" s="5">
        <f>71 / 86400</f>
        <v>8.2175925925925927E-4</v>
      </c>
      <c r="L826" s="5">
        <f>582 / 86400</f>
        <v>6.7361111111111111E-3</v>
      </c>
    </row>
    <row r="827" spans="1:12" x14ac:dyDescent="0.25">
      <c r="A827" s="3">
        <v>45690.29487268519</v>
      </c>
      <c r="B827" t="s">
        <v>108</v>
      </c>
      <c r="C827" s="3">
        <v>45690.350011574075</v>
      </c>
      <c r="D827" t="s">
        <v>108</v>
      </c>
      <c r="E827" s="4">
        <v>0</v>
      </c>
      <c r="F827" s="4">
        <v>3885.4940000000001</v>
      </c>
      <c r="G827" s="4">
        <v>3885.4940000000001</v>
      </c>
      <c r="H827" s="5">
        <f>4749 / 86400</f>
        <v>5.496527777777778E-2</v>
      </c>
      <c r="I827" t="s">
        <v>39</v>
      </c>
      <c r="J827" t="s">
        <v>39</v>
      </c>
      <c r="K827" s="5">
        <f>4764 / 86400</f>
        <v>5.513888888888889E-2</v>
      </c>
      <c r="L827" s="5">
        <f>583 / 86400</f>
        <v>6.7476851851851856E-3</v>
      </c>
    </row>
    <row r="828" spans="1:12" x14ac:dyDescent="0.25">
      <c r="A828" s="3">
        <v>45690.356759259259</v>
      </c>
      <c r="B828" t="s">
        <v>108</v>
      </c>
      <c r="C828" s="3">
        <v>45690.356956018513</v>
      </c>
      <c r="D828" t="s">
        <v>108</v>
      </c>
      <c r="E828" s="4">
        <v>0</v>
      </c>
      <c r="F828" s="4">
        <v>3885.4940000000001</v>
      </c>
      <c r="G828" s="4">
        <v>3885.4940000000001</v>
      </c>
      <c r="H828" s="5">
        <f>0 / 86400</f>
        <v>0</v>
      </c>
      <c r="I828" t="s">
        <v>39</v>
      </c>
      <c r="J828" t="s">
        <v>39</v>
      </c>
      <c r="K828" s="5">
        <f>16 / 86400</f>
        <v>1.8518518518518518E-4</v>
      </c>
      <c r="L828" s="5">
        <f>265 / 86400</f>
        <v>3.0671296296296297E-3</v>
      </c>
    </row>
    <row r="829" spans="1:12" x14ac:dyDescent="0.25">
      <c r="A829" s="3">
        <v>45690.360023148147</v>
      </c>
      <c r="B829" t="s">
        <v>108</v>
      </c>
      <c r="C829" s="3">
        <v>45690.360254629632</v>
      </c>
      <c r="D829" t="s">
        <v>108</v>
      </c>
      <c r="E829" s="4">
        <v>0</v>
      </c>
      <c r="F829" s="4">
        <v>3885.4940000000001</v>
      </c>
      <c r="G829" s="4">
        <v>3885.4940000000001</v>
      </c>
      <c r="H829" s="5">
        <f>0 / 86400</f>
        <v>0</v>
      </c>
      <c r="I829" t="s">
        <v>39</v>
      </c>
      <c r="J829" t="s">
        <v>39</v>
      </c>
      <c r="K829" s="5">
        <f>19 / 86400</f>
        <v>2.199074074074074E-4</v>
      </c>
      <c r="L829" s="5">
        <f>192 / 86400</f>
        <v>2.2222222222222222E-3</v>
      </c>
    </row>
    <row r="830" spans="1:12" x14ac:dyDescent="0.25">
      <c r="A830" s="3">
        <v>45690.362476851849</v>
      </c>
      <c r="B830" t="s">
        <v>108</v>
      </c>
      <c r="C830" s="3">
        <v>45690.3746875</v>
      </c>
      <c r="D830" t="s">
        <v>108</v>
      </c>
      <c r="E830" s="4">
        <v>0</v>
      </c>
      <c r="F830" s="4">
        <v>3885.4940000000001</v>
      </c>
      <c r="G830" s="4">
        <v>3885.4940000000001</v>
      </c>
      <c r="H830" s="5">
        <f>1039 / 86400</f>
        <v>1.2025462962962963E-2</v>
      </c>
      <c r="I830" t="s">
        <v>39</v>
      </c>
      <c r="J830" t="s">
        <v>39</v>
      </c>
      <c r="K830" s="5">
        <f>1054 / 86400</f>
        <v>1.2199074074074074E-2</v>
      </c>
      <c r="L830" s="5">
        <f>25044 / 86400</f>
        <v>0.28986111111111112</v>
      </c>
    </row>
    <row r="831" spans="1:12" x14ac:dyDescent="0.25">
      <c r="A831" s="3">
        <v>45690.664548611108</v>
      </c>
      <c r="B831" t="s">
        <v>108</v>
      </c>
      <c r="C831" s="3">
        <v>45690.666817129633</v>
      </c>
      <c r="D831" t="s">
        <v>108</v>
      </c>
      <c r="E831" s="4">
        <v>0</v>
      </c>
      <c r="F831" s="4">
        <v>3885.4940000000001</v>
      </c>
      <c r="G831" s="4">
        <v>3885.4940000000001</v>
      </c>
      <c r="H831" s="5">
        <f>179 / 86400</f>
        <v>2.0717592592592593E-3</v>
      </c>
      <c r="I831" t="s">
        <v>39</v>
      </c>
      <c r="J831" t="s">
        <v>39</v>
      </c>
      <c r="K831" s="5">
        <f>196 / 86400</f>
        <v>2.2685185185185187E-3</v>
      </c>
      <c r="L831" s="5">
        <f>3479 / 86400</f>
        <v>4.0266203703703707E-2</v>
      </c>
    </row>
    <row r="832" spans="1:12" x14ac:dyDescent="0.25">
      <c r="A832" s="3">
        <v>45690.707083333335</v>
      </c>
      <c r="B832" t="s">
        <v>108</v>
      </c>
      <c r="C832" s="3">
        <v>45690.70716435185</v>
      </c>
      <c r="D832" t="s">
        <v>108</v>
      </c>
      <c r="E832" s="4">
        <v>0</v>
      </c>
      <c r="F832" s="4">
        <v>3885.4940000000001</v>
      </c>
      <c r="G832" s="4">
        <v>3885.4940000000001</v>
      </c>
      <c r="H832" s="5">
        <f t="shared" ref="H832:H837" si="4">0 / 86400</f>
        <v>0</v>
      </c>
      <c r="I832" t="s">
        <v>39</v>
      </c>
      <c r="J832" t="s">
        <v>39</v>
      </c>
      <c r="K832" s="5">
        <f>6 / 86400</f>
        <v>6.9444444444444444E-5</v>
      </c>
      <c r="L832" s="5">
        <f>9 / 86400</f>
        <v>1.0416666666666667E-4</v>
      </c>
    </row>
    <row r="833" spans="1:12" x14ac:dyDescent="0.25">
      <c r="A833" s="3">
        <v>45690.707268518519</v>
      </c>
      <c r="B833" t="s">
        <v>108</v>
      </c>
      <c r="C833" s="3">
        <v>45690.707303240742</v>
      </c>
      <c r="D833" t="s">
        <v>108</v>
      </c>
      <c r="E833" s="4">
        <v>0</v>
      </c>
      <c r="F833" s="4">
        <v>3885.4940000000001</v>
      </c>
      <c r="G833" s="4">
        <v>3885.4940000000001</v>
      </c>
      <c r="H833" s="5">
        <f t="shared" si="4"/>
        <v>0</v>
      </c>
      <c r="I833" t="s">
        <v>39</v>
      </c>
      <c r="J833" t="s">
        <v>39</v>
      </c>
      <c r="K833" s="5">
        <f>3 / 86400</f>
        <v>3.4722222222222222E-5</v>
      </c>
      <c r="L833" s="5">
        <f>10 / 86400</f>
        <v>1.1574074074074075E-4</v>
      </c>
    </row>
    <row r="834" spans="1:12" x14ac:dyDescent="0.25">
      <c r="A834" s="3">
        <v>45690.707418981481</v>
      </c>
      <c r="B834" t="s">
        <v>108</v>
      </c>
      <c r="C834" s="3">
        <v>45690.707500000004</v>
      </c>
      <c r="D834" t="s">
        <v>108</v>
      </c>
      <c r="E834" s="4">
        <v>0</v>
      </c>
      <c r="F834" s="4">
        <v>3885.4940000000001</v>
      </c>
      <c r="G834" s="4">
        <v>3885.4940000000001</v>
      </c>
      <c r="H834" s="5">
        <f t="shared" si="4"/>
        <v>0</v>
      </c>
      <c r="I834" t="s">
        <v>39</v>
      </c>
      <c r="J834" t="s">
        <v>39</v>
      </c>
      <c r="K834" s="5">
        <f>7 / 86400</f>
        <v>8.1018518518518516E-5</v>
      </c>
      <c r="L834" s="5">
        <f>7 / 86400</f>
        <v>8.1018518518518516E-5</v>
      </c>
    </row>
    <row r="835" spans="1:12" x14ac:dyDescent="0.25">
      <c r="A835" s="3">
        <v>45690.70758101852</v>
      </c>
      <c r="B835" t="s">
        <v>108</v>
      </c>
      <c r="C835" s="3">
        <v>45690.707604166666</v>
      </c>
      <c r="D835" t="s">
        <v>108</v>
      </c>
      <c r="E835" s="4">
        <v>0</v>
      </c>
      <c r="F835" s="4">
        <v>3885.4940000000001</v>
      </c>
      <c r="G835" s="4">
        <v>3885.4940000000001</v>
      </c>
      <c r="H835" s="5">
        <f t="shared" si="4"/>
        <v>0</v>
      </c>
      <c r="I835" t="s">
        <v>39</v>
      </c>
      <c r="J835" t="s">
        <v>39</v>
      </c>
      <c r="K835" s="5">
        <f>2 / 86400</f>
        <v>2.3148148148148147E-5</v>
      </c>
      <c r="L835" s="5">
        <f>1 / 86400</f>
        <v>1.1574074074074073E-5</v>
      </c>
    </row>
    <row r="836" spans="1:12" x14ac:dyDescent="0.25">
      <c r="A836" s="3">
        <v>45690.707615740743</v>
      </c>
      <c r="B836" t="s">
        <v>108</v>
      </c>
      <c r="C836" s="3">
        <v>45690.707824074074</v>
      </c>
      <c r="D836" t="s">
        <v>108</v>
      </c>
      <c r="E836" s="4">
        <v>0</v>
      </c>
      <c r="F836" s="4">
        <v>3885.4940000000001</v>
      </c>
      <c r="G836" s="4">
        <v>3885.4940000000001</v>
      </c>
      <c r="H836" s="5">
        <f t="shared" si="4"/>
        <v>0</v>
      </c>
      <c r="I836" t="s">
        <v>39</v>
      </c>
      <c r="J836" t="s">
        <v>39</v>
      </c>
      <c r="K836" s="5">
        <f>17 / 86400</f>
        <v>1.9675925925925926E-4</v>
      </c>
      <c r="L836" s="5">
        <f>8 / 86400</f>
        <v>9.2592592592592588E-5</v>
      </c>
    </row>
    <row r="837" spans="1:12" x14ac:dyDescent="0.25">
      <c r="A837" s="3">
        <v>45690.707916666666</v>
      </c>
      <c r="B837" t="s">
        <v>108</v>
      </c>
      <c r="C837" s="3">
        <v>45690.707997685182</v>
      </c>
      <c r="D837" t="s">
        <v>108</v>
      </c>
      <c r="E837" s="4">
        <v>0</v>
      </c>
      <c r="F837" s="4">
        <v>3885.4940000000001</v>
      </c>
      <c r="G837" s="4">
        <v>3885.4940000000001</v>
      </c>
      <c r="H837" s="5">
        <f t="shared" si="4"/>
        <v>0</v>
      </c>
      <c r="I837" t="s">
        <v>39</v>
      </c>
      <c r="J837" t="s">
        <v>39</v>
      </c>
      <c r="K837" s="5">
        <f>6 / 86400</f>
        <v>6.9444444444444444E-5</v>
      </c>
      <c r="L837" s="5">
        <f>7 / 86400</f>
        <v>8.1018518518518516E-5</v>
      </c>
    </row>
    <row r="838" spans="1:12" x14ac:dyDescent="0.25">
      <c r="A838" s="3">
        <v>45690.708078703705</v>
      </c>
      <c r="B838" t="s">
        <v>108</v>
      </c>
      <c r="C838" s="3">
        <v>45690.837893518517</v>
      </c>
      <c r="D838" t="s">
        <v>108</v>
      </c>
      <c r="E838" s="4">
        <v>0</v>
      </c>
      <c r="F838" s="4">
        <v>3885.4940000000001</v>
      </c>
      <c r="G838" s="4">
        <v>3885.4940000000001</v>
      </c>
      <c r="H838" s="5">
        <f>11210 / 86400</f>
        <v>0.12974537037037037</v>
      </c>
      <c r="I838" t="s">
        <v>39</v>
      </c>
      <c r="J838" t="s">
        <v>39</v>
      </c>
      <c r="K838" s="5">
        <f>11216 / 86400</f>
        <v>0.12981481481481483</v>
      </c>
      <c r="L838" s="5">
        <f>1165 / 86400</f>
        <v>1.3483796296296296E-2</v>
      </c>
    </row>
    <row r="839" spans="1:12" x14ac:dyDescent="0.25">
      <c r="A839" s="3">
        <v>45690.851377314815</v>
      </c>
      <c r="B839" t="s">
        <v>108</v>
      </c>
      <c r="C839" s="3">
        <v>45690.851793981477</v>
      </c>
      <c r="D839" t="s">
        <v>108</v>
      </c>
      <c r="E839" s="4">
        <v>0</v>
      </c>
      <c r="F839" s="4">
        <v>3885.4940000000001</v>
      </c>
      <c r="G839" s="4">
        <v>3885.4940000000001</v>
      </c>
      <c r="H839" s="5">
        <f>19 / 86400</f>
        <v>2.199074074074074E-4</v>
      </c>
      <c r="I839" t="s">
        <v>39</v>
      </c>
      <c r="J839" t="s">
        <v>39</v>
      </c>
      <c r="K839" s="5">
        <f>36 / 86400</f>
        <v>4.1666666666666669E-4</v>
      </c>
      <c r="L839" s="5">
        <f>154 / 86400</f>
        <v>1.7824074074074075E-3</v>
      </c>
    </row>
    <row r="840" spans="1:12" x14ac:dyDescent="0.25">
      <c r="A840" s="3">
        <v>45690.853576388894</v>
      </c>
      <c r="B840" t="s">
        <v>108</v>
      </c>
      <c r="C840" s="3">
        <v>45690.86347222222</v>
      </c>
      <c r="D840" t="s">
        <v>108</v>
      </c>
      <c r="E840" s="4">
        <v>0</v>
      </c>
      <c r="F840" s="4">
        <v>3885.4940000000001</v>
      </c>
      <c r="G840" s="4">
        <v>3885.4940000000001</v>
      </c>
      <c r="H840" s="5">
        <f>839 / 86400</f>
        <v>9.7106481481481488E-3</v>
      </c>
      <c r="I840" t="s">
        <v>39</v>
      </c>
      <c r="J840" t="s">
        <v>39</v>
      </c>
      <c r="K840" s="5">
        <f>855 / 86400</f>
        <v>9.8958333333333329E-3</v>
      </c>
      <c r="L840" s="5">
        <f>329 / 86400</f>
        <v>3.8078703703703703E-3</v>
      </c>
    </row>
    <row r="841" spans="1:12" x14ac:dyDescent="0.25">
      <c r="A841" s="3">
        <v>45690.867280092592</v>
      </c>
      <c r="B841" t="s">
        <v>108</v>
      </c>
      <c r="C841" s="3">
        <v>45690.872627314813</v>
      </c>
      <c r="D841" t="s">
        <v>108</v>
      </c>
      <c r="E841" s="4">
        <v>0</v>
      </c>
      <c r="F841" s="4">
        <v>3885.4940000000001</v>
      </c>
      <c r="G841" s="4">
        <v>3885.4940000000001</v>
      </c>
      <c r="H841" s="5">
        <f>459 / 86400</f>
        <v>5.3125000000000004E-3</v>
      </c>
      <c r="I841" t="s">
        <v>39</v>
      </c>
      <c r="J841" t="s">
        <v>39</v>
      </c>
      <c r="K841" s="5">
        <f>462 / 86400</f>
        <v>5.347222222222222E-3</v>
      </c>
      <c r="L841" s="5">
        <f>1647 / 86400</f>
        <v>1.90625E-2</v>
      </c>
    </row>
    <row r="842" spans="1:12" x14ac:dyDescent="0.25">
      <c r="A842" s="3">
        <v>45690.891689814816</v>
      </c>
      <c r="B842" t="s">
        <v>108</v>
      </c>
      <c r="C842" s="3">
        <v>45690.894270833334</v>
      </c>
      <c r="D842" t="s">
        <v>108</v>
      </c>
      <c r="E842" s="4">
        <v>3.9E-2</v>
      </c>
      <c r="F842" s="4">
        <v>3885.4940000000001</v>
      </c>
      <c r="G842" s="4">
        <v>3885.5329999999999</v>
      </c>
      <c r="H842" s="5">
        <f>179 / 86400</f>
        <v>2.0717592592592593E-3</v>
      </c>
      <c r="I842" t="s">
        <v>91</v>
      </c>
      <c r="J842" t="s">
        <v>41</v>
      </c>
      <c r="K842" s="5">
        <f>222 / 86400</f>
        <v>2.5694444444444445E-3</v>
      </c>
      <c r="L842" s="5">
        <f>9134 / 86400</f>
        <v>0.1057175925925926</v>
      </c>
    </row>
    <row r="843" spans="1:1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</row>
    <row r="844" spans="1:1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</row>
    <row r="845" spans="1:12" s="10" customFormat="1" ht="20.100000000000001" customHeight="1" x14ac:dyDescent="0.35">
      <c r="A845" s="15" t="s">
        <v>355</v>
      </c>
      <c r="B845" s="15"/>
      <c r="C845" s="15"/>
      <c r="D845" s="15"/>
      <c r="E845" s="15"/>
      <c r="F845" s="15"/>
      <c r="G845" s="15"/>
      <c r="H845" s="15"/>
      <c r="I845" s="15"/>
      <c r="J845" s="15"/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2" ht="30" x14ac:dyDescent="0.25">
      <c r="A847" s="2" t="s">
        <v>6</v>
      </c>
      <c r="B847" s="2" t="s">
        <v>7</v>
      </c>
      <c r="C847" s="2" t="s">
        <v>8</v>
      </c>
      <c r="D847" s="2" t="s">
        <v>9</v>
      </c>
      <c r="E847" s="2" t="s">
        <v>10</v>
      </c>
      <c r="F847" s="2" t="s">
        <v>11</v>
      </c>
      <c r="G847" s="2" t="s">
        <v>12</v>
      </c>
      <c r="H847" s="2" t="s">
        <v>13</v>
      </c>
      <c r="I847" s="2" t="s">
        <v>14</v>
      </c>
      <c r="J847" s="2" t="s">
        <v>15</v>
      </c>
      <c r="K847" s="2" t="s">
        <v>16</v>
      </c>
      <c r="L847" s="2" t="s">
        <v>17</v>
      </c>
    </row>
    <row r="848" spans="1:12" x14ac:dyDescent="0.25">
      <c r="A848" s="3">
        <v>45690</v>
      </c>
      <c r="B848" t="s">
        <v>109</v>
      </c>
      <c r="C848" s="3">
        <v>45690.051724537036</v>
      </c>
      <c r="D848" t="s">
        <v>247</v>
      </c>
      <c r="E848" s="4">
        <v>30.536000000000001</v>
      </c>
      <c r="F848" s="4">
        <v>405824.266</v>
      </c>
      <c r="G848" s="4">
        <v>405854.80200000003</v>
      </c>
      <c r="H848" s="5">
        <f>1480 / 86400</f>
        <v>1.712962962962963E-2</v>
      </c>
      <c r="I848" t="s">
        <v>176</v>
      </c>
      <c r="J848" t="s">
        <v>159</v>
      </c>
      <c r="K848" s="5">
        <f>4469 / 86400</f>
        <v>5.1724537037037034E-2</v>
      </c>
      <c r="L848" s="5">
        <f>258 / 86400</f>
        <v>2.9861111111111113E-3</v>
      </c>
    </row>
    <row r="849" spans="1:12" x14ac:dyDescent="0.25">
      <c r="A849" s="3">
        <v>45690.054710648154</v>
      </c>
      <c r="B849" t="s">
        <v>247</v>
      </c>
      <c r="C849" s="3">
        <v>45690.054895833338</v>
      </c>
      <c r="D849" t="s">
        <v>248</v>
      </c>
      <c r="E849" s="4">
        <v>6.0000000000000001E-3</v>
      </c>
      <c r="F849" s="4">
        <v>405854.80200000003</v>
      </c>
      <c r="G849" s="4">
        <v>405854.80800000002</v>
      </c>
      <c r="H849" s="5">
        <f>0 / 86400</f>
        <v>0</v>
      </c>
      <c r="I849" t="s">
        <v>60</v>
      </c>
      <c r="J849" t="s">
        <v>41</v>
      </c>
      <c r="K849" s="5">
        <f>15 / 86400</f>
        <v>1.7361111111111112E-4</v>
      </c>
      <c r="L849" s="5">
        <f>372 / 86400</f>
        <v>4.3055555555555555E-3</v>
      </c>
    </row>
    <row r="850" spans="1:12" x14ac:dyDescent="0.25">
      <c r="A850" s="3">
        <v>45690.059201388889</v>
      </c>
      <c r="B850" t="s">
        <v>248</v>
      </c>
      <c r="C850" s="3">
        <v>45690.05940972222</v>
      </c>
      <c r="D850" t="s">
        <v>248</v>
      </c>
      <c r="E850" s="4">
        <v>0.01</v>
      </c>
      <c r="F850" s="4">
        <v>405854.80800000002</v>
      </c>
      <c r="G850" s="4">
        <v>405854.81800000003</v>
      </c>
      <c r="H850" s="5">
        <f>0 / 86400</f>
        <v>0</v>
      </c>
      <c r="I850" t="s">
        <v>39</v>
      </c>
      <c r="J850" t="s">
        <v>79</v>
      </c>
      <c r="K850" s="5">
        <f>18 / 86400</f>
        <v>2.0833333333333335E-4</v>
      </c>
      <c r="L850" s="5">
        <f>781 / 86400</f>
        <v>9.0393518518518522E-3</v>
      </c>
    </row>
    <row r="851" spans="1:12" x14ac:dyDescent="0.25">
      <c r="A851" s="3">
        <v>45690.068449074075</v>
      </c>
      <c r="B851" t="s">
        <v>247</v>
      </c>
      <c r="C851" s="3">
        <v>45690.072662037041</v>
      </c>
      <c r="D851" t="s">
        <v>247</v>
      </c>
      <c r="E851" s="4">
        <v>1.7000000000000001E-2</v>
      </c>
      <c r="F851" s="4">
        <v>405854.81800000003</v>
      </c>
      <c r="G851" s="4">
        <v>405854.83500000002</v>
      </c>
      <c r="H851" s="5">
        <f>359 / 86400</f>
        <v>4.1550925925925922E-3</v>
      </c>
      <c r="I851" t="s">
        <v>39</v>
      </c>
      <c r="J851" t="s">
        <v>39</v>
      </c>
      <c r="K851" s="5">
        <f>364 / 86400</f>
        <v>4.2129629629629626E-3</v>
      </c>
      <c r="L851" s="5">
        <f>361 / 86400</f>
        <v>4.178240740740741E-3</v>
      </c>
    </row>
    <row r="852" spans="1:12" x14ac:dyDescent="0.25">
      <c r="A852" s="3">
        <v>45690.076840277776</v>
      </c>
      <c r="B852" t="s">
        <v>247</v>
      </c>
      <c r="C852" s="3">
        <v>45690.076909722222</v>
      </c>
      <c r="D852" t="s">
        <v>247</v>
      </c>
      <c r="E852" s="4">
        <v>0</v>
      </c>
      <c r="F852" s="4">
        <v>405854.83500000002</v>
      </c>
      <c r="G852" s="4">
        <v>405854.83500000002</v>
      </c>
      <c r="H852" s="5">
        <f>0 / 86400</f>
        <v>0</v>
      </c>
      <c r="I852" t="s">
        <v>39</v>
      </c>
      <c r="J852" t="s">
        <v>39</v>
      </c>
      <c r="K852" s="5">
        <f>6 / 86400</f>
        <v>6.9444444444444444E-5</v>
      </c>
      <c r="L852" s="5">
        <f>237 / 86400</f>
        <v>2.7430555555555554E-3</v>
      </c>
    </row>
    <row r="853" spans="1:12" x14ac:dyDescent="0.25">
      <c r="A853" s="3">
        <v>45690.079652777778</v>
      </c>
      <c r="B853" t="s">
        <v>247</v>
      </c>
      <c r="C853" s="3">
        <v>45690.158946759257</v>
      </c>
      <c r="D853" t="s">
        <v>272</v>
      </c>
      <c r="E853" s="4">
        <v>43.750999999999998</v>
      </c>
      <c r="F853" s="4">
        <v>405854.83500000002</v>
      </c>
      <c r="G853" s="4">
        <v>405898.58600000001</v>
      </c>
      <c r="H853" s="5">
        <f>1980 / 86400</f>
        <v>2.2916666666666665E-2</v>
      </c>
      <c r="I853" t="s">
        <v>35</v>
      </c>
      <c r="J853" t="s">
        <v>86</v>
      </c>
      <c r="K853" s="5">
        <f>6850 / 86400</f>
        <v>7.9282407407407413E-2</v>
      </c>
      <c r="L853" s="5">
        <f>5081 / 86400</f>
        <v>5.8807870370370371E-2</v>
      </c>
    </row>
    <row r="854" spans="1:12" x14ac:dyDescent="0.25">
      <c r="A854" s="3">
        <v>45690.21775462963</v>
      </c>
      <c r="B854" t="s">
        <v>272</v>
      </c>
      <c r="C854" s="3">
        <v>45690.297766203701</v>
      </c>
      <c r="D854" t="s">
        <v>215</v>
      </c>
      <c r="E854" s="4">
        <v>49.341999999999999</v>
      </c>
      <c r="F854" s="4">
        <v>405898.58600000001</v>
      </c>
      <c r="G854" s="4">
        <v>405947.92800000001</v>
      </c>
      <c r="H854" s="5">
        <f>1121 / 86400</f>
        <v>1.2974537037037038E-2</v>
      </c>
      <c r="I854" t="s">
        <v>29</v>
      </c>
      <c r="J854" t="s">
        <v>132</v>
      </c>
      <c r="K854" s="5">
        <f>6912 / 86400</f>
        <v>0.08</v>
      </c>
      <c r="L854" s="5">
        <f>2135 / 86400</f>
        <v>2.4710648148148148E-2</v>
      </c>
    </row>
    <row r="855" spans="1:12" x14ac:dyDescent="0.25">
      <c r="A855" s="3">
        <v>45690.322476851856</v>
      </c>
      <c r="B855" t="s">
        <v>215</v>
      </c>
      <c r="C855" s="3">
        <v>45690.36246527778</v>
      </c>
      <c r="D855" t="s">
        <v>25</v>
      </c>
      <c r="E855" s="4">
        <v>26.445</v>
      </c>
      <c r="F855" s="4">
        <v>405947.92800000001</v>
      </c>
      <c r="G855" s="4">
        <v>405974.37300000002</v>
      </c>
      <c r="H855" s="5">
        <f>640 / 86400</f>
        <v>7.4074074074074077E-3</v>
      </c>
      <c r="I855" t="s">
        <v>111</v>
      </c>
      <c r="J855" t="s">
        <v>51</v>
      </c>
      <c r="K855" s="5">
        <f>3454 / 86400</f>
        <v>3.9976851851851854E-2</v>
      </c>
      <c r="L855" s="5">
        <f>296 / 86400</f>
        <v>3.425925925925926E-3</v>
      </c>
    </row>
    <row r="856" spans="1:12" x14ac:dyDescent="0.25">
      <c r="A856" s="3">
        <v>45690.365891203706</v>
      </c>
      <c r="B856" t="s">
        <v>25</v>
      </c>
      <c r="C856" s="3">
        <v>45690.370509259257</v>
      </c>
      <c r="D856" t="s">
        <v>25</v>
      </c>
      <c r="E856" s="4">
        <v>1.827</v>
      </c>
      <c r="F856" s="4">
        <v>405974.37300000002</v>
      </c>
      <c r="G856" s="4">
        <v>405976.2</v>
      </c>
      <c r="H856" s="5">
        <f>20 / 86400</f>
        <v>2.3148148148148149E-4</v>
      </c>
      <c r="I856" t="s">
        <v>69</v>
      </c>
      <c r="J856" t="s">
        <v>97</v>
      </c>
      <c r="K856" s="5">
        <f>399 / 86400</f>
        <v>4.6180555555555558E-3</v>
      </c>
      <c r="L856" s="5">
        <f>515 / 86400</f>
        <v>5.9606481481481481E-3</v>
      </c>
    </row>
    <row r="857" spans="1:12" x14ac:dyDescent="0.25">
      <c r="A857" s="3">
        <v>45690.376469907409</v>
      </c>
      <c r="B857" t="s">
        <v>25</v>
      </c>
      <c r="C857" s="3">
        <v>45690.387418981481</v>
      </c>
      <c r="D857" t="s">
        <v>112</v>
      </c>
      <c r="E857" s="4">
        <v>4.7709999999999999</v>
      </c>
      <c r="F857" s="4">
        <v>405976.2</v>
      </c>
      <c r="G857" s="4">
        <v>405980.97100000002</v>
      </c>
      <c r="H857" s="5">
        <f>98 / 86400</f>
        <v>1.1342592592592593E-3</v>
      </c>
      <c r="I857" t="s">
        <v>93</v>
      </c>
      <c r="J857" t="s">
        <v>33</v>
      </c>
      <c r="K857" s="5">
        <f>945 / 86400</f>
        <v>1.0937499999999999E-2</v>
      </c>
      <c r="L857" s="5">
        <f>288 / 86400</f>
        <v>3.3333333333333335E-3</v>
      </c>
    </row>
    <row r="858" spans="1:12" x14ac:dyDescent="0.25">
      <c r="A858" s="3">
        <v>45690.390752314815</v>
      </c>
      <c r="B858" t="s">
        <v>112</v>
      </c>
      <c r="C858" s="3">
        <v>45690.390902777777</v>
      </c>
      <c r="D858" t="s">
        <v>112</v>
      </c>
      <c r="E858" s="4">
        <v>0.02</v>
      </c>
      <c r="F858" s="4">
        <v>405980.97100000002</v>
      </c>
      <c r="G858" s="4">
        <v>405980.99099999998</v>
      </c>
      <c r="H858" s="5">
        <f>0 / 86400</f>
        <v>0</v>
      </c>
      <c r="I858" t="s">
        <v>38</v>
      </c>
      <c r="J858" t="s">
        <v>38</v>
      </c>
      <c r="K858" s="5">
        <f>12 / 86400</f>
        <v>1.3888888888888889E-4</v>
      </c>
      <c r="L858" s="5">
        <f>469 / 86400</f>
        <v>5.4282407407407404E-3</v>
      </c>
    </row>
    <row r="859" spans="1:12" x14ac:dyDescent="0.25">
      <c r="A859" s="3">
        <v>45690.396331018521</v>
      </c>
      <c r="B859" t="s">
        <v>112</v>
      </c>
      <c r="C859" s="3">
        <v>45690.402280092589</v>
      </c>
      <c r="D859" t="s">
        <v>25</v>
      </c>
      <c r="E859" s="4">
        <v>2.2909999999999999</v>
      </c>
      <c r="F859" s="4">
        <v>405980.99099999998</v>
      </c>
      <c r="G859" s="4">
        <v>405983.28200000001</v>
      </c>
      <c r="H859" s="5">
        <f>174 / 86400</f>
        <v>2.0138888888888888E-3</v>
      </c>
      <c r="I859" t="s">
        <v>67</v>
      </c>
      <c r="J859" t="s">
        <v>97</v>
      </c>
      <c r="K859" s="5">
        <f>513 / 86400</f>
        <v>5.9375000000000001E-3</v>
      </c>
      <c r="L859" s="5">
        <f>35468 / 86400</f>
        <v>0.41050925925925924</v>
      </c>
    </row>
    <row r="860" spans="1:12" x14ac:dyDescent="0.25">
      <c r="A860" s="3">
        <v>45690.812789351854</v>
      </c>
      <c r="B860" t="s">
        <v>25</v>
      </c>
      <c r="C860" s="3">
        <v>45690.822962962964</v>
      </c>
      <c r="D860" t="s">
        <v>25</v>
      </c>
      <c r="E860" s="4">
        <v>0</v>
      </c>
      <c r="F860" s="4">
        <v>405983.28200000001</v>
      </c>
      <c r="G860" s="4">
        <v>405983.28200000001</v>
      </c>
      <c r="H860" s="5">
        <f>859 / 86400</f>
        <v>9.9421296296296289E-3</v>
      </c>
      <c r="I860" t="s">
        <v>39</v>
      </c>
      <c r="J860" t="s">
        <v>39</v>
      </c>
      <c r="K860" s="5">
        <f>879 / 86400</f>
        <v>1.0173611111111111E-2</v>
      </c>
      <c r="L860" s="5">
        <f>696 / 86400</f>
        <v>8.0555555555555554E-3</v>
      </c>
    </row>
    <row r="861" spans="1:12" x14ac:dyDescent="0.25">
      <c r="A861" s="3">
        <v>45690.831018518518</v>
      </c>
      <c r="B861" t="s">
        <v>25</v>
      </c>
      <c r="C861" s="3">
        <v>45690.981678240743</v>
      </c>
      <c r="D861" t="s">
        <v>247</v>
      </c>
      <c r="E861" s="4">
        <v>80.304000000000002</v>
      </c>
      <c r="F861" s="4">
        <v>405983.28200000001</v>
      </c>
      <c r="G861" s="4">
        <v>406063.58600000001</v>
      </c>
      <c r="H861" s="5">
        <f>3379 / 86400</f>
        <v>3.9108796296296294E-2</v>
      </c>
      <c r="I861" t="s">
        <v>31</v>
      </c>
      <c r="J861" t="s">
        <v>84</v>
      </c>
      <c r="K861" s="5">
        <f>13017 / 86400</f>
        <v>0.15065972222222221</v>
      </c>
      <c r="L861" s="5">
        <f>343 / 86400</f>
        <v>3.9699074074074072E-3</v>
      </c>
    </row>
    <row r="862" spans="1:12" x14ac:dyDescent="0.25">
      <c r="A862" s="3">
        <v>45690.985648148147</v>
      </c>
      <c r="B862" t="s">
        <v>248</v>
      </c>
      <c r="C862" s="3">
        <v>45690.99998842593</v>
      </c>
      <c r="D862" t="s">
        <v>110</v>
      </c>
      <c r="E862" s="4">
        <v>3.0270000000000001</v>
      </c>
      <c r="F862" s="4">
        <v>406063.58600000001</v>
      </c>
      <c r="G862" s="4">
        <v>406066.61300000001</v>
      </c>
      <c r="H862" s="5">
        <f>839 / 86400</f>
        <v>9.7106481481481488E-3</v>
      </c>
      <c r="I862" t="s">
        <v>150</v>
      </c>
      <c r="J862" t="s">
        <v>88</v>
      </c>
      <c r="K862" s="5">
        <f>1239 / 86400</f>
        <v>1.4340277777777778E-2</v>
      </c>
      <c r="L862" s="5">
        <f>0 / 86400</f>
        <v>0</v>
      </c>
    </row>
    <row r="863" spans="1:1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</row>
    <row r="864" spans="1:1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</row>
    <row r="865" spans="1:12" s="10" customFormat="1" ht="20.100000000000001" customHeight="1" x14ac:dyDescent="0.35">
      <c r="A865" s="15" t="s">
        <v>356</v>
      </c>
      <c r="B865" s="15"/>
      <c r="C865" s="15"/>
      <c r="D865" s="15"/>
      <c r="E865" s="15"/>
      <c r="F865" s="15"/>
      <c r="G865" s="15"/>
      <c r="H865" s="15"/>
      <c r="I865" s="15"/>
      <c r="J865" s="15"/>
    </row>
    <row r="866" spans="1:1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</row>
    <row r="867" spans="1:12" ht="30" x14ac:dyDescent="0.25">
      <c r="A867" s="2" t="s">
        <v>6</v>
      </c>
      <c r="B867" s="2" t="s">
        <v>7</v>
      </c>
      <c r="C867" s="2" t="s">
        <v>8</v>
      </c>
      <c r="D867" s="2" t="s">
        <v>9</v>
      </c>
      <c r="E867" s="2" t="s">
        <v>10</v>
      </c>
      <c r="F867" s="2" t="s">
        <v>11</v>
      </c>
      <c r="G867" s="2" t="s">
        <v>12</v>
      </c>
      <c r="H867" s="2" t="s">
        <v>13</v>
      </c>
      <c r="I867" s="2" t="s">
        <v>14</v>
      </c>
      <c r="J867" s="2" t="s">
        <v>15</v>
      </c>
      <c r="K867" s="2" t="s">
        <v>16</v>
      </c>
      <c r="L867" s="2" t="s">
        <v>17</v>
      </c>
    </row>
    <row r="868" spans="1:12" x14ac:dyDescent="0.25">
      <c r="A868" s="3">
        <v>45690.006666666668</v>
      </c>
      <c r="B868" t="s">
        <v>112</v>
      </c>
      <c r="C868" s="3">
        <v>45690.021550925929</v>
      </c>
      <c r="D868" t="s">
        <v>22</v>
      </c>
      <c r="E868" s="4">
        <v>1.339</v>
      </c>
      <c r="F868" s="4">
        <v>546904.58400000003</v>
      </c>
      <c r="G868" s="4">
        <v>546905.92299999995</v>
      </c>
      <c r="H868" s="5">
        <f>419 / 86400</f>
        <v>4.8495370370370368E-3</v>
      </c>
      <c r="I868" t="s">
        <v>139</v>
      </c>
      <c r="J868" t="s">
        <v>163</v>
      </c>
      <c r="K868" s="5">
        <f>1286 / 86400</f>
        <v>1.4884259259259259E-2</v>
      </c>
      <c r="L868" s="5">
        <f>22101 / 86400</f>
        <v>0.25579861111111113</v>
      </c>
    </row>
    <row r="869" spans="1:12" x14ac:dyDescent="0.25">
      <c r="A869" s="3">
        <v>45690.270682870367</v>
      </c>
      <c r="B869" t="s">
        <v>22</v>
      </c>
      <c r="C869" s="3">
        <v>45690.644479166665</v>
      </c>
      <c r="D869" t="s">
        <v>48</v>
      </c>
      <c r="E869" s="4">
        <v>162.25200000000001</v>
      </c>
      <c r="F869" s="4">
        <v>546905.92299999995</v>
      </c>
      <c r="G869" s="4">
        <v>547068.17500000005</v>
      </c>
      <c r="H869" s="5">
        <f>10582 / 86400</f>
        <v>0.12247685185185185</v>
      </c>
      <c r="I869" t="s">
        <v>62</v>
      </c>
      <c r="J869" t="s">
        <v>33</v>
      </c>
      <c r="K869" s="5">
        <f>32295 / 86400</f>
        <v>0.3737847222222222</v>
      </c>
      <c r="L869" s="5">
        <f>1926 / 86400</f>
        <v>2.2291666666666668E-2</v>
      </c>
    </row>
    <row r="870" spans="1:12" x14ac:dyDescent="0.25">
      <c r="A870" s="3">
        <v>45690.666770833333</v>
      </c>
      <c r="B870" t="s">
        <v>48</v>
      </c>
      <c r="C870" s="3">
        <v>45690.69158564815</v>
      </c>
      <c r="D870" t="s">
        <v>142</v>
      </c>
      <c r="E870" s="4">
        <v>9.6649999999999991</v>
      </c>
      <c r="F870" s="4">
        <v>547068.17500000005</v>
      </c>
      <c r="G870" s="4">
        <v>547077.84</v>
      </c>
      <c r="H870" s="5">
        <f>340 / 86400</f>
        <v>3.9351851851851848E-3</v>
      </c>
      <c r="I870" t="s">
        <v>147</v>
      </c>
      <c r="J870" t="s">
        <v>97</v>
      </c>
      <c r="K870" s="5">
        <f>2143 / 86400</f>
        <v>2.480324074074074E-2</v>
      </c>
      <c r="L870" s="5">
        <f>620 / 86400</f>
        <v>7.1759259259259259E-3</v>
      </c>
    </row>
    <row r="871" spans="1:12" x14ac:dyDescent="0.25">
      <c r="A871" s="3">
        <v>45690.698761574073</v>
      </c>
      <c r="B871" t="s">
        <v>142</v>
      </c>
      <c r="C871" s="3">
        <v>45690.99998842593</v>
      </c>
      <c r="D871" t="s">
        <v>113</v>
      </c>
      <c r="E871" s="4">
        <v>147.84700000000001</v>
      </c>
      <c r="F871" s="4">
        <v>547077.84</v>
      </c>
      <c r="G871" s="4">
        <v>547225.68700000003</v>
      </c>
      <c r="H871" s="5">
        <f>6800 / 86400</f>
        <v>7.8703703703703706E-2</v>
      </c>
      <c r="I871" t="s">
        <v>208</v>
      </c>
      <c r="J871" t="s">
        <v>58</v>
      </c>
      <c r="K871" s="5">
        <f>26026 / 86400</f>
        <v>0.30122685185185183</v>
      </c>
      <c r="L871" s="5">
        <f>0 / 86400</f>
        <v>0</v>
      </c>
    </row>
    <row r="872" spans="1:1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</row>
    <row r="873" spans="1:1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</row>
    <row r="874" spans="1:12" s="10" customFormat="1" ht="20.100000000000001" customHeight="1" x14ac:dyDescent="0.35">
      <c r="A874" s="15" t="s">
        <v>357</v>
      </c>
      <c r="B874" s="15"/>
      <c r="C874" s="15"/>
      <c r="D874" s="15"/>
      <c r="E874" s="15"/>
      <c r="F874" s="15"/>
      <c r="G874" s="15"/>
      <c r="H874" s="15"/>
      <c r="I874" s="15"/>
      <c r="J874" s="15"/>
    </row>
    <row r="875" spans="1:1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</row>
    <row r="876" spans="1:12" ht="30" x14ac:dyDescent="0.25">
      <c r="A876" s="2" t="s">
        <v>6</v>
      </c>
      <c r="B876" s="2" t="s">
        <v>7</v>
      </c>
      <c r="C876" s="2" t="s">
        <v>8</v>
      </c>
      <c r="D876" s="2" t="s">
        <v>9</v>
      </c>
      <c r="E876" s="2" t="s">
        <v>10</v>
      </c>
      <c r="F876" s="2" t="s">
        <v>11</v>
      </c>
      <c r="G876" s="2" t="s">
        <v>12</v>
      </c>
      <c r="H876" s="2" t="s">
        <v>13</v>
      </c>
      <c r="I876" s="2" t="s">
        <v>14</v>
      </c>
      <c r="J876" s="2" t="s">
        <v>15</v>
      </c>
      <c r="K876" s="2" t="s">
        <v>16</v>
      </c>
      <c r="L876" s="2" t="s">
        <v>17</v>
      </c>
    </row>
    <row r="877" spans="1:12" x14ac:dyDescent="0.25">
      <c r="A877" s="3">
        <v>45690.661053240736</v>
      </c>
      <c r="B877" t="s">
        <v>114</v>
      </c>
      <c r="C877" s="3">
        <v>45690.953622685185</v>
      </c>
      <c r="D877" t="s">
        <v>178</v>
      </c>
      <c r="E877" s="4">
        <v>644.90499999999997</v>
      </c>
      <c r="F877" s="4">
        <v>43474.724999999999</v>
      </c>
      <c r="G877" s="4">
        <v>44119.63</v>
      </c>
      <c r="H877" s="5">
        <f>5678 / 86400</f>
        <v>6.5717592592592591E-2</v>
      </c>
      <c r="I877" t="s">
        <v>67</v>
      </c>
      <c r="J877" t="s">
        <v>297</v>
      </c>
      <c r="K877" s="5">
        <f>25277 / 86400</f>
        <v>0.29255787037037034</v>
      </c>
      <c r="L877" s="5">
        <f>58709 / 86400</f>
        <v>0.67950231481481482</v>
      </c>
    </row>
    <row r="878" spans="1:12" x14ac:dyDescent="0.25">
      <c r="A878" s="3">
        <v>45690.972071759257</v>
      </c>
      <c r="B878" t="s">
        <v>178</v>
      </c>
      <c r="C878" s="3">
        <v>45690.977974537032</v>
      </c>
      <c r="D878" t="s">
        <v>298</v>
      </c>
      <c r="E878" s="4">
        <v>18.190000000000001</v>
      </c>
      <c r="F878" s="4">
        <v>44119.63</v>
      </c>
      <c r="G878" s="4">
        <v>44137.82</v>
      </c>
      <c r="H878" s="5">
        <f>79 / 86400</f>
        <v>9.1435185185185185E-4</v>
      </c>
      <c r="I878" t="s">
        <v>141</v>
      </c>
      <c r="J878" t="s">
        <v>299</v>
      </c>
      <c r="K878" s="5">
        <f>510 / 86400</f>
        <v>5.9027777777777776E-3</v>
      </c>
      <c r="L878" s="5">
        <f>2 / 86400</f>
        <v>2.3148148148148147E-5</v>
      </c>
    </row>
    <row r="879" spans="1:12" x14ac:dyDescent="0.25">
      <c r="A879" s="3">
        <v>45690.977997685186</v>
      </c>
      <c r="B879" t="s">
        <v>298</v>
      </c>
      <c r="C879" s="3">
        <v>45690.99998842593</v>
      </c>
      <c r="D879" t="s">
        <v>115</v>
      </c>
      <c r="E879" s="4">
        <v>62.524999999999999</v>
      </c>
      <c r="F879" s="4">
        <v>44137.82</v>
      </c>
      <c r="G879" s="4">
        <v>44200.345000000001</v>
      </c>
      <c r="H879" s="5">
        <f>499 / 86400</f>
        <v>5.7754629629629631E-3</v>
      </c>
      <c r="I879" t="s">
        <v>116</v>
      </c>
      <c r="J879" t="s">
        <v>300</v>
      </c>
      <c r="K879" s="5">
        <f>1900 / 86400</f>
        <v>2.1990740740740741E-2</v>
      </c>
      <c r="L879" s="5">
        <f>0 / 86400</f>
        <v>0</v>
      </c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2" s="10" customFormat="1" ht="20.100000000000001" customHeight="1" x14ac:dyDescent="0.35">
      <c r="A882" s="15" t="s">
        <v>358</v>
      </c>
      <c r="B882" s="15"/>
      <c r="C882" s="15"/>
      <c r="D882" s="15"/>
      <c r="E882" s="15"/>
      <c r="F882" s="15"/>
      <c r="G882" s="15"/>
      <c r="H882" s="15"/>
      <c r="I882" s="15"/>
      <c r="J882" s="15"/>
    </row>
    <row r="883" spans="1:1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</row>
    <row r="884" spans="1:12" ht="30" x14ac:dyDescent="0.25">
      <c r="A884" s="2" t="s">
        <v>6</v>
      </c>
      <c r="B884" s="2" t="s">
        <v>7</v>
      </c>
      <c r="C884" s="2" t="s">
        <v>8</v>
      </c>
      <c r="D884" s="2" t="s">
        <v>9</v>
      </c>
      <c r="E884" s="2" t="s">
        <v>10</v>
      </c>
      <c r="F884" s="2" t="s">
        <v>11</v>
      </c>
      <c r="G884" s="2" t="s">
        <v>12</v>
      </c>
      <c r="H884" s="2" t="s">
        <v>13</v>
      </c>
      <c r="I884" s="2" t="s">
        <v>14</v>
      </c>
      <c r="J884" s="2" t="s">
        <v>15</v>
      </c>
      <c r="K884" s="2" t="s">
        <v>16</v>
      </c>
      <c r="L884" s="2" t="s">
        <v>17</v>
      </c>
    </row>
    <row r="885" spans="1:12" x14ac:dyDescent="0.25">
      <c r="A885" s="3">
        <v>45690</v>
      </c>
      <c r="B885" t="s">
        <v>65</v>
      </c>
      <c r="C885" s="3">
        <v>45690.034502314811</v>
      </c>
      <c r="D885" t="s">
        <v>90</v>
      </c>
      <c r="E885" s="4">
        <v>21.734000000000002</v>
      </c>
      <c r="F885" s="4">
        <v>56035.612999999998</v>
      </c>
      <c r="G885" s="4">
        <v>56057.347000000002</v>
      </c>
      <c r="H885" s="5">
        <f>260 / 86400</f>
        <v>3.0092592592592593E-3</v>
      </c>
      <c r="I885" t="s">
        <v>245</v>
      </c>
      <c r="J885" t="s">
        <v>132</v>
      </c>
      <c r="K885" s="5">
        <f>2981 / 86400</f>
        <v>3.4502314814814812E-2</v>
      </c>
      <c r="L885" s="5">
        <f>104 / 86400</f>
        <v>1.2037037037037038E-3</v>
      </c>
    </row>
    <row r="886" spans="1:12" x14ac:dyDescent="0.25">
      <c r="A886" s="3">
        <v>45690.03570601852</v>
      </c>
      <c r="B886" t="s">
        <v>90</v>
      </c>
      <c r="C886" s="3">
        <v>45690.037141203706</v>
      </c>
      <c r="D886" t="s">
        <v>238</v>
      </c>
      <c r="E886" s="4">
        <v>0.40100000000000002</v>
      </c>
      <c r="F886" s="4">
        <v>56057.347000000002</v>
      </c>
      <c r="G886" s="4">
        <v>56057.748</v>
      </c>
      <c r="H886" s="5">
        <f>0 / 86400</f>
        <v>0</v>
      </c>
      <c r="I886" t="s">
        <v>33</v>
      </c>
      <c r="J886" t="s">
        <v>125</v>
      </c>
      <c r="K886" s="5">
        <f>124 / 86400</f>
        <v>1.4351851851851852E-3</v>
      </c>
      <c r="L886" s="5">
        <f>20 / 86400</f>
        <v>2.3148148148148149E-4</v>
      </c>
    </row>
    <row r="887" spans="1:12" x14ac:dyDescent="0.25">
      <c r="A887" s="3">
        <v>45690.037372685183</v>
      </c>
      <c r="B887" t="s">
        <v>238</v>
      </c>
      <c r="C887" s="3">
        <v>45690.03805555556</v>
      </c>
      <c r="D887" t="s">
        <v>146</v>
      </c>
      <c r="E887" s="4">
        <v>0.17599999999999999</v>
      </c>
      <c r="F887" s="4">
        <v>56057.748</v>
      </c>
      <c r="G887" s="4">
        <v>56057.923999999999</v>
      </c>
      <c r="H887" s="5">
        <f>0 / 86400</f>
        <v>0</v>
      </c>
      <c r="I887" t="s">
        <v>27</v>
      </c>
      <c r="J887" t="s">
        <v>144</v>
      </c>
      <c r="K887" s="5">
        <f>59 / 86400</f>
        <v>6.8287037037037036E-4</v>
      </c>
      <c r="L887" s="5">
        <f>553 / 86400</f>
        <v>6.4004629629629628E-3</v>
      </c>
    </row>
    <row r="888" spans="1:12" x14ac:dyDescent="0.25">
      <c r="A888" s="3">
        <v>45690.044456018513</v>
      </c>
      <c r="B888" t="s">
        <v>146</v>
      </c>
      <c r="C888" s="3">
        <v>45690.04859953704</v>
      </c>
      <c r="D888" t="s">
        <v>44</v>
      </c>
      <c r="E888" s="4">
        <v>1.196</v>
      </c>
      <c r="F888" s="4">
        <v>56057.923999999999</v>
      </c>
      <c r="G888" s="4">
        <v>56059.12</v>
      </c>
      <c r="H888" s="5">
        <f>100 / 86400</f>
        <v>1.1574074074074073E-3</v>
      </c>
      <c r="I888" t="s">
        <v>51</v>
      </c>
      <c r="J888" t="s">
        <v>125</v>
      </c>
      <c r="K888" s="5">
        <f>358 / 86400</f>
        <v>4.1435185185185186E-3</v>
      </c>
      <c r="L888" s="5">
        <f>36 / 86400</f>
        <v>4.1666666666666669E-4</v>
      </c>
    </row>
    <row r="889" spans="1:12" x14ac:dyDescent="0.25">
      <c r="A889" s="3">
        <v>45690.049016203702</v>
      </c>
      <c r="B889" t="s">
        <v>44</v>
      </c>
      <c r="C889" s="3">
        <v>45690.050775462965</v>
      </c>
      <c r="D889" t="s">
        <v>119</v>
      </c>
      <c r="E889" s="4">
        <v>0.14499999999999999</v>
      </c>
      <c r="F889" s="4">
        <v>56059.12</v>
      </c>
      <c r="G889" s="4">
        <v>56059.264999999999</v>
      </c>
      <c r="H889" s="5">
        <f>40 / 86400</f>
        <v>4.6296296296296298E-4</v>
      </c>
      <c r="I889" t="s">
        <v>88</v>
      </c>
      <c r="J889" t="s">
        <v>75</v>
      </c>
      <c r="K889" s="5">
        <f>152 / 86400</f>
        <v>1.7592592592592592E-3</v>
      </c>
      <c r="L889" s="5">
        <f>13275 / 86400</f>
        <v>0.15364583333333334</v>
      </c>
    </row>
    <row r="890" spans="1:12" x14ac:dyDescent="0.25">
      <c r="A890" s="3">
        <v>45690.204421296294</v>
      </c>
      <c r="B890" t="s">
        <v>119</v>
      </c>
      <c r="C890" s="3">
        <v>45690.397511574076</v>
      </c>
      <c r="D890" t="s">
        <v>301</v>
      </c>
      <c r="E890" s="4">
        <v>100.102</v>
      </c>
      <c r="F890" s="4">
        <v>56059.264999999999</v>
      </c>
      <c r="G890" s="4">
        <v>56159.366999999998</v>
      </c>
      <c r="H890" s="5">
        <f>4859 / 86400</f>
        <v>5.6238425925925928E-2</v>
      </c>
      <c r="I890" t="s">
        <v>62</v>
      </c>
      <c r="J890" t="s">
        <v>84</v>
      </c>
      <c r="K890" s="5">
        <f>16682 / 86400</f>
        <v>0.1930787037037037</v>
      </c>
      <c r="L890" s="5">
        <f>53 / 86400</f>
        <v>6.134259259259259E-4</v>
      </c>
    </row>
    <row r="891" spans="1:12" x14ac:dyDescent="0.25">
      <c r="A891" s="3">
        <v>45690.398125</v>
      </c>
      <c r="B891" t="s">
        <v>301</v>
      </c>
      <c r="C891" s="3">
        <v>45690.405138888891</v>
      </c>
      <c r="D891" t="s">
        <v>143</v>
      </c>
      <c r="E891" s="4">
        <v>4.3360000000000003</v>
      </c>
      <c r="F891" s="4">
        <v>56159.366999999998</v>
      </c>
      <c r="G891" s="4">
        <v>56163.703000000001</v>
      </c>
      <c r="H891" s="5">
        <f>79 / 86400</f>
        <v>9.1435185185185185E-4</v>
      </c>
      <c r="I891" t="s">
        <v>183</v>
      </c>
      <c r="J891" t="s">
        <v>132</v>
      </c>
      <c r="K891" s="5">
        <f>606 / 86400</f>
        <v>7.013888888888889E-3</v>
      </c>
      <c r="L891" s="5">
        <f>1957 / 86400</f>
        <v>2.2650462962962963E-2</v>
      </c>
    </row>
    <row r="892" spans="1:12" x14ac:dyDescent="0.25">
      <c r="A892" s="3">
        <v>45690.427789351852</v>
      </c>
      <c r="B892" t="s">
        <v>143</v>
      </c>
      <c r="C892" s="3">
        <v>45690.431990740741</v>
      </c>
      <c r="D892" t="s">
        <v>128</v>
      </c>
      <c r="E892" s="4">
        <v>0.72199999999999998</v>
      </c>
      <c r="F892" s="4">
        <v>56163.703000000001</v>
      </c>
      <c r="G892" s="4">
        <v>56164.425000000003</v>
      </c>
      <c r="H892" s="5">
        <f>99 / 86400</f>
        <v>1.1458333333333333E-3</v>
      </c>
      <c r="I892" t="s">
        <v>27</v>
      </c>
      <c r="J892" t="s">
        <v>91</v>
      </c>
      <c r="K892" s="5">
        <f>362 / 86400</f>
        <v>4.1898148148148146E-3</v>
      </c>
      <c r="L892" s="5">
        <f>933 / 86400</f>
        <v>1.0798611111111111E-2</v>
      </c>
    </row>
    <row r="893" spans="1:12" x14ac:dyDescent="0.25">
      <c r="A893" s="3">
        <v>45690.442789351851</v>
      </c>
      <c r="B893" t="s">
        <v>128</v>
      </c>
      <c r="C893" s="3">
        <v>45690.445358796293</v>
      </c>
      <c r="D893" t="s">
        <v>174</v>
      </c>
      <c r="E893" s="4">
        <v>0.77</v>
      </c>
      <c r="F893" s="4">
        <v>56164.425000000003</v>
      </c>
      <c r="G893" s="4">
        <v>56165.195</v>
      </c>
      <c r="H893" s="5">
        <f>19 / 86400</f>
        <v>2.199074074074074E-4</v>
      </c>
      <c r="I893" t="s">
        <v>156</v>
      </c>
      <c r="J893" t="s">
        <v>151</v>
      </c>
      <c r="K893" s="5">
        <f>221 / 86400</f>
        <v>2.5578703703703705E-3</v>
      </c>
      <c r="L893" s="5">
        <f>52 / 86400</f>
        <v>6.018518518518519E-4</v>
      </c>
    </row>
    <row r="894" spans="1:12" x14ac:dyDescent="0.25">
      <c r="A894" s="3">
        <v>45690.445960648147</v>
      </c>
      <c r="B894" t="s">
        <v>174</v>
      </c>
      <c r="C894" s="3">
        <v>45690.44630787037</v>
      </c>
      <c r="D894" t="s">
        <v>145</v>
      </c>
      <c r="E894" s="4">
        <v>3.0000000000000001E-3</v>
      </c>
      <c r="F894" s="4">
        <v>56165.195</v>
      </c>
      <c r="G894" s="4">
        <v>56165.197999999997</v>
      </c>
      <c r="H894" s="5">
        <f>19 / 86400</f>
        <v>2.199074074074074E-4</v>
      </c>
      <c r="I894" t="s">
        <v>39</v>
      </c>
      <c r="J894" t="s">
        <v>39</v>
      </c>
      <c r="K894" s="5">
        <f>30 / 86400</f>
        <v>3.4722222222222224E-4</v>
      </c>
      <c r="L894" s="5">
        <f>21 / 86400</f>
        <v>2.4305555555555555E-4</v>
      </c>
    </row>
    <row r="895" spans="1:12" x14ac:dyDescent="0.25">
      <c r="A895" s="3">
        <v>45690.446550925924</v>
      </c>
      <c r="B895" t="s">
        <v>145</v>
      </c>
      <c r="C895" s="3">
        <v>45690.446932870371</v>
      </c>
      <c r="D895" t="s">
        <v>145</v>
      </c>
      <c r="E895" s="4">
        <v>7.0000000000000001E-3</v>
      </c>
      <c r="F895" s="4">
        <v>56165.197999999997</v>
      </c>
      <c r="G895" s="4">
        <v>56165.205000000002</v>
      </c>
      <c r="H895" s="5">
        <f>19 / 86400</f>
        <v>2.199074074074074E-4</v>
      </c>
      <c r="I895" t="s">
        <v>39</v>
      </c>
      <c r="J895" t="s">
        <v>41</v>
      </c>
      <c r="K895" s="5">
        <f>32 / 86400</f>
        <v>3.7037037037037035E-4</v>
      </c>
      <c r="L895" s="5">
        <f>468 / 86400</f>
        <v>5.4166666666666669E-3</v>
      </c>
    </row>
    <row r="896" spans="1:12" x14ac:dyDescent="0.25">
      <c r="A896" s="3">
        <v>45690.452349537038</v>
      </c>
      <c r="B896" t="s">
        <v>145</v>
      </c>
      <c r="C896" s="3">
        <v>45690.510879629626</v>
      </c>
      <c r="D896" t="s">
        <v>302</v>
      </c>
      <c r="E896" s="4">
        <v>31.518999999999998</v>
      </c>
      <c r="F896" s="4">
        <v>56165.205000000002</v>
      </c>
      <c r="G896" s="4">
        <v>56196.724000000002</v>
      </c>
      <c r="H896" s="5">
        <f>1459 / 86400</f>
        <v>1.6886574074074075E-2</v>
      </c>
      <c r="I896" t="s">
        <v>118</v>
      </c>
      <c r="J896" t="s">
        <v>84</v>
      </c>
      <c r="K896" s="5">
        <f>5057 / 86400</f>
        <v>5.8530092592592592E-2</v>
      </c>
      <c r="L896" s="5">
        <f>46 / 86400</f>
        <v>5.3240740740740744E-4</v>
      </c>
    </row>
    <row r="897" spans="1:12" x14ac:dyDescent="0.25">
      <c r="A897" s="3">
        <v>45690.511412037042</v>
      </c>
      <c r="B897" t="s">
        <v>302</v>
      </c>
      <c r="C897" s="3">
        <v>45690.539166666669</v>
      </c>
      <c r="D897" t="s">
        <v>303</v>
      </c>
      <c r="E897" s="4">
        <v>11.976000000000001</v>
      </c>
      <c r="F897" s="4">
        <v>56196.724000000002</v>
      </c>
      <c r="G897" s="4">
        <v>56208.7</v>
      </c>
      <c r="H897" s="5">
        <f>640 / 86400</f>
        <v>7.4074074074074077E-3</v>
      </c>
      <c r="I897" t="s">
        <v>45</v>
      </c>
      <c r="J897" t="s">
        <v>33</v>
      </c>
      <c r="K897" s="5">
        <f>2398 / 86400</f>
        <v>2.7754629629629629E-2</v>
      </c>
      <c r="L897" s="5">
        <f>115 / 86400</f>
        <v>1.3310185185185185E-3</v>
      </c>
    </row>
    <row r="898" spans="1:12" x14ac:dyDescent="0.25">
      <c r="A898" s="3">
        <v>45690.540497685186</v>
      </c>
      <c r="B898" t="s">
        <v>304</v>
      </c>
      <c r="C898" s="3">
        <v>45690.617222222223</v>
      </c>
      <c r="D898" t="s">
        <v>140</v>
      </c>
      <c r="E898" s="4">
        <v>44.750999999999998</v>
      </c>
      <c r="F898" s="4">
        <v>56208.7</v>
      </c>
      <c r="G898" s="4">
        <v>56253.451000000001</v>
      </c>
      <c r="H898" s="5">
        <f>1580 / 86400</f>
        <v>1.8287037037037036E-2</v>
      </c>
      <c r="I898" t="s">
        <v>50</v>
      </c>
      <c r="J898" t="s">
        <v>189</v>
      </c>
      <c r="K898" s="5">
        <f>6628 / 86400</f>
        <v>7.6712962962962969E-2</v>
      </c>
      <c r="L898" s="5">
        <f>195 / 86400</f>
        <v>2.2569444444444442E-3</v>
      </c>
    </row>
    <row r="899" spans="1:12" x14ac:dyDescent="0.25">
      <c r="A899" s="3">
        <v>45690.619479166664</v>
      </c>
      <c r="B899" t="s">
        <v>216</v>
      </c>
      <c r="C899" s="3">
        <v>45690.620659722219</v>
      </c>
      <c r="D899" t="s">
        <v>140</v>
      </c>
      <c r="E899" s="4">
        <v>0.18099999999999999</v>
      </c>
      <c r="F899" s="4">
        <v>56253.451000000001</v>
      </c>
      <c r="G899" s="4">
        <v>56253.631999999998</v>
      </c>
      <c r="H899" s="5">
        <f>40 / 86400</f>
        <v>4.6296296296296298E-4</v>
      </c>
      <c r="I899" t="s">
        <v>20</v>
      </c>
      <c r="J899" t="s">
        <v>38</v>
      </c>
      <c r="K899" s="5">
        <f>101 / 86400</f>
        <v>1.1689814814814816E-3</v>
      </c>
      <c r="L899" s="5">
        <f>661 / 86400</f>
        <v>7.6504629629629631E-3</v>
      </c>
    </row>
    <row r="900" spans="1:12" x14ac:dyDescent="0.25">
      <c r="A900" s="3">
        <v>45690.628310185188</v>
      </c>
      <c r="B900" t="s">
        <v>140</v>
      </c>
      <c r="C900" s="3">
        <v>45690.63045138889</v>
      </c>
      <c r="D900" t="s">
        <v>240</v>
      </c>
      <c r="E900" s="4">
        <v>0.78200000000000003</v>
      </c>
      <c r="F900" s="4">
        <v>56253.631999999998</v>
      </c>
      <c r="G900" s="4">
        <v>56254.413999999997</v>
      </c>
      <c r="H900" s="5">
        <f>0 / 86400</f>
        <v>0</v>
      </c>
      <c r="I900" t="s">
        <v>168</v>
      </c>
      <c r="J900" t="s">
        <v>139</v>
      </c>
      <c r="K900" s="5">
        <f>184 / 86400</f>
        <v>2.1296296296296298E-3</v>
      </c>
      <c r="L900" s="5">
        <f>177 / 86400</f>
        <v>2.0486111111111113E-3</v>
      </c>
    </row>
    <row r="901" spans="1:12" x14ac:dyDescent="0.25">
      <c r="A901" s="3">
        <v>45690.6325</v>
      </c>
      <c r="B901" t="s">
        <v>240</v>
      </c>
      <c r="C901" s="3">
        <v>45690.634155092594</v>
      </c>
      <c r="D901" t="s">
        <v>44</v>
      </c>
      <c r="E901" s="4">
        <v>0.156</v>
      </c>
      <c r="F901" s="4">
        <v>56254.413999999997</v>
      </c>
      <c r="G901" s="4">
        <v>56254.57</v>
      </c>
      <c r="H901" s="5">
        <f>80 / 86400</f>
        <v>9.2592592592592596E-4</v>
      </c>
      <c r="I901" t="s">
        <v>151</v>
      </c>
      <c r="J901" t="s">
        <v>163</v>
      </c>
      <c r="K901" s="5">
        <f>143 / 86400</f>
        <v>1.6550925925925926E-3</v>
      </c>
      <c r="L901" s="5">
        <f>65 / 86400</f>
        <v>7.5231481481481482E-4</v>
      </c>
    </row>
    <row r="902" spans="1:12" x14ac:dyDescent="0.25">
      <c r="A902" s="3">
        <v>45690.63490740741</v>
      </c>
      <c r="B902" t="s">
        <v>44</v>
      </c>
      <c r="C902" s="3">
        <v>45690.635405092587</v>
      </c>
      <c r="D902" t="s">
        <v>119</v>
      </c>
      <c r="E902" s="4">
        <v>0.05</v>
      </c>
      <c r="F902" s="4">
        <v>56254.57</v>
      </c>
      <c r="G902" s="4">
        <v>56254.62</v>
      </c>
      <c r="H902" s="5">
        <f>0 / 86400</f>
        <v>0</v>
      </c>
      <c r="I902" t="s">
        <v>60</v>
      </c>
      <c r="J902" t="s">
        <v>163</v>
      </c>
      <c r="K902" s="5">
        <f>42 / 86400</f>
        <v>4.861111111111111E-4</v>
      </c>
      <c r="L902" s="5">
        <f>2221 / 86400</f>
        <v>2.5706018518518517E-2</v>
      </c>
    </row>
    <row r="903" spans="1:12" x14ac:dyDescent="0.25">
      <c r="A903" s="3">
        <v>45690.661111111112</v>
      </c>
      <c r="B903" t="s">
        <v>119</v>
      </c>
      <c r="C903" s="3">
        <v>45690.665578703702</v>
      </c>
      <c r="D903" t="s">
        <v>44</v>
      </c>
      <c r="E903" s="4">
        <v>6.3E-2</v>
      </c>
      <c r="F903" s="4">
        <v>56254.62</v>
      </c>
      <c r="G903" s="4">
        <v>56254.682999999997</v>
      </c>
      <c r="H903" s="5">
        <f>319 / 86400</f>
        <v>3.6921296296296298E-3</v>
      </c>
      <c r="I903" t="s">
        <v>75</v>
      </c>
      <c r="J903" t="s">
        <v>41</v>
      </c>
      <c r="K903" s="5">
        <f>385 / 86400</f>
        <v>4.4560185185185189E-3</v>
      </c>
      <c r="L903" s="5">
        <f>47 / 86400</f>
        <v>5.4398148148148144E-4</v>
      </c>
    </row>
    <row r="904" spans="1:12" x14ac:dyDescent="0.25">
      <c r="A904" s="3">
        <v>45690.666122685187</v>
      </c>
      <c r="B904" t="s">
        <v>44</v>
      </c>
      <c r="C904" s="3">
        <v>45690.677314814813</v>
      </c>
      <c r="D904" t="s">
        <v>271</v>
      </c>
      <c r="E904" s="4">
        <v>5.6710000000000003</v>
      </c>
      <c r="F904" s="4">
        <v>56254.682999999997</v>
      </c>
      <c r="G904" s="4">
        <v>56260.353999999999</v>
      </c>
      <c r="H904" s="5">
        <f>60 / 86400</f>
        <v>6.9444444444444447E-4</v>
      </c>
      <c r="I904" t="s">
        <v>161</v>
      </c>
      <c r="J904" t="s">
        <v>30</v>
      </c>
      <c r="K904" s="5">
        <f>967 / 86400</f>
        <v>1.119212962962963E-2</v>
      </c>
      <c r="L904" s="5">
        <f>543 / 86400</f>
        <v>6.2847222222222219E-3</v>
      </c>
    </row>
    <row r="905" spans="1:12" x14ac:dyDescent="0.25">
      <c r="A905" s="3">
        <v>45690.683599537035</v>
      </c>
      <c r="B905" t="s">
        <v>271</v>
      </c>
      <c r="C905" s="3">
        <v>45690.763472222221</v>
      </c>
      <c r="D905" t="s">
        <v>129</v>
      </c>
      <c r="E905" s="4">
        <v>42.093000000000004</v>
      </c>
      <c r="F905" s="4">
        <v>56260.353999999999</v>
      </c>
      <c r="G905" s="4">
        <v>56302.447</v>
      </c>
      <c r="H905" s="5">
        <f>1700 / 86400</f>
        <v>1.9675925925925927E-2</v>
      </c>
      <c r="I905" t="s">
        <v>32</v>
      </c>
      <c r="J905" t="s">
        <v>84</v>
      </c>
      <c r="K905" s="5">
        <f>6900 / 86400</f>
        <v>7.9861111111111105E-2</v>
      </c>
      <c r="L905" s="5">
        <f>470 / 86400</f>
        <v>5.4398148148148149E-3</v>
      </c>
    </row>
    <row r="906" spans="1:12" x14ac:dyDescent="0.25">
      <c r="A906" s="3">
        <v>45690.768912037034</v>
      </c>
      <c r="B906" t="s">
        <v>129</v>
      </c>
      <c r="C906" s="3">
        <v>45690.834432870368</v>
      </c>
      <c r="D906" t="s">
        <v>247</v>
      </c>
      <c r="E906" s="4">
        <v>35.503</v>
      </c>
      <c r="F906" s="4">
        <v>56302.447</v>
      </c>
      <c r="G906" s="4">
        <v>56337.95</v>
      </c>
      <c r="H906" s="5">
        <f>1539 / 86400</f>
        <v>1.7812499999999998E-2</v>
      </c>
      <c r="I906" t="s">
        <v>43</v>
      </c>
      <c r="J906" t="s">
        <v>86</v>
      </c>
      <c r="K906" s="5">
        <f>5661 / 86400</f>
        <v>6.5520833333333334E-2</v>
      </c>
      <c r="L906" s="5">
        <f>299 / 86400</f>
        <v>3.460648148148148E-3</v>
      </c>
    </row>
    <row r="907" spans="1:12" x14ac:dyDescent="0.25">
      <c r="A907" s="3">
        <v>45690.837893518517</v>
      </c>
      <c r="B907" t="s">
        <v>247</v>
      </c>
      <c r="C907" s="3">
        <v>45690.924768518518</v>
      </c>
      <c r="D907" t="s">
        <v>272</v>
      </c>
      <c r="E907" s="4">
        <v>43.433999999999997</v>
      </c>
      <c r="F907" s="4">
        <v>56337.95</v>
      </c>
      <c r="G907" s="4">
        <v>56381.383999999998</v>
      </c>
      <c r="H907" s="5">
        <f>1938 / 86400</f>
        <v>2.2430555555555554E-2</v>
      </c>
      <c r="I907" t="s">
        <v>62</v>
      </c>
      <c r="J907" t="s">
        <v>30</v>
      </c>
      <c r="K907" s="5">
        <f>7506 / 86400</f>
        <v>8.6874999999999994E-2</v>
      </c>
      <c r="L907" s="5">
        <f>264 / 86400</f>
        <v>3.0555555555555557E-3</v>
      </c>
    </row>
    <row r="908" spans="1:12" x14ac:dyDescent="0.25">
      <c r="A908" s="3">
        <v>45690.927824074075</v>
      </c>
      <c r="B908" t="s">
        <v>272</v>
      </c>
      <c r="C908" s="3">
        <v>45690.927939814814</v>
      </c>
      <c r="D908" t="s">
        <v>272</v>
      </c>
      <c r="E908" s="4">
        <v>5.0000000000000001E-3</v>
      </c>
      <c r="F908" s="4">
        <v>56381.383999999998</v>
      </c>
      <c r="G908" s="4">
        <v>56381.389000000003</v>
      </c>
      <c r="H908" s="5">
        <f>0 / 86400</f>
        <v>0</v>
      </c>
      <c r="I908" t="s">
        <v>38</v>
      </c>
      <c r="J908" t="s">
        <v>79</v>
      </c>
      <c r="K908" s="5">
        <f>9 / 86400</f>
        <v>1.0416666666666667E-4</v>
      </c>
      <c r="L908" s="5">
        <f>192 / 86400</f>
        <v>2.2222222222222222E-3</v>
      </c>
    </row>
    <row r="909" spans="1:12" x14ac:dyDescent="0.25">
      <c r="A909" s="3">
        <v>45690.930162037039</v>
      </c>
      <c r="B909" t="s">
        <v>272</v>
      </c>
      <c r="C909" s="3">
        <v>45690.99998842593</v>
      </c>
      <c r="D909" t="s">
        <v>117</v>
      </c>
      <c r="E909" s="4">
        <v>30.491</v>
      </c>
      <c r="F909" s="4">
        <v>56381.389000000003</v>
      </c>
      <c r="G909" s="4">
        <v>56411.88</v>
      </c>
      <c r="H909" s="5">
        <f>1978 / 86400</f>
        <v>2.2893518518518518E-2</v>
      </c>
      <c r="I909" t="s">
        <v>185</v>
      </c>
      <c r="J909" t="s">
        <v>33</v>
      </c>
      <c r="K909" s="5">
        <f>6033 / 86400</f>
        <v>6.9826388888888882E-2</v>
      </c>
      <c r="L909" s="5">
        <f>0 / 86400</f>
        <v>0</v>
      </c>
    </row>
    <row r="910" spans="1:1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</row>
    <row r="911" spans="1:1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</row>
    <row r="912" spans="1:12" s="10" customFormat="1" ht="20.100000000000001" customHeight="1" x14ac:dyDescent="0.35">
      <c r="A912" s="15" t="s">
        <v>359</v>
      </c>
      <c r="B912" s="15"/>
      <c r="C912" s="15"/>
      <c r="D912" s="15"/>
      <c r="E912" s="15"/>
      <c r="F912" s="15"/>
      <c r="G912" s="15"/>
      <c r="H912" s="15"/>
      <c r="I912" s="15"/>
      <c r="J912" s="15"/>
    </row>
    <row r="913" spans="1:12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</row>
    <row r="914" spans="1:12" ht="30" x14ac:dyDescent="0.25">
      <c r="A914" s="2" t="s">
        <v>6</v>
      </c>
      <c r="B914" s="2" t="s">
        <v>7</v>
      </c>
      <c r="C914" s="2" t="s">
        <v>8</v>
      </c>
      <c r="D914" s="2" t="s">
        <v>9</v>
      </c>
      <c r="E914" s="2" t="s">
        <v>10</v>
      </c>
      <c r="F914" s="2" t="s">
        <v>11</v>
      </c>
      <c r="G914" s="2" t="s">
        <v>12</v>
      </c>
      <c r="H914" s="2" t="s">
        <v>13</v>
      </c>
      <c r="I914" s="2" t="s">
        <v>14</v>
      </c>
      <c r="J914" s="2" t="s">
        <v>15</v>
      </c>
      <c r="K914" s="2" t="s">
        <v>16</v>
      </c>
      <c r="L914" s="2" t="s">
        <v>17</v>
      </c>
    </row>
    <row r="915" spans="1:12" x14ac:dyDescent="0.25">
      <c r="A915" s="3">
        <v>45690.412858796291</v>
      </c>
      <c r="B915" t="s">
        <v>119</v>
      </c>
      <c r="C915" s="3">
        <v>45690.413541666669</v>
      </c>
      <c r="D915" t="s">
        <v>119</v>
      </c>
      <c r="E915" s="4">
        <v>2.1999999999999999E-2</v>
      </c>
      <c r="F915" s="4">
        <v>59343.146000000001</v>
      </c>
      <c r="G915" s="4">
        <v>59343.167999999998</v>
      </c>
      <c r="H915" s="5">
        <f>19 / 86400</f>
        <v>2.199074074074074E-4</v>
      </c>
      <c r="I915" t="s">
        <v>127</v>
      </c>
      <c r="J915" t="s">
        <v>41</v>
      </c>
      <c r="K915" s="5">
        <f>59 / 86400</f>
        <v>6.8287037037037036E-4</v>
      </c>
      <c r="L915" s="5">
        <f>43155 / 86400</f>
        <v>0.49947916666666664</v>
      </c>
    </row>
    <row r="916" spans="1:12" x14ac:dyDescent="0.25">
      <c r="A916" s="3">
        <v>45690.500162037039</v>
      </c>
      <c r="B916" t="s">
        <v>119</v>
      </c>
      <c r="C916" s="3">
        <v>45690.758414351847</v>
      </c>
      <c r="D916" t="s">
        <v>131</v>
      </c>
      <c r="E916" s="4">
        <v>124.11799999999999</v>
      </c>
      <c r="F916" s="4">
        <v>59343.167999999998</v>
      </c>
      <c r="G916" s="4">
        <v>59467.286</v>
      </c>
      <c r="H916" s="5">
        <f>8228 / 86400</f>
        <v>9.5231481481481486E-2</v>
      </c>
      <c r="I916" t="s">
        <v>120</v>
      </c>
      <c r="J916" t="s">
        <v>58</v>
      </c>
      <c r="K916" s="5">
        <f>22312 / 86400</f>
        <v>0.25824074074074072</v>
      </c>
      <c r="L916" s="5">
        <f>2 / 86400</f>
        <v>2.3148148148148147E-5</v>
      </c>
    </row>
    <row r="917" spans="1:12" x14ac:dyDescent="0.25">
      <c r="A917" s="3">
        <v>45690.758437500001</v>
      </c>
      <c r="B917" t="s">
        <v>131</v>
      </c>
      <c r="C917" s="3">
        <v>45690.973148148143</v>
      </c>
      <c r="D917" t="s">
        <v>98</v>
      </c>
      <c r="E917" s="4">
        <v>92.293999999999997</v>
      </c>
      <c r="F917" s="4">
        <v>59467.286</v>
      </c>
      <c r="G917" s="4">
        <v>59559.58</v>
      </c>
      <c r="H917" s="5">
        <f>6404 / 86400</f>
        <v>7.4120370370370364E-2</v>
      </c>
      <c r="I917" t="s">
        <v>26</v>
      </c>
      <c r="J917" t="s">
        <v>33</v>
      </c>
      <c r="K917" s="5">
        <f>18551 / 86400</f>
        <v>0.21471064814814814</v>
      </c>
      <c r="L917" s="5">
        <f>801 / 86400</f>
        <v>9.2708333333333341E-3</v>
      </c>
    </row>
    <row r="918" spans="1:12" x14ac:dyDescent="0.25">
      <c r="A918" s="3">
        <v>45690.982418981483</v>
      </c>
      <c r="B918" t="s">
        <v>98</v>
      </c>
      <c r="C918" s="3">
        <v>45690.986990740741</v>
      </c>
      <c r="D918" t="s">
        <v>44</v>
      </c>
      <c r="E918" s="4">
        <v>1.5880000000000001</v>
      </c>
      <c r="F918" s="4">
        <v>59559.58</v>
      </c>
      <c r="G918" s="4">
        <v>59561.167999999998</v>
      </c>
      <c r="H918" s="5">
        <f>99 / 86400</f>
        <v>1.1458333333333333E-3</v>
      </c>
      <c r="I918" t="s">
        <v>69</v>
      </c>
      <c r="J918" t="s">
        <v>127</v>
      </c>
      <c r="K918" s="5">
        <f>395 / 86400</f>
        <v>4.5717592592592589E-3</v>
      </c>
      <c r="L918" s="5">
        <f>1123 / 86400</f>
        <v>1.2997685185185185E-2</v>
      </c>
    </row>
    <row r="919" spans="1:1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</row>
    <row r="920" spans="1:12" x14ac:dyDescent="0.25">
      <c r="A920" s="12" t="s">
        <v>122</v>
      </c>
      <c r="B920" s="12"/>
      <c r="C920" s="12"/>
      <c r="D920" s="12"/>
      <c r="E920" s="12"/>
      <c r="F920" s="12"/>
      <c r="G920" s="12"/>
      <c r="H920" s="12"/>
      <c r="I920" s="12"/>
      <c r="J920" s="12"/>
    </row>
  </sheetData>
  <mergeCells count="230">
    <mergeCell ref="A911:J911"/>
    <mergeCell ref="A912:J912"/>
    <mergeCell ref="A913:J913"/>
    <mergeCell ref="A919:J919"/>
    <mergeCell ref="A920:J920"/>
    <mergeCell ref="A866:J866"/>
    <mergeCell ref="A872:J872"/>
    <mergeCell ref="A873:J873"/>
    <mergeCell ref="A874:J874"/>
    <mergeCell ref="A875:J875"/>
    <mergeCell ref="A880:J880"/>
    <mergeCell ref="A881:J881"/>
    <mergeCell ref="A882:J882"/>
    <mergeCell ref="A883:J883"/>
    <mergeCell ref="A811:J811"/>
    <mergeCell ref="A843:J843"/>
    <mergeCell ref="A844:J844"/>
    <mergeCell ref="A845:J845"/>
    <mergeCell ref="A846:J846"/>
    <mergeCell ref="A863:J863"/>
    <mergeCell ref="A864:J864"/>
    <mergeCell ref="A865:J865"/>
    <mergeCell ref="A910:J910"/>
    <mergeCell ref="A770:J770"/>
    <mergeCell ref="A771:J771"/>
    <mergeCell ref="A787:J787"/>
    <mergeCell ref="A788:J788"/>
    <mergeCell ref="A789:J789"/>
    <mergeCell ref="A790:J790"/>
    <mergeCell ref="A808:J808"/>
    <mergeCell ref="A809:J809"/>
    <mergeCell ref="A810:J810"/>
    <mergeCell ref="A745:J745"/>
    <mergeCell ref="A746:J746"/>
    <mergeCell ref="A747:J747"/>
    <mergeCell ref="A757:J757"/>
    <mergeCell ref="A758:J758"/>
    <mergeCell ref="A759:J759"/>
    <mergeCell ref="A760:J760"/>
    <mergeCell ref="A768:J768"/>
    <mergeCell ref="A769:J769"/>
    <mergeCell ref="A721:J721"/>
    <mergeCell ref="A722:J722"/>
    <mergeCell ref="A723:J723"/>
    <mergeCell ref="A724:J724"/>
    <mergeCell ref="A738:J738"/>
    <mergeCell ref="A739:J739"/>
    <mergeCell ref="A740:J740"/>
    <mergeCell ref="A741:J741"/>
    <mergeCell ref="A744:J744"/>
    <mergeCell ref="A659:J659"/>
    <mergeCell ref="A678:J678"/>
    <mergeCell ref="A679:J679"/>
    <mergeCell ref="A680:J680"/>
    <mergeCell ref="A681:J681"/>
    <mergeCell ref="A697:J697"/>
    <mergeCell ref="A698:J698"/>
    <mergeCell ref="A699:J699"/>
    <mergeCell ref="A700:J700"/>
    <mergeCell ref="A629:J629"/>
    <mergeCell ref="A630:J630"/>
    <mergeCell ref="A643:J643"/>
    <mergeCell ref="A644:J644"/>
    <mergeCell ref="A645:J645"/>
    <mergeCell ref="A646:J646"/>
    <mergeCell ref="A656:J656"/>
    <mergeCell ref="A657:J657"/>
    <mergeCell ref="A658:J658"/>
    <mergeCell ref="A612:J612"/>
    <mergeCell ref="A613:J613"/>
    <mergeCell ref="A614:J614"/>
    <mergeCell ref="A618:J618"/>
    <mergeCell ref="A619:J619"/>
    <mergeCell ref="A620:J620"/>
    <mergeCell ref="A621:J621"/>
    <mergeCell ref="A627:J627"/>
    <mergeCell ref="A628:J628"/>
    <mergeCell ref="A582:J582"/>
    <mergeCell ref="A583:J583"/>
    <mergeCell ref="A584:J584"/>
    <mergeCell ref="A585:J585"/>
    <mergeCell ref="A598:J598"/>
    <mergeCell ref="A599:J599"/>
    <mergeCell ref="A600:J600"/>
    <mergeCell ref="A601:J601"/>
    <mergeCell ref="A611:J611"/>
    <mergeCell ref="A552:J552"/>
    <mergeCell ref="A559:J559"/>
    <mergeCell ref="A560:J560"/>
    <mergeCell ref="A561:J561"/>
    <mergeCell ref="A562:J562"/>
    <mergeCell ref="A571:J571"/>
    <mergeCell ref="A572:J572"/>
    <mergeCell ref="A573:J573"/>
    <mergeCell ref="A574:J574"/>
    <mergeCell ref="A533:J533"/>
    <mergeCell ref="A534:J534"/>
    <mergeCell ref="A537:J537"/>
    <mergeCell ref="A538:J538"/>
    <mergeCell ref="A539:J539"/>
    <mergeCell ref="A540:J540"/>
    <mergeCell ref="A549:J549"/>
    <mergeCell ref="A550:J550"/>
    <mergeCell ref="A551:J551"/>
    <mergeCell ref="A482:J482"/>
    <mergeCell ref="A483:J483"/>
    <mergeCell ref="A484:J484"/>
    <mergeCell ref="A504:J504"/>
    <mergeCell ref="A505:J505"/>
    <mergeCell ref="A506:J506"/>
    <mergeCell ref="A507:J507"/>
    <mergeCell ref="A531:J531"/>
    <mergeCell ref="A532:J532"/>
    <mergeCell ref="A459:J459"/>
    <mergeCell ref="A460:J460"/>
    <mergeCell ref="A461:J461"/>
    <mergeCell ref="A462:J462"/>
    <mergeCell ref="A473:J473"/>
    <mergeCell ref="A474:J474"/>
    <mergeCell ref="A475:J475"/>
    <mergeCell ref="A476:J476"/>
    <mergeCell ref="A481:J481"/>
    <mergeCell ref="A430:J430"/>
    <mergeCell ref="A434:J434"/>
    <mergeCell ref="A435:J435"/>
    <mergeCell ref="A436:J436"/>
    <mergeCell ref="A437:J437"/>
    <mergeCell ref="A450:J450"/>
    <mergeCell ref="A451:J451"/>
    <mergeCell ref="A452:J452"/>
    <mergeCell ref="A453:J453"/>
    <mergeCell ref="A406:J406"/>
    <mergeCell ref="A407:J407"/>
    <mergeCell ref="A416:J416"/>
    <mergeCell ref="A417:J417"/>
    <mergeCell ref="A418:J418"/>
    <mergeCell ref="A419:J419"/>
    <mergeCell ref="A427:J427"/>
    <mergeCell ref="A428:J428"/>
    <mergeCell ref="A429:J429"/>
    <mergeCell ref="A387:J387"/>
    <mergeCell ref="A388:J388"/>
    <mergeCell ref="A389:J389"/>
    <mergeCell ref="A392:J392"/>
    <mergeCell ref="A393:J393"/>
    <mergeCell ref="A394:J394"/>
    <mergeCell ref="A395:J395"/>
    <mergeCell ref="A404:J404"/>
    <mergeCell ref="A405:J405"/>
    <mergeCell ref="A361:J361"/>
    <mergeCell ref="A362:J362"/>
    <mergeCell ref="A363:J363"/>
    <mergeCell ref="A364:J364"/>
    <mergeCell ref="A379:J379"/>
    <mergeCell ref="A380:J380"/>
    <mergeCell ref="A381:J381"/>
    <mergeCell ref="A382:J382"/>
    <mergeCell ref="A386:J386"/>
    <mergeCell ref="A315:J315"/>
    <mergeCell ref="A329:J329"/>
    <mergeCell ref="A330:J330"/>
    <mergeCell ref="A331:J331"/>
    <mergeCell ref="A332:J332"/>
    <mergeCell ref="A341:J341"/>
    <mergeCell ref="A342:J342"/>
    <mergeCell ref="A343:J343"/>
    <mergeCell ref="A344:J344"/>
    <mergeCell ref="A272:J272"/>
    <mergeCell ref="A273:J273"/>
    <mergeCell ref="A284:J284"/>
    <mergeCell ref="A285:J285"/>
    <mergeCell ref="A286:J286"/>
    <mergeCell ref="A287:J287"/>
    <mergeCell ref="A312:J312"/>
    <mergeCell ref="A313:J313"/>
    <mergeCell ref="A314:J314"/>
    <mergeCell ref="A246:J246"/>
    <mergeCell ref="A247:J247"/>
    <mergeCell ref="A248:J248"/>
    <mergeCell ref="A262:J262"/>
    <mergeCell ref="A263:J263"/>
    <mergeCell ref="A264:J264"/>
    <mergeCell ref="A265:J265"/>
    <mergeCell ref="A270:J270"/>
    <mergeCell ref="A271:J271"/>
    <mergeCell ref="A222:J222"/>
    <mergeCell ref="A223:J223"/>
    <mergeCell ref="A224:J224"/>
    <mergeCell ref="A225:J225"/>
    <mergeCell ref="A233:J233"/>
    <mergeCell ref="A234:J234"/>
    <mergeCell ref="A235:J235"/>
    <mergeCell ref="A236:J236"/>
    <mergeCell ref="A245:J245"/>
    <mergeCell ref="A136:J136"/>
    <mergeCell ref="A147:J147"/>
    <mergeCell ref="A148:J148"/>
    <mergeCell ref="A149:J149"/>
    <mergeCell ref="A150:J150"/>
    <mergeCell ref="A170:J170"/>
    <mergeCell ref="A171:J171"/>
    <mergeCell ref="A172:J172"/>
    <mergeCell ref="A173:J173"/>
    <mergeCell ref="A95:J95"/>
    <mergeCell ref="A96:J96"/>
    <mergeCell ref="A113:J113"/>
    <mergeCell ref="A114:J114"/>
    <mergeCell ref="A115:J115"/>
    <mergeCell ref="A116:J116"/>
    <mergeCell ref="A133:J133"/>
    <mergeCell ref="A134:J134"/>
    <mergeCell ref="A135:J135"/>
    <mergeCell ref="A67:J67"/>
    <mergeCell ref="A68:J68"/>
    <mergeCell ref="A69:J69"/>
    <mergeCell ref="A82:J82"/>
    <mergeCell ref="A83:J83"/>
    <mergeCell ref="A84:J84"/>
    <mergeCell ref="A85:J85"/>
    <mergeCell ref="A93:J93"/>
    <mergeCell ref="A94:J94"/>
    <mergeCell ref="A1:J1"/>
    <mergeCell ref="A2:J2"/>
    <mergeCell ref="A3:J3"/>
    <mergeCell ref="A4:J4"/>
    <mergeCell ref="A5:J5"/>
    <mergeCell ref="A6:J6"/>
    <mergeCell ref="A64:J64"/>
    <mergeCell ref="A65:J65"/>
    <mergeCell ref="A66:J66"/>
  </mergeCells>
  <phoneticPr fontId="5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2025-09-22T20:07:15Z</dcterms:created>
  <dcterms:modified xsi:type="dcterms:W3CDTF">2025-09-23T21:46:42Z</dcterms:modified>
</cp:coreProperties>
</file>