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/>
  <xr:revisionPtr revIDLastSave="0" documentId="13_ncr:1_{1A6B93F3-6739-41C2-A96D-4E145E5B5455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293" i="1" l="1"/>
  <c r="K1293" i="1"/>
  <c r="H1293" i="1"/>
  <c r="L1292" i="1"/>
  <c r="K1292" i="1"/>
  <c r="H1292" i="1"/>
  <c r="L1291" i="1"/>
  <c r="K1291" i="1"/>
  <c r="H1291" i="1"/>
  <c r="L1290" i="1"/>
  <c r="K1290" i="1"/>
  <c r="H1290" i="1"/>
  <c r="L1289" i="1"/>
  <c r="K1289" i="1"/>
  <c r="H1289" i="1"/>
  <c r="L1288" i="1"/>
  <c r="K1288" i="1"/>
  <c r="H1288" i="1"/>
  <c r="L1287" i="1"/>
  <c r="K1287" i="1"/>
  <c r="H1287" i="1"/>
  <c r="L1286" i="1"/>
  <c r="K1286" i="1"/>
  <c r="H1286" i="1"/>
  <c r="L1285" i="1"/>
  <c r="K1285" i="1"/>
  <c r="H1285" i="1"/>
  <c r="L1284" i="1"/>
  <c r="K1284" i="1"/>
  <c r="H1284" i="1"/>
  <c r="L1283" i="1"/>
  <c r="K1283" i="1"/>
  <c r="H1283" i="1"/>
  <c r="L1282" i="1"/>
  <c r="K1282" i="1"/>
  <c r="H1282" i="1"/>
  <c r="L1276" i="1"/>
  <c r="K1276" i="1"/>
  <c r="H1276" i="1"/>
  <c r="L1275" i="1"/>
  <c r="K1275" i="1"/>
  <c r="H1275" i="1"/>
  <c r="L1274" i="1"/>
  <c r="K1274" i="1"/>
  <c r="H1274" i="1"/>
  <c r="L1273" i="1"/>
  <c r="K1273" i="1"/>
  <c r="H1273" i="1"/>
  <c r="L1272" i="1"/>
  <c r="K1272" i="1"/>
  <c r="H1272" i="1"/>
  <c r="L1271" i="1"/>
  <c r="K1271" i="1"/>
  <c r="H1271" i="1"/>
  <c r="L1270" i="1"/>
  <c r="K1270" i="1"/>
  <c r="H1270" i="1"/>
  <c r="L1269" i="1"/>
  <c r="K1269" i="1"/>
  <c r="H1269" i="1"/>
  <c r="L1268" i="1"/>
  <c r="K1268" i="1"/>
  <c r="H1268" i="1"/>
  <c r="L1267" i="1"/>
  <c r="K1267" i="1"/>
  <c r="H1267" i="1"/>
  <c r="L1266" i="1"/>
  <c r="K1266" i="1"/>
  <c r="H1266" i="1"/>
  <c r="L1265" i="1"/>
  <c r="K1265" i="1"/>
  <c r="H1265" i="1"/>
  <c r="L1264" i="1"/>
  <c r="K1264" i="1"/>
  <c r="H1264" i="1"/>
  <c r="L1263" i="1"/>
  <c r="K1263" i="1"/>
  <c r="H1263" i="1"/>
  <c r="L1262" i="1"/>
  <c r="K1262" i="1"/>
  <c r="H1262" i="1"/>
  <c r="L1256" i="1"/>
  <c r="K1256" i="1"/>
  <c r="H1256" i="1"/>
  <c r="L1255" i="1"/>
  <c r="K1255" i="1"/>
  <c r="H1255" i="1"/>
  <c r="L1254" i="1"/>
  <c r="K1254" i="1"/>
  <c r="H1254" i="1"/>
  <c r="L1253" i="1"/>
  <c r="K1253" i="1"/>
  <c r="H1253" i="1"/>
  <c r="L1252" i="1"/>
  <c r="K1252" i="1"/>
  <c r="H1252" i="1"/>
  <c r="L1251" i="1"/>
  <c r="K1251" i="1"/>
  <c r="H1251" i="1"/>
  <c r="L1250" i="1"/>
  <c r="K1250" i="1"/>
  <c r="H1250" i="1"/>
  <c r="L1249" i="1"/>
  <c r="K1249" i="1"/>
  <c r="H1249" i="1"/>
  <c r="L1248" i="1"/>
  <c r="K1248" i="1"/>
  <c r="H1248" i="1"/>
  <c r="L1247" i="1"/>
  <c r="K1247" i="1"/>
  <c r="H1247" i="1"/>
  <c r="L1246" i="1"/>
  <c r="K1246" i="1"/>
  <c r="H1246" i="1"/>
  <c r="L1245" i="1"/>
  <c r="K1245" i="1"/>
  <c r="H1245" i="1"/>
  <c r="L1244" i="1"/>
  <c r="K1244" i="1"/>
  <c r="H1244" i="1"/>
  <c r="L1243" i="1"/>
  <c r="K1243" i="1"/>
  <c r="H1243" i="1"/>
  <c r="L1242" i="1"/>
  <c r="K1242" i="1"/>
  <c r="H1242" i="1"/>
  <c r="L1241" i="1"/>
  <c r="K1241" i="1"/>
  <c r="H1241" i="1"/>
  <c r="L1240" i="1"/>
  <c r="K1240" i="1"/>
  <c r="H1240" i="1"/>
  <c r="L1239" i="1"/>
  <c r="K1239" i="1"/>
  <c r="H1239" i="1"/>
  <c r="L1238" i="1"/>
  <c r="K1238" i="1"/>
  <c r="H1238" i="1"/>
  <c r="L1237" i="1"/>
  <c r="K1237" i="1"/>
  <c r="H1237" i="1"/>
  <c r="L1236" i="1"/>
  <c r="K1236" i="1"/>
  <c r="H1236" i="1"/>
  <c r="L1235" i="1"/>
  <c r="K1235" i="1"/>
  <c r="H1235" i="1"/>
  <c r="L1234" i="1"/>
  <c r="K1234" i="1"/>
  <c r="H1234" i="1"/>
  <c r="L1233" i="1"/>
  <c r="K1233" i="1"/>
  <c r="H1233" i="1"/>
  <c r="L1227" i="1"/>
  <c r="K1227" i="1"/>
  <c r="H1227" i="1"/>
  <c r="L1226" i="1"/>
  <c r="K1226" i="1"/>
  <c r="H1226" i="1"/>
  <c r="L1225" i="1"/>
  <c r="K1225" i="1"/>
  <c r="H1225" i="1"/>
  <c r="L1224" i="1"/>
  <c r="K1224" i="1"/>
  <c r="H1224" i="1"/>
  <c r="L1223" i="1"/>
  <c r="K1223" i="1"/>
  <c r="H1223" i="1"/>
  <c r="L1222" i="1"/>
  <c r="K1222" i="1"/>
  <c r="H1222" i="1"/>
  <c r="L1221" i="1"/>
  <c r="K1221" i="1"/>
  <c r="H1221" i="1"/>
  <c r="L1220" i="1"/>
  <c r="K1220" i="1"/>
  <c r="H1220" i="1"/>
  <c r="L1214" i="1"/>
  <c r="K1214" i="1"/>
  <c r="H1214" i="1"/>
  <c r="L1213" i="1"/>
  <c r="K1213" i="1"/>
  <c r="H1213" i="1"/>
  <c r="L1212" i="1"/>
  <c r="K1212" i="1"/>
  <c r="H1212" i="1"/>
  <c r="L1211" i="1"/>
  <c r="K1211" i="1"/>
  <c r="H1211" i="1"/>
  <c r="L1210" i="1"/>
  <c r="K1210" i="1"/>
  <c r="H1210" i="1"/>
  <c r="L1209" i="1"/>
  <c r="K1209" i="1"/>
  <c r="H1209" i="1"/>
  <c r="L1208" i="1"/>
  <c r="K1208" i="1"/>
  <c r="H1208" i="1"/>
  <c r="L1207" i="1"/>
  <c r="K1207" i="1"/>
  <c r="H1207" i="1"/>
  <c r="L1206" i="1"/>
  <c r="K1206" i="1"/>
  <c r="H1206" i="1"/>
  <c r="L1205" i="1"/>
  <c r="K1205" i="1"/>
  <c r="H1205" i="1"/>
  <c r="L1204" i="1"/>
  <c r="K1204" i="1"/>
  <c r="H1204" i="1"/>
  <c r="L1203" i="1"/>
  <c r="K1203" i="1"/>
  <c r="H1203" i="1"/>
  <c r="L1202" i="1"/>
  <c r="K1202" i="1"/>
  <c r="H1202" i="1"/>
  <c r="L1201" i="1"/>
  <c r="K1201" i="1"/>
  <c r="H1201" i="1"/>
  <c r="L1200" i="1"/>
  <c r="K1200" i="1"/>
  <c r="H1200" i="1"/>
  <c r="L1199" i="1"/>
  <c r="K1199" i="1"/>
  <c r="H1199" i="1"/>
  <c r="L1198" i="1"/>
  <c r="K1198" i="1"/>
  <c r="H1198" i="1"/>
  <c r="L1197" i="1"/>
  <c r="K1197" i="1"/>
  <c r="H1197" i="1"/>
  <c r="L1196" i="1"/>
  <c r="K1196" i="1"/>
  <c r="H1196" i="1"/>
  <c r="L1195" i="1"/>
  <c r="K1195" i="1"/>
  <c r="H1195" i="1"/>
  <c r="L1194" i="1"/>
  <c r="K1194" i="1"/>
  <c r="H1194" i="1"/>
  <c r="L1188" i="1"/>
  <c r="K1188" i="1"/>
  <c r="H1188" i="1"/>
  <c r="L1187" i="1"/>
  <c r="K1187" i="1"/>
  <c r="H1187" i="1"/>
  <c r="L1186" i="1"/>
  <c r="K1186" i="1"/>
  <c r="H1186" i="1"/>
  <c r="L1185" i="1"/>
  <c r="K1185" i="1"/>
  <c r="H1185" i="1"/>
  <c r="L1184" i="1"/>
  <c r="K1184" i="1"/>
  <c r="H1184" i="1"/>
  <c r="L1183" i="1"/>
  <c r="K1183" i="1"/>
  <c r="H1183" i="1"/>
  <c r="L1182" i="1"/>
  <c r="K1182" i="1"/>
  <c r="H1182" i="1"/>
  <c r="L1176" i="1"/>
  <c r="K1176" i="1"/>
  <c r="H1176" i="1"/>
  <c r="L1175" i="1"/>
  <c r="K1175" i="1"/>
  <c r="H1175" i="1"/>
  <c r="L1174" i="1"/>
  <c r="K1174" i="1"/>
  <c r="H1174" i="1"/>
  <c r="L1173" i="1"/>
  <c r="K1173" i="1"/>
  <c r="H1173" i="1"/>
  <c r="L1172" i="1"/>
  <c r="K1172" i="1"/>
  <c r="H1172" i="1"/>
  <c r="L1171" i="1"/>
  <c r="K1171" i="1"/>
  <c r="H1171" i="1"/>
  <c r="L1165" i="1"/>
  <c r="K1165" i="1"/>
  <c r="H1165" i="1"/>
  <c r="L1164" i="1"/>
  <c r="K1164" i="1"/>
  <c r="H1164" i="1"/>
  <c r="L1163" i="1"/>
  <c r="K1163" i="1"/>
  <c r="H1163" i="1"/>
  <c r="L1162" i="1"/>
  <c r="K1162" i="1"/>
  <c r="H1162" i="1"/>
  <c r="L1161" i="1"/>
  <c r="K1161" i="1"/>
  <c r="H1161" i="1"/>
  <c r="L1160" i="1"/>
  <c r="K1160" i="1"/>
  <c r="H1160" i="1"/>
  <c r="L1159" i="1"/>
  <c r="K1159" i="1"/>
  <c r="H1159" i="1"/>
  <c r="L1158" i="1"/>
  <c r="K1158" i="1"/>
  <c r="H1158" i="1"/>
  <c r="L1157" i="1"/>
  <c r="K1157" i="1"/>
  <c r="H1157" i="1"/>
  <c r="L1156" i="1"/>
  <c r="K1156" i="1"/>
  <c r="H1156" i="1"/>
  <c r="L1155" i="1"/>
  <c r="K1155" i="1"/>
  <c r="H1155" i="1"/>
  <c r="L1149" i="1"/>
  <c r="K1149" i="1"/>
  <c r="H1149" i="1"/>
  <c r="L1148" i="1"/>
  <c r="K1148" i="1"/>
  <c r="H1148" i="1"/>
  <c r="L1147" i="1"/>
  <c r="K1147" i="1"/>
  <c r="H1147" i="1"/>
  <c r="L1146" i="1"/>
  <c r="K1146" i="1"/>
  <c r="H1146" i="1"/>
  <c r="L1145" i="1"/>
  <c r="K1145" i="1"/>
  <c r="H1145" i="1"/>
  <c r="L1144" i="1"/>
  <c r="K1144" i="1"/>
  <c r="H1144" i="1"/>
  <c r="L1138" i="1"/>
  <c r="K1138" i="1"/>
  <c r="H1138" i="1"/>
  <c r="L1137" i="1"/>
  <c r="K1137" i="1"/>
  <c r="H1137" i="1"/>
  <c r="L1136" i="1"/>
  <c r="K1136" i="1"/>
  <c r="H1136" i="1"/>
  <c r="L1135" i="1"/>
  <c r="K1135" i="1"/>
  <c r="H1135" i="1"/>
  <c r="L1134" i="1"/>
  <c r="K1134" i="1"/>
  <c r="H1134" i="1"/>
  <c r="L1133" i="1"/>
  <c r="K1133" i="1"/>
  <c r="H1133" i="1"/>
  <c r="L1132" i="1"/>
  <c r="K1132" i="1"/>
  <c r="H1132" i="1"/>
  <c r="L1131" i="1"/>
  <c r="K1131" i="1"/>
  <c r="H1131" i="1"/>
  <c r="L1130" i="1"/>
  <c r="K1130" i="1"/>
  <c r="H1130" i="1"/>
  <c r="L1129" i="1"/>
  <c r="K1129" i="1"/>
  <c r="H1129" i="1"/>
  <c r="L1123" i="1"/>
  <c r="K1123" i="1"/>
  <c r="H1123" i="1"/>
  <c r="L1122" i="1"/>
  <c r="K1122" i="1"/>
  <c r="H1122" i="1"/>
  <c r="L1121" i="1"/>
  <c r="K1121" i="1"/>
  <c r="H1121" i="1"/>
  <c r="L1120" i="1"/>
  <c r="K1120" i="1"/>
  <c r="H1120" i="1"/>
  <c r="L1119" i="1"/>
  <c r="K1119" i="1"/>
  <c r="H1119" i="1"/>
  <c r="L1118" i="1"/>
  <c r="K1118" i="1"/>
  <c r="H1118" i="1"/>
  <c r="L1112" i="1"/>
  <c r="K1112" i="1"/>
  <c r="H1112" i="1"/>
  <c r="L1111" i="1"/>
  <c r="K1111" i="1"/>
  <c r="H1111" i="1"/>
  <c r="L1110" i="1"/>
  <c r="K1110" i="1"/>
  <c r="H1110" i="1"/>
  <c r="L1109" i="1"/>
  <c r="K1109" i="1"/>
  <c r="H1109" i="1"/>
  <c r="L1108" i="1"/>
  <c r="K1108" i="1"/>
  <c r="H1108" i="1"/>
  <c r="L1107" i="1"/>
  <c r="K1107" i="1"/>
  <c r="H1107" i="1"/>
  <c r="L1101" i="1"/>
  <c r="K1101" i="1"/>
  <c r="H1101" i="1"/>
  <c r="L1100" i="1"/>
  <c r="K1100" i="1"/>
  <c r="H1100" i="1"/>
  <c r="L1099" i="1"/>
  <c r="K1099" i="1"/>
  <c r="H1099" i="1"/>
  <c r="L1098" i="1"/>
  <c r="K1098" i="1"/>
  <c r="H1098" i="1"/>
  <c r="L1097" i="1"/>
  <c r="K1097" i="1"/>
  <c r="H1097" i="1"/>
  <c r="L1096" i="1"/>
  <c r="K1096" i="1"/>
  <c r="H1096" i="1"/>
  <c r="L1095" i="1"/>
  <c r="K1095" i="1"/>
  <c r="H1095" i="1"/>
  <c r="L1094" i="1"/>
  <c r="K1094" i="1"/>
  <c r="H1094" i="1"/>
  <c r="L1093" i="1"/>
  <c r="K1093" i="1"/>
  <c r="H1093" i="1"/>
  <c r="L1092" i="1"/>
  <c r="K1092" i="1"/>
  <c r="H1092" i="1"/>
  <c r="L1086" i="1"/>
  <c r="K1086" i="1"/>
  <c r="H1086" i="1"/>
  <c r="L1085" i="1"/>
  <c r="K1085" i="1"/>
  <c r="H1085" i="1"/>
  <c r="L1084" i="1"/>
  <c r="K1084" i="1"/>
  <c r="H1084" i="1"/>
  <c r="L1083" i="1"/>
  <c r="K1083" i="1"/>
  <c r="H1083" i="1"/>
  <c r="L1082" i="1"/>
  <c r="K1082" i="1"/>
  <c r="H1082" i="1"/>
  <c r="L1081" i="1"/>
  <c r="K1081" i="1"/>
  <c r="H1081" i="1"/>
  <c r="L1080" i="1"/>
  <c r="K1080" i="1"/>
  <c r="H1080" i="1"/>
  <c r="L1079" i="1"/>
  <c r="K1079" i="1"/>
  <c r="H1079" i="1"/>
  <c r="L1078" i="1"/>
  <c r="K1078" i="1"/>
  <c r="H1078" i="1"/>
  <c r="L1077" i="1"/>
  <c r="K1077" i="1"/>
  <c r="H1077" i="1"/>
  <c r="L1076" i="1"/>
  <c r="K1076" i="1"/>
  <c r="H1076" i="1"/>
  <c r="L1075" i="1"/>
  <c r="K1075" i="1"/>
  <c r="H1075" i="1"/>
  <c r="L1074" i="1"/>
  <c r="K1074" i="1"/>
  <c r="H1074" i="1"/>
  <c r="L1073" i="1"/>
  <c r="K1073" i="1"/>
  <c r="H1073" i="1"/>
  <c r="L1072" i="1"/>
  <c r="K1072" i="1"/>
  <c r="H1072" i="1"/>
  <c r="L1071" i="1"/>
  <c r="K1071" i="1"/>
  <c r="H1071" i="1"/>
  <c r="L1070" i="1"/>
  <c r="K1070" i="1"/>
  <c r="H1070" i="1"/>
  <c r="L1069" i="1"/>
  <c r="K1069" i="1"/>
  <c r="H1069" i="1"/>
  <c r="L1063" i="1"/>
  <c r="K1063" i="1"/>
  <c r="H1063" i="1"/>
  <c r="L1062" i="1"/>
  <c r="K1062" i="1"/>
  <c r="H1062" i="1"/>
  <c r="L1061" i="1"/>
  <c r="K1061" i="1"/>
  <c r="H1061" i="1"/>
  <c r="L1060" i="1"/>
  <c r="K1060" i="1"/>
  <c r="H1060" i="1"/>
  <c r="L1059" i="1"/>
  <c r="K1059" i="1"/>
  <c r="H1059" i="1"/>
  <c r="L1058" i="1"/>
  <c r="K1058" i="1"/>
  <c r="H1058" i="1"/>
  <c r="L1057" i="1"/>
  <c r="K1057" i="1"/>
  <c r="H1057" i="1"/>
  <c r="L1056" i="1"/>
  <c r="K1056" i="1"/>
  <c r="H1056" i="1"/>
  <c r="L1055" i="1"/>
  <c r="K1055" i="1"/>
  <c r="H1055" i="1"/>
  <c r="L1054" i="1"/>
  <c r="K1054" i="1"/>
  <c r="H1054" i="1"/>
  <c r="L1053" i="1"/>
  <c r="K1053" i="1"/>
  <c r="H1053" i="1"/>
  <c r="L1052" i="1"/>
  <c r="K1052" i="1"/>
  <c r="H1052" i="1"/>
  <c r="L1051" i="1"/>
  <c r="K1051" i="1"/>
  <c r="H1051" i="1"/>
  <c r="L1050" i="1"/>
  <c r="K1050" i="1"/>
  <c r="H1050" i="1"/>
  <c r="L1044" i="1"/>
  <c r="K1044" i="1"/>
  <c r="H1044" i="1"/>
  <c r="L1043" i="1"/>
  <c r="K1043" i="1"/>
  <c r="H1043" i="1"/>
  <c r="L1042" i="1"/>
  <c r="K1042" i="1"/>
  <c r="H1042" i="1"/>
  <c r="L1041" i="1"/>
  <c r="K1041" i="1"/>
  <c r="H1041" i="1"/>
  <c r="L1040" i="1"/>
  <c r="K1040" i="1"/>
  <c r="H1040" i="1"/>
  <c r="L1039" i="1"/>
  <c r="K1039" i="1"/>
  <c r="H1039" i="1"/>
  <c r="L1038" i="1"/>
  <c r="K1038" i="1"/>
  <c r="H1038" i="1"/>
  <c r="L1037" i="1"/>
  <c r="K1037" i="1"/>
  <c r="H1037" i="1"/>
  <c r="L1036" i="1"/>
  <c r="K1036" i="1"/>
  <c r="H1036" i="1"/>
  <c r="L1035" i="1"/>
  <c r="K1035" i="1"/>
  <c r="H1035" i="1"/>
  <c r="L1029" i="1"/>
  <c r="K1029" i="1"/>
  <c r="H1029" i="1"/>
  <c r="L1028" i="1"/>
  <c r="K1028" i="1"/>
  <c r="H1028" i="1"/>
  <c r="L1027" i="1"/>
  <c r="K1027" i="1"/>
  <c r="H1027" i="1"/>
  <c r="L1026" i="1"/>
  <c r="K1026" i="1"/>
  <c r="H1026" i="1"/>
  <c r="L1025" i="1"/>
  <c r="K1025" i="1"/>
  <c r="H1025" i="1"/>
  <c r="L1024" i="1"/>
  <c r="K1024" i="1"/>
  <c r="H1024" i="1"/>
  <c r="L1023" i="1"/>
  <c r="K1023" i="1"/>
  <c r="H1023" i="1"/>
  <c r="L1022" i="1"/>
  <c r="K1022" i="1"/>
  <c r="H1022" i="1"/>
  <c r="L1021" i="1"/>
  <c r="K1021" i="1"/>
  <c r="H1021" i="1"/>
  <c r="L1020" i="1"/>
  <c r="K1020" i="1"/>
  <c r="H1020" i="1"/>
  <c r="L1019" i="1"/>
  <c r="K1019" i="1"/>
  <c r="H1019" i="1"/>
  <c r="L1018" i="1"/>
  <c r="K1018" i="1"/>
  <c r="H1018" i="1"/>
  <c r="L1017" i="1"/>
  <c r="K1017" i="1"/>
  <c r="H1017" i="1"/>
  <c r="L1016" i="1"/>
  <c r="K1016" i="1"/>
  <c r="H1016" i="1"/>
  <c r="L1015" i="1"/>
  <c r="K1015" i="1"/>
  <c r="H1015" i="1"/>
  <c r="L1014" i="1"/>
  <c r="K1014" i="1"/>
  <c r="H1014" i="1"/>
  <c r="L1013" i="1"/>
  <c r="K1013" i="1"/>
  <c r="H1013" i="1"/>
  <c r="L1012" i="1"/>
  <c r="K1012" i="1"/>
  <c r="H1012" i="1"/>
  <c r="L1011" i="1"/>
  <c r="K1011" i="1"/>
  <c r="H1011" i="1"/>
  <c r="L1005" i="1"/>
  <c r="K1005" i="1"/>
  <c r="H1005" i="1"/>
  <c r="L1004" i="1"/>
  <c r="K1004" i="1"/>
  <c r="H1004" i="1"/>
  <c r="L1003" i="1"/>
  <c r="K1003" i="1"/>
  <c r="H1003" i="1"/>
  <c r="L1002" i="1"/>
  <c r="K1002" i="1"/>
  <c r="H1002" i="1"/>
  <c r="L1001" i="1"/>
  <c r="K1001" i="1"/>
  <c r="H1001" i="1"/>
  <c r="L1000" i="1"/>
  <c r="K1000" i="1"/>
  <c r="H1000" i="1"/>
  <c r="L999" i="1"/>
  <c r="K999" i="1"/>
  <c r="H999" i="1"/>
  <c r="L993" i="1"/>
  <c r="K993" i="1"/>
  <c r="H993" i="1"/>
  <c r="L992" i="1"/>
  <c r="K992" i="1"/>
  <c r="H992" i="1"/>
  <c r="L991" i="1"/>
  <c r="K991" i="1"/>
  <c r="H991" i="1"/>
  <c r="L990" i="1"/>
  <c r="K990" i="1"/>
  <c r="H990" i="1"/>
  <c r="L984" i="1"/>
  <c r="K984" i="1"/>
  <c r="H984" i="1"/>
  <c r="L983" i="1"/>
  <c r="K983" i="1"/>
  <c r="H983" i="1"/>
  <c r="L982" i="1"/>
  <c r="K982" i="1"/>
  <c r="H982" i="1"/>
  <c r="L981" i="1"/>
  <c r="K981" i="1"/>
  <c r="H981" i="1"/>
  <c r="L980" i="1"/>
  <c r="K980" i="1"/>
  <c r="H980" i="1"/>
  <c r="L979" i="1"/>
  <c r="K979" i="1"/>
  <c r="H979" i="1"/>
  <c r="L978" i="1"/>
  <c r="K978" i="1"/>
  <c r="H978" i="1"/>
  <c r="L977" i="1"/>
  <c r="K977" i="1"/>
  <c r="H977" i="1"/>
  <c r="L976" i="1"/>
  <c r="K976" i="1"/>
  <c r="H976" i="1"/>
  <c r="L975" i="1"/>
  <c r="K975" i="1"/>
  <c r="H975" i="1"/>
  <c r="L969" i="1"/>
  <c r="K969" i="1"/>
  <c r="H969" i="1"/>
  <c r="L968" i="1"/>
  <c r="K968" i="1"/>
  <c r="H968" i="1"/>
  <c r="L967" i="1"/>
  <c r="K967" i="1"/>
  <c r="H967" i="1"/>
  <c r="L966" i="1"/>
  <c r="K966" i="1"/>
  <c r="H966" i="1"/>
  <c r="L965" i="1"/>
  <c r="K965" i="1"/>
  <c r="H965" i="1"/>
  <c r="L964" i="1"/>
  <c r="K964" i="1"/>
  <c r="H964" i="1"/>
  <c r="L963" i="1"/>
  <c r="K963" i="1"/>
  <c r="H963" i="1"/>
  <c r="L962" i="1"/>
  <c r="K962" i="1"/>
  <c r="H962" i="1"/>
  <c r="L961" i="1"/>
  <c r="K961" i="1"/>
  <c r="H961" i="1"/>
  <c r="L960" i="1"/>
  <c r="K960" i="1"/>
  <c r="H960" i="1"/>
  <c r="L959" i="1"/>
  <c r="K959" i="1"/>
  <c r="H959" i="1"/>
  <c r="L958" i="1"/>
  <c r="K958" i="1"/>
  <c r="H958" i="1"/>
  <c r="L957" i="1"/>
  <c r="K957" i="1"/>
  <c r="H957" i="1"/>
  <c r="L956" i="1"/>
  <c r="K956" i="1"/>
  <c r="H956" i="1"/>
  <c r="L955" i="1"/>
  <c r="K955" i="1"/>
  <c r="H955" i="1"/>
  <c r="L954" i="1"/>
  <c r="K954" i="1"/>
  <c r="H954" i="1"/>
  <c r="L953" i="1"/>
  <c r="K953" i="1"/>
  <c r="H953" i="1"/>
  <c r="L952" i="1"/>
  <c r="K952" i="1"/>
  <c r="H952" i="1"/>
  <c r="L951" i="1"/>
  <c r="K951" i="1"/>
  <c r="H951" i="1"/>
  <c r="L950" i="1"/>
  <c r="K950" i="1"/>
  <c r="H950" i="1"/>
  <c r="L944" i="1"/>
  <c r="K944" i="1"/>
  <c r="H944" i="1"/>
  <c r="L943" i="1"/>
  <c r="K943" i="1"/>
  <c r="H943" i="1"/>
  <c r="L942" i="1"/>
  <c r="K942" i="1"/>
  <c r="H942" i="1"/>
  <c r="L941" i="1"/>
  <c r="K941" i="1"/>
  <c r="H941" i="1"/>
  <c r="L935" i="1"/>
  <c r="K935" i="1"/>
  <c r="H935" i="1"/>
  <c r="L934" i="1"/>
  <c r="K934" i="1"/>
  <c r="H934" i="1"/>
  <c r="L933" i="1"/>
  <c r="K933" i="1"/>
  <c r="H933" i="1"/>
  <c r="L932" i="1"/>
  <c r="K932" i="1"/>
  <c r="H932" i="1"/>
  <c r="L931" i="1"/>
  <c r="K931" i="1"/>
  <c r="H931" i="1"/>
  <c r="L930" i="1"/>
  <c r="K930" i="1"/>
  <c r="H930" i="1"/>
  <c r="L929" i="1"/>
  <c r="K929" i="1"/>
  <c r="H929" i="1"/>
  <c r="L928" i="1"/>
  <c r="K928" i="1"/>
  <c r="H928" i="1"/>
  <c r="L927" i="1"/>
  <c r="K927" i="1"/>
  <c r="H927" i="1"/>
  <c r="L926" i="1"/>
  <c r="K926" i="1"/>
  <c r="H926" i="1"/>
  <c r="L925" i="1"/>
  <c r="K925" i="1"/>
  <c r="H925" i="1"/>
  <c r="L919" i="1"/>
  <c r="K919" i="1"/>
  <c r="H919" i="1"/>
  <c r="L918" i="1"/>
  <c r="K918" i="1"/>
  <c r="H918" i="1"/>
  <c r="L917" i="1"/>
  <c r="K917" i="1"/>
  <c r="H917" i="1"/>
  <c r="L916" i="1"/>
  <c r="K916" i="1"/>
  <c r="H916" i="1"/>
  <c r="L915" i="1"/>
  <c r="K915" i="1"/>
  <c r="H915" i="1"/>
  <c r="L914" i="1"/>
  <c r="K914" i="1"/>
  <c r="H914" i="1"/>
  <c r="L913" i="1"/>
  <c r="K913" i="1"/>
  <c r="H913" i="1"/>
  <c r="L907" i="1"/>
  <c r="K907" i="1"/>
  <c r="H907" i="1"/>
  <c r="L906" i="1"/>
  <c r="K906" i="1"/>
  <c r="H906" i="1"/>
  <c r="L905" i="1"/>
  <c r="K905" i="1"/>
  <c r="H905" i="1"/>
  <c r="L904" i="1"/>
  <c r="K904" i="1"/>
  <c r="H904" i="1"/>
  <c r="L903" i="1"/>
  <c r="K903" i="1"/>
  <c r="H903" i="1"/>
  <c r="L902" i="1"/>
  <c r="K902" i="1"/>
  <c r="H902" i="1"/>
  <c r="L901" i="1"/>
  <c r="K901" i="1"/>
  <c r="H901" i="1"/>
  <c r="L900" i="1"/>
  <c r="K900" i="1"/>
  <c r="H900" i="1"/>
  <c r="L894" i="1"/>
  <c r="K894" i="1"/>
  <c r="H894" i="1"/>
  <c r="L893" i="1"/>
  <c r="K893" i="1"/>
  <c r="H893" i="1"/>
  <c r="L892" i="1"/>
  <c r="K892" i="1"/>
  <c r="H892" i="1"/>
  <c r="L891" i="1"/>
  <c r="K891" i="1"/>
  <c r="H891" i="1"/>
  <c r="L890" i="1"/>
  <c r="K890" i="1"/>
  <c r="H890" i="1"/>
  <c r="L889" i="1"/>
  <c r="K889" i="1"/>
  <c r="H889" i="1"/>
  <c r="L888" i="1"/>
  <c r="K888" i="1"/>
  <c r="H888" i="1"/>
  <c r="L887" i="1"/>
  <c r="K887" i="1"/>
  <c r="H887" i="1"/>
  <c r="L886" i="1"/>
  <c r="K886" i="1"/>
  <c r="H886" i="1"/>
  <c r="L885" i="1"/>
  <c r="K885" i="1"/>
  <c r="H885" i="1"/>
  <c r="L884" i="1"/>
  <c r="K884" i="1"/>
  <c r="H884" i="1"/>
  <c r="L883" i="1"/>
  <c r="K883" i="1"/>
  <c r="H883" i="1"/>
  <c r="L882" i="1"/>
  <c r="K882" i="1"/>
  <c r="H882" i="1"/>
  <c r="L881" i="1"/>
  <c r="K881" i="1"/>
  <c r="H881" i="1"/>
  <c r="L880" i="1"/>
  <c r="K880" i="1"/>
  <c r="H880" i="1"/>
  <c r="L874" i="1"/>
  <c r="K874" i="1"/>
  <c r="H874" i="1"/>
  <c r="L873" i="1"/>
  <c r="K873" i="1"/>
  <c r="H873" i="1"/>
  <c r="L872" i="1"/>
  <c r="K872" i="1"/>
  <c r="H872" i="1"/>
  <c r="L871" i="1"/>
  <c r="K871" i="1"/>
  <c r="H871" i="1"/>
  <c r="L870" i="1"/>
  <c r="K870" i="1"/>
  <c r="H870" i="1"/>
  <c r="L869" i="1"/>
  <c r="K869" i="1"/>
  <c r="H869" i="1"/>
  <c r="L868" i="1"/>
  <c r="K868" i="1"/>
  <c r="H868" i="1"/>
  <c r="L867" i="1"/>
  <c r="K867" i="1"/>
  <c r="H867" i="1"/>
  <c r="L866" i="1"/>
  <c r="K866" i="1"/>
  <c r="H866" i="1"/>
  <c r="L865" i="1"/>
  <c r="K865" i="1"/>
  <c r="H865" i="1"/>
  <c r="L864" i="1"/>
  <c r="K864" i="1"/>
  <c r="H864" i="1"/>
  <c r="L863" i="1"/>
  <c r="K863" i="1"/>
  <c r="H863" i="1"/>
  <c r="L862" i="1"/>
  <c r="K862" i="1"/>
  <c r="H862" i="1"/>
  <c r="L861" i="1"/>
  <c r="K861" i="1"/>
  <c r="H861" i="1"/>
  <c r="L860" i="1"/>
  <c r="K860" i="1"/>
  <c r="H860" i="1"/>
  <c r="L859" i="1"/>
  <c r="K859" i="1"/>
  <c r="H859" i="1"/>
  <c r="L858" i="1"/>
  <c r="K858" i="1"/>
  <c r="H858" i="1"/>
  <c r="L857" i="1"/>
  <c r="K857" i="1"/>
  <c r="H857" i="1"/>
  <c r="L851" i="1"/>
  <c r="K851" i="1"/>
  <c r="H851" i="1"/>
  <c r="L850" i="1"/>
  <c r="K850" i="1"/>
  <c r="H850" i="1"/>
  <c r="L849" i="1"/>
  <c r="K849" i="1"/>
  <c r="H849" i="1"/>
  <c r="L848" i="1"/>
  <c r="K848" i="1"/>
  <c r="H848" i="1"/>
  <c r="L847" i="1"/>
  <c r="K847" i="1"/>
  <c r="H847" i="1"/>
  <c r="L846" i="1"/>
  <c r="K846" i="1"/>
  <c r="H846" i="1"/>
  <c r="L845" i="1"/>
  <c r="K845" i="1"/>
  <c r="H845" i="1"/>
  <c r="L844" i="1"/>
  <c r="K844" i="1"/>
  <c r="H844" i="1"/>
  <c r="L843" i="1"/>
  <c r="K843" i="1"/>
  <c r="H843" i="1"/>
  <c r="L842" i="1"/>
  <c r="K842" i="1"/>
  <c r="H842" i="1"/>
  <c r="L841" i="1"/>
  <c r="K841" i="1"/>
  <c r="H841" i="1"/>
  <c r="L840" i="1"/>
  <c r="K840" i="1"/>
  <c r="H840" i="1"/>
  <c r="L839" i="1"/>
  <c r="K839" i="1"/>
  <c r="H839" i="1"/>
  <c r="L838" i="1"/>
  <c r="K838" i="1"/>
  <c r="H838" i="1"/>
  <c r="L837" i="1"/>
  <c r="K837" i="1"/>
  <c r="H837" i="1"/>
  <c r="L831" i="1"/>
  <c r="K831" i="1"/>
  <c r="H831" i="1"/>
  <c r="L830" i="1"/>
  <c r="K830" i="1"/>
  <c r="H830" i="1"/>
  <c r="L829" i="1"/>
  <c r="K829" i="1"/>
  <c r="H829" i="1"/>
  <c r="L828" i="1"/>
  <c r="K828" i="1"/>
  <c r="H828" i="1"/>
  <c r="L827" i="1"/>
  <c r="K827" i="1"/>
  <c r="H827" i="1"/>
  <c r="L821" i="1"/>
  <c r="K821" i="1"/>
  <c r="H821" i="1"/>
  <c r="L820" i="1"/>
  <c r="K820" i="1"/>
  <c r="H820" i="1"/>
  <c r="L819" i="1"/>
  <c r="K819" i="1"/>
  <c r="H819" i="1"/>
  <c r="L818" i="1"/>
  <c r="K818" i="1"/>
  <c r="H818" i="1"/>
  <c r="L817" i="1"/>
  <c r="K817" i="1"/>
  <c r="H817" i="1"/>
  <c r="L816" i="1"/>
  <c r="K816" i="1"/>
  <c r="H816" i="1"/>
  <c r="L815" i="1"/>
  <c r="K815" i="1"/>
  <c r="H815" i="1"/>
  <c r="L814" i="1"/>
  <c r="K814" i="1"/>
  <c r="H814" i="1"/>
  <c r="L813" i="1"/>
  <c r="K813" i="1"/>
  <c r="H813" i="1"/>
  <c r="L812" i="1"/>
  <c r="K812" i="1"/>
  <c r="H812" i="1"/>
  <c r="L811" i="1"/>
  <c r="K811" i="1"/>
  <c r="H811" i="1"/>
  <c r="L810" i="1"/>
  <c r="K810" i="1"/>
  <c r="H810" i="1"/>
  <c r="L809" i="1"/>
  <c r="K809" i="1"/>
  <c r="H809" i="1"/>
  <c r="L808" i="1"/>
  <c r="K808" i="1"/>
  <c r="H808" i="1"/>
  <c r="L802" i="1"/>
  <c r="K802" i="1"/>
  <c r="H802" i="1"/>
  <c r="L801" i="1"/>
  <c r="K801" i="1"/>
  <c r="H801" i="1"/>
  <c r="L800" i="1"/>
  <c r="K800" i="1"/>
  <c r="H800" i="1"/>
  <c r="L799" i="1"/>
  <c r="K799" i="1"/>
  <c r="H799" i="1"/>
  <c r="L793" i="1"/>
  <c r="K793" i="1"/>
  <c r="H793" i="1"/>
  <c r="L792" i="1"/>
  <c r="K792" i="1"/>
  <c r="H792" i="1"/>
  <c r="L791" i="1"/>
  <c r="K791" i="1"/>
  <c r="H791" i="1"/>
  <c r="L790" i="1"/>
  <c r="K790" i="1"/>
  <c r="H790" i="1"/>
  <c r="L789" i="1"/>
  <c r="K789" i="1"/>
  <c r="H789" i="1"/>
  <c r="L788" i="1"/>
  <c r="K788" i="1"/>
  <c r="H788" i="1"/>
  <c r="L787" i="1"/>
  <c r="K787" i="1"/>
  <c r="H787" i="1"/>
  <c r="L781" i="1"/>
  <c r="K781" i="1"/>
  <c r="H781" i="1"/>
  <c r="L780" i="1"/>
  <c r="K780" i="1"/>
  <c r="H780" i="1"/>
  <c r="L779" i="1"/>
  <c r="K779" i="1"/>
  <c r="H779" i="1"/>
  <c r="L778" i="1"/>
  <c r="K778" i="1"/>
  <c r="H778" i="1"/>
  <c r="L777" i="1"/>
  <c r="K777" i="1"/>
  <c r="H777" i="1"/>
  <c r="L776" i="1"/>
  <c r="K776" i="1"/>
  <c r="H776" i="1"/>
  <c r="L775" i="1"/>
  <c r="K775" i="1"/>
  <c r="H775" i="1"/>
  <c r="L774" i="1"/>
  <c r="K774" i="1"/>
  <c r="H774" i="1"/>
  <c r="L773" i="1"/>
  <c r="K773" i="1"/>
  <c r="H773" i="1"/>
  <c r="L772" i="1"/>
  <c r="K772" i="1"/>
  <c r="H772" i="1"/>
  <c r="L771" i="1"/>
  <c r="K771" i="1"/>
  <c r="H771" i="1"/>
  <c r="L770" i="1"/>
  <c r="K770" i="1"/>
  <c r="H770" i="1"/>
  <c r="L764" i="1"/>
  <c r="K764" i="1"/>
  <c r="H764" i="1"/>
  <c r="L763" i="1"/>
  <c r="K763" i="1"/>
  <c r="H763" i="1"/>
  <c r="L762" i="1"/>
  <c r="K762" i="1"/>
  <c r="H762" i="1"/>
  <c r="L761" i="1"/>
  <c r="K761" i="1"/>
  <c r="H761" i="1"/>
  <c r="L760" i="1"/>
  <c r="K760" i="1"/>
  <c r="H760" i="1"/>
  <c r="L754" i="1"/>
  <c r="K754" i="1"/>
  <c r="H754" i="1"/>
  <c r="L753" i="1"/>
  <c r="K753" i="1"/>
  <c r="H753" i="1"/>
  <c r="L752" i="1"/>
  <c r="K752" i="1"/>
  <c r="H752" i="1"/>
  <c r="L751" i="1"/>
  <c r="K751" i="1"/>
  <c r="H751" i="1"/>
  <c r="L750" i="1"/>
  <c r="K750" i="1"/>
  <c r="H750" i="1"/>
  <c r="L749" i="1"/>
  <c r="K749" i="1"/>
  <c r="H749" i="1"/>
  <c r="L748" i="1"/>
  <c r="K748" i="1"/>
  <c r="H748" i="1"/>
  <c r="L747" i="1"/>
  <c r="K747" i="1"/>
  <c r="H747" i="1"/>
  <c r="L746" i="1"/>
  <c r="K746" i="1"/>
  <c r="H746" i="1"/>
  <c r="L745" i="1"/>
  <c r="K745" i="1"/>
  <c r="H745" i="1"/>
  <c r="L744" i="1"/>
  <c r="K744" i="1"/>
  <c r="H744" i="1"/>
  <c r="L743" i="1"/>
  <c r="K743" i="1"/>
  <c r="H743" i="1"/>
  <c r="L742" i="1"/>
  <c r="K742" i="1"/>
  <c r="H742" i="1"/>
  <c r="L736" i="1"/>
  <c r="K736" i="1"/>
  <c r="H736" i="1"/>
  <c r="L735" i="1"/>
  <c r="K735" i="1"/>
  <c r="H735" i="1"/>
  <c r="L734" i="1"/>
  <c r="K734" i="1"/>
  <c r="H734" i="1"/>
  <c r="L733" i="1"/>
  <c r="K733" i="1"/>
  <c r="H733" i="1"/>
  <c r="L732" i="1"/>
  <c r="K732" i="1"/>
  <c r="H732" i="1"/>
  <c r="L731" i="1"/>
  <c r="K731" i="1"/>
  <c r="H731" i="1"/>
  <c r="L730" i="1"/>
  <c r="K730" i="1"/>
  <c r="H730" i="1"/>
  <c r="L729" i="1"/>
  <c r="K729" i="1"/>
  <c r="H729" i="1"/>
  <c r="L728" i="1"/>
  <c r="K728" i="1"/>
  <c r="H728" i="1"/>
  <c r="L722" i="1"/>
  <c r="K722" i="1"/>
  <c r="H722" i="1"/>
  <c r="L721" i="1"/>
  <c r="K721" i="1"/>
  <c r="H721" i="1"/>
  <c r="L720" i="1"/>
  <c r="K720" i="1"/>
  <c r="H720" i="1"/>
  <c r="L719" i="1"/>
  <c r="K719" i="1"/>
  <c r="H719" i="1"/>
  <c r="L718" i="1"/>
  <c r="K718" i="1"/>
  <c r="H718" i="1"/>
  <c r="L717" i="1"/>
  <c r="K717" i="1"/>
  <c r="H717" i="1"/>
  <c r="L716" i="1"/>
  <c r="K716" i="1"/>
  <c r="H716" i="1"/>
  <c r="L715" i="1"/>
  <c r="K715" i="1"/>
  <c r="H715" i="1"/>
  <c r="L714" i="1"/>
  <c r="K714" i="1"/>
  <c r="H714" i="1"/>
  <c r="L708" i="1"/>
  <c r="K708" i="1"/>
  <c r="H708" i="1"/>
  <c r="L707" i="1"/>
  <c r="K707" i="1"/>
  <c r="H707" i="1"/>
  <c r="L706" i="1"/>
  <c r="K706" i="1"/>
  <c r="H706" i="1"/>
  <c r="L700" i="1"/>
  <c r="K700" i="1"/>
  <c r="H700" i="1"/>
  <c r="L699" i="1"/>
  <c r="K699" i="1"/>
  <c r="H699" i="1"/>
  <c r="L698" i="1"/>
  <c r="K698" i="1"/>
  <c r="H698" i="1"/>
  <c r="L697" i="1"/>
  <c r="K697" i="1"/>
  <c r="H697" i="1"/>
  <c r="L696" i="1"/>
  <c r="K696" i="1"/>
  <c r="H696" i="1"/>
  <c r="L695" i="1"/>
  <c r="K695" i="1"/>
  <c r="H695" i="1"/>
  <c r="L694" i="1"/>
  <c r="K694" i="1"/>
  <c r="H694" i="1"/>
  <c r="L693" i="1"/>
  <c r="K693" i="1"/>
  <c r="H693" i="1"/>
  <c r="L692" i="1"/>
  <c r="K692" i="1"/>
  <c r="H692" i="1"/>
  <c r="L686" i="1"/>
  <c r="K686" i="1"/>
  <c r="H686" i="1"/>
  <c r="L685" i="1"/>
  <c r="K685" i="1"/>
  <c r="H685" i="1"/>
  <c r="L684" i="1"/>
  <c r="K684" i="1"/>
  <c r="H684" i="1"/>
  <c r="L683" i="1"/>
  <c r="K683" i="1"/>
  <c r="H683" i="1"/>
  <c r="L682" i="1"/>
  <c r="K682" i="1"/>
  <c r="H682" i="1"/>
  <c r="L681" i="1"/>
  <c r="K681" i="1"/>
  <c r="H681" i="1"/>
  <c r="L680" i="1"/>
  <c r="K680" i="1"/>
  <c r="H680" i="1"/>
  <c r="L679" i="1"/>
  <c r="K679" i="1"/>
  <c r="H679" i="1"/>
  <c r="L678" i="1"/>
  <c r="K678" i="1"/>
  <c r="H678" i="1"/>
  <c r="L677" i="1"/>
  <c r="K677" i="1"/>
  <c r="H677" i="1"/>
  <c r="L676" i="1"/>
  <c r="K676" i="1"/>
  <c r="H676" i="1"/>
  <c r="L670" i="1"/>
  <c r="K670" i="1"/>
  <c r="H670" i="1"/>
  <c r="L669" i="1"/>
  <c r="K669" i="1"/>
  <c r="H669" i="1"/>
  <c r="L668" i="1"/>
  <c r="K668" i="1"/>
  <c r="H668" i="1"/>
  <c r="L667" i="1"/>
  <c r="K667" i="1"/>
  <c r="H667" i="1"/>
  <c r="L666" i="1"/>
  <c r="K666" i="1"/>
  <c r="H666" i="1"/>
  <c r="L665" i="1"/>
  <c r="K665" i="1"/>
  <c r="H665" i="1"/>
  <c r="L664" i="1"/>
  <c r="K664" i="1"/>
  <c r="H664" i="1"/>
  <c r="L663" i="1"/>
  <c r="K663" i="1"/>
  <c r="H663" i="1"/>
  <c r="L662" i="1"/>
  <c r="K662" i="1"/>
  <c r="H662" i="1"/>
  <c r="L661" i="1"/>
  <c r="K661" i="1"/>
  <c r="H661" i="1"/>
  <c r="L660" i="1"/>
  <c r="K660" i="1"/>
  <c r="H660" i="1"/>
  <c r="L654" i="1"/>
  <c r="K654" i="1"/>
  <c r="H654" i="1"/>
  <c r="L653" i="1"/>
  <c r="K653" i="1"/>
  <c r="H653" i="1"/>
  <c r="L652" i="1"/>
  <c r="K652" i="1"/>
  <c r="H652" i="1"/>
  <c r="L651" i="1"/>
  <c r="K651" i="1"/>
  <c r="H651" i="1"/>
  <c r="L650" i="1"/>
  <c r="K650" i="1"/>
  <c r="H650" i="1"/>
  <c r="L649" i="1"/>
  <c r="K649" i="1"/>
  <c r="H649" i="1"/>
  <c r="L643" i="1"/>
  <c r="K643" i="1"/>
  <c r="H643" i="1"/>
  <c r="L642" i="1"/>
  <c r="K642" i="1"/>
  <c r="H642" i="1"/>
  <c r="L641" i="1"/>
  <c r="K641" i="1"/>
  <c r="H641" i="1"/>
  <c r="L640" i="1"/>
  <c r="K640" i="1"/>
  <c r="H640" i="1"/>
  <c r="L639" i="1"/>
  <c r="K639" i="1"/>
  <c r="H639" i="1"/>
  <c r="L638" i="1"/>
  <c r="K638" i="1"/>
  <c r="H638" i="1"/>
  <c r="L632" i="1"/>
  <c r="K632" i="1"/>
  <c r="H632" i="1"/>
  <c r="L631" i="1"/>
  <c r="K631" i="1"/>
  <c r="H631" i="1"/>
  <c r="L630" i="1"/>
  <c r="K630" i="1"/>
  <c r="H630" i="1"/>
  <c r="L629" i="1"/>
  <c r="K629" i="1"/>
  <c r="H629" i="1"/>
  <c r="L628" i="1"/>
  <c r="K628" i="1"/>
  <c r="H628" i="1"/>
  <c r="L627" i="1"/>
  <c r="K627" i="1"/>
  <c r="H627" i="1"/>
  <c r="L626" i="1"/>
  <c r="K626" i="1"/>
  <c r="H626" i="1"/>
  <c r="L625" i="1"/>
  <c r="K625" i="1"/>
  <c r="H625" i="1"/>
  <c r="L619" i="1"/>
  <c r="K619" i="1"/>
  <c r="H619" i="1"/>
  <c r="L618" i="1"/>
  <c r="K618" i="1"/>
  <c r="H618" i="1"/>
  <c r="L617" i="1"/>
  <c r="K617" i="1"/>
  <c r="H617" i="1"/>
  <c r="L616" i="1"/>
  <c r="K616" i="1"/>
  <c r="H616" i="1"/>
  <c r="L615" i="1"/>
  <c r="K615" i="1"/>
  <c r="H615" i="1"/>
  <c r="L614" i="1"/>
  <c r="K614" i="1"/>
  <c r="H614" i="1"/>
  <c r="L613" i="1"/>
  <c r="K613" i="1"/>
  <c r="H613" i="1"/>
  <c r="L607" i="1"/>
  <c r="K607" i="1"/>
  <c r="H607" i="1"/>
  <c r="L606" i="1"/>
  <c r="K606" i="1"/>
  <c r="H606" i="1"/>
  <c r="L605" i="1"/>
  <c r="K605" i="1"/>
  <c r="H605" i="1"/>
  <c r="L604" i="1"/>
  <c r="K604" i="1"/>
  <c r="H604" i="1"/>
  <c r="L603" i="1"/>
  <c r="K603" i="1"/>
  <c r="H603" i="1"/>
  <c r="L602" i="1"/>
  <c r="K602" i="1"/>
  <c r="H602" i="1"/>
  <c r="L601" i="1"/>
  <c r="K601" i="1"/>
  <c r="H601" i="1"/>
  <c r="L600" i="1"/>
  <c r="K600" i="1"/>
  <c r="H600" i="1"/>
  <c r="L599" i="1"/>
  <c r="K599" i="1"/>
  <c r="H599" i="1"/>
  <c r="L598" i="1"/>
  <c r="K598" i="1"/>
  <c r="H598" i="1"/>
  <c r="L597" i="1"/>
  <c r="K597" i="1"/>
  <c r="H597" i="1"/>
  <c r="L596" i="1"/>
  <c r="K596" i="1"/>
  <c r="H596" i="1"/>
  <c r="L595" i="1"/>
  <c r="K595" i="1"/>
  <c r="H595" i="1"/>
  <c r="L589" i="1"/>
  <c r="K589" i="1"/>
  <c r="H589" i="1"/>
  <c r="L588" i="1"/>
  <c r="K588" i="1"/>
  <c r="H588" i="1"/>
  <c r="L587" i="1"/>
  <c r="K587" i="1"/>
  <c r="H587" i="1"/>
  <c r="L586" i="1"/>
  <c r="K586" i="1"/>
  <c r="H586" i="1"/>
  <c r="L585" i="1"/>
  <c r="K585" i="1"/>
  <c r="H585" i="1"/>
  <c r="L584" i="1"/>
  <c r="K584" i="1"/>
  <c r="H584" i="1"/>
  <c r="L583" i="1"/>
  <c r="K583" i="1"/>
  <c r="H583" i="1"/>
  <c r="L582" i="1"/>
  <c r="K582" i="1"/>
  <c r="H582" i="1"/>
  <c r="L581" i="1"/>
  <c r="K581" i="1"/>
  <c r="H581" i="1"/>
  <c r="L580" i="1"/>
  <c r="K580" i="1"/>
  <c r="H580" i="1"/>
  <c r="L574" i="1"/>
  <c r="K574" i="1"/>
  <c r="H574" i="1"/>
  <c r="L573" i="1"/>
  <c r="K573" i="1"/>
  <c r="H573" i="1"/>
  <c r="L572" i="1"/>
  <c r="K572" i="1"/>
  <c r="H572" i="1"/>
  <c r="L571" i="1"/>
  <c r="K571" i="1"/>
  <c r="H571" i="1"/>
  <c r="L570" i="1"/>
  <c r="K570" i="1"/>
  <c r="H570" i="1"/>
  <c r="L569" i="1"/>
  <c r="K569" i="1"/>
  <c r="H569" i="1"/>
  <c r="L568" i="1"/>
  <c r="K568" i="1"/>
  <c r="H568" i="1"/>
  <c r="L567" i="1"/>
  <c r="K567" i="1"/>
  <c r="H567" i="1"/>
  <c r="L566" i="1"/>
  <c r="K566" i="1"/>
  <c r="H566" i="1"/>
  <c r="L565" i="1"/>
  <c r="K565" i="1"/>
  <c r="H565" i="1"/>
  <c r="L564" i="1"/>
  <c r="K564" i="1"/>
  <c r="H564" i="1"/>
  <c r="L563" i="1"/>
  <c r="K563" i="1"/>
  <c r="H563" i="1"/>
  <c r="L562" i="1"/>
  <c r="K562" i="1"/>
  <c r="H562" i="1"/>
  <c r="L561" i="1"/>
  <c r="K561" i="1"/>
  <c r="H561" i="1"/>
  <c r="L560" i="1"/>
  <c r="K560" i="1"/>
  <c r="H560" i="1"/>
  <c r="L559" i="1"/>
  <c r="K559" i="1"/>
  <c r="H559" i="1"/>
  <c r="L558" i="1"/>
  <c r="K558" i="1"/>
  <c r="H558" i="1"/>
  <c r="L557" i="1"/>
  <c r="K557" i="1"/>
  <c r="H557" i="1"/>
  <c r="L556" i="1"/>
  <c r="K556" i="1"/>
  <c r="H556" i="1"/>
  <c r="L555" i="1"/>
  <c r="K555" i="1"/>
  <c r="H555" i="1"/>
  <c r="L549" i="1"/>
  <c r="K549" i="1"/>
  <c r="H549" i="1"/>
  <c r="L548" i="1"/>
  <c r="K548" i="1"/>
  <c r="H548" i="1"/>
  <c r="L547" i="1"/>
  <c r="K547" i="1"/>
  <c r="H547" i="1"/>
  <c r="L546" i="1"/>
  <c r="K546" i="1"/>
  <c r="H546" i="1"/>
  <c r="L545" i="1"/>
  <c r="K545" i="1"/>
  <c r="H545" i="1"/>
  <c r="L544" i="1"/>
  <c r="K544" i="1"/>
  <c r="H544" i="1"/>
  <c r="L543" i="1"/>
  <c r="K543" i="1"/>
  <c r="H543" i="1"/>
  <c r="L542" i="1"/>
  <c r="K542" i="1"/>
  <c r="H542" i="1"/>
  <c r="L536" i="1"/>
  <c r="K536" i="1"/>
  <c r="H536" i="1"/>
  <c r="L535" i="1"/>
  <c r="K535" i="1"/>
  <c r="H535" i="1"/>
  <c r="L534" i="1"/>
  <c r="K534" i="1"/>
  <c r="H534" i="1"/>
  <c r="L533" i="1"/>
  <c r="K533" i="1"/>
  <c r="H533" i="1"/>
  <c r="L532" i="1"/>
  <c r="K532" i="1"/>
  <c r="H532" i="1"/>
  <c r="L531" i="1"/>
  <c r="K531" i="1"/>
  <c r="H531" i="1"/>
  <c r="L530" i="1"/>
  <c r="K530" i="1"/>
  <c r="H530" i="1"/>
  <c r="L529" i="1"/>
  <c r="K529" i="1"/>
  <c r="H529" i="1"/>
  <c r="L528" i="1"/>
  <c r="K528" i="1"/>
  <c r="H528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16" i="1"/>
  <c r="K516" i="1"/>
  <c r="H516" i="1"/>
  <c r="L515" i="1"/>
  <c r="K515" i="1"/>
  <c r="H515" i="1"/>
  <c r="L514" i="1"/>
  <c r="K514" i="1"/>
  <c r="H514" i="1"/>
  <c r="L513" i="1"/>
  <c r="K513" i="1"/>
  <c r="H513" i="1"/>
  <c r="L512" i="1"/>
  <c r="K512" i="1"/>
  <c r="H512" i="1"/>
  <c r="L511" i="1"/>
  <c r="K511" i="1"/>
  <c r="H511" i="1"/>
  <c r="L510" i="1"/>
  <c r="K510" i="1"/>
  <c r="H510" i="1"/>
  <c r="L509" i="1"/>
  <c r="K509" i="1"/>
  <c r="H509" i="1"/>
  <c r="L508" i="1"/>
  <c r="K508" i="1"/>
  <c r="H508" i="1"/>
  <c r="L507" i="1"/>
  <c r="K507" i="1"/>
  <c r="H507" i="1"/>
  <c r="L506" i="1"/>
  <c r="K506" i="1"/>
  <c r="H506" i="1"/>
  <c r="L505" i="1"/>
  <c r="K505" i="1"/>
  <c r="H505" i="1"/>
  <c r="L504" i="1"/>
  <c r="K504" i="1"/>
  <c r="H504" i="1"/>
  <c r="L503" i="1"/>
  <c r="K503" i="1"/>
  <c r="H503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80" i="1"/>
  <c r="K480" i="1"/>
  <c r="H480" i="1"/>
  <c r="L479" i="1"/>
  <c r="K479" i="1"/>
  <c r="H479" i="1"/>
  <c r="L478" i="1"/>
  <c r="K478" i="1"/>
  <c r="H478" i="1"/>
  <c r="L477" i="1"/>
  <c r="K477" i="1"/>
  <c r="H477" i="1"/>
  <c r="L476" i="1"/>
  <c r="K476" i="1"/>
  <c r="H476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6" i="1"/>
  <c r="K466" i="1"/>
  <c r="H466" i="1"/>
  <c r="L465" i="1"/>
  <c r="K465" i="1"/>
  <c r="H465" i="1"/>
  <c r="L464" i="1"/>
  <c r="K464" i="1"/>
  <c r="H464" i="1"/>
  <c r="L458" i="1"/>
  <c r="K458" i="1"/>
  <c r="H458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8" i="1"/>
  <c r="K418" i="1"/>
  <c r="H418" i="1"/>
  <c r="L417" i="1"/>
  <c r="K417" i="1"/>
  <c r="H417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6" i="1"/>
  <c r="K396" i="1"/>
  <c r="H396" i="1"/>
  <c r="L395" i="1"/>
  <c r="K395" i="1"/>
  <c r="H395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2" i="1"/>
  <c r="K192" i="1"/>
  <c r="H192" i="1"/>
  <c r="L191" i="1"/>
  <c r="K191" i="1"/>
  <c r="H191" i="1"/>
  <c r="L190" i="1"/>
  <c r="K190" i="1"/>
  <c r="H190" i="1"/>
  <c r="L189" i="1"/>
  <c r="K189" i="1"/>
  <c r="H189" i="1"/>
  <c r="L188" i="1"/>
  <c r="K188" i="1"/>
  <c r="H188" i="1"/>
  <c r="L187" i="1"/>
  <c r="K187" i="1"/>
  <c r="H187" i="1"/>
  <c r="L186" i="1"/>
  <c r="K186" i="1"/>
  <c r="H186" i="1"/>
  <c r="L185" i="1"/>
  <c r="K185" i="1"/>
  <c r="H185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8" i="1"/>
  <c r="K178" i="1"/>
  <c r="H178" i="1"/>
  <c r="L172" i="1"/>
  <c r="K172" i="1"/>
  <c r="H172" i="1"/>
  <c r="L171" i="1"/>
  <c r="K171" i="1"/>
  <c r="H171" i="1"/>
  <c r="L170" i="1"/>
  <c r="K170" i="1"/>
  <c r="H170" i="1"/>
  <c r="L169" i="1"/>
  <c r="K169" i="1"/>
  <c r="H169" i="1"/>
  <c r="L168" i="1"/>
  <c r="K168" i="1"/>
  <c r="H168" i="1"/>
  <c r="L167" i="1"/>
  <c r="K167" i="1"/>
  <c r="H167" i="1"/>
  <c r="L166" i="1"/>
  <c r="K166" i="1"/>
  <c r="H166" i="1"/>
  <c r="L165" i="1"/>
  <c r="K165" i="1"/>
  <c r="H165" i="1"/>
  <c r="L164" i="1"/>
  <c r="K164" i="1"/>
  <c r="H164" i="1"/>
  <c r="L163" i="1"/>
  <c r="K163" i="1"/>
  <c r="H163" i="1"/>
  <c r="L157" i="1"/>
  <c r="K157" i="1"/>
  <c r="H157" i="1"/>
  <c r="L156" i="1"/>
  <c r="K156" i="1"/>
  <c r="H156" i="1"/>
  <c r="L155" i="1"/>
  <c r="K155" i="1"/>
  <c r="H155" i="1"/>
  <c r="L154" i="1"/>
  <c r="K154" i="1"/>
  <c r="H154" i="1"/>
  <c r="L153" i="1"/>
  <c r="K153" i="1"/>
  <c r="H153" i="1"/>
  <c r="L152" i="1"/>
  <c r="K152" i="1"/>
  <c r="H152" i="1"/>
  <c r="L146" i="1"/>
  <c r="K146" i="1"/>
  <c r="H146" i="1"/>
  <c r="L145" i="1"/>
  <c r="K145" i="1"/>
  <c r="H145" i="1"/>
  <c r="L144" i="1"/>
  <c r="K144" i="1"/>
  <c r="H144" i="1"/>
  <c r="L143" i="1"/>
  <c r="K143" i="1"/>
  <c r="H143" i="1"/>
  <c r="L142" i="1"/>
  <c r="K142" i="1"/>
  <c r="H142" i="1"/>
  <c r="L141" i="1"/>
  <c r="K141" i="1"/>
  <c r="H141" i="1"/>
  <c r="L140" i="1"/>
  <c r="K140" i="1"/>
  <c r="H140" i="1"/>
  <c r="L139" i="1"/>
  <c r="K139" i="1"/>
  <c r="H139" i="1"/>
  <c r="L138" i="1"/>
  <c r="K138" i="1"/>
  <c r="H138" i="1"/>
  <c r="L137" i="1"/>
  <c r="K137" i="1"/>
  <c r="H137" i="1"/>
  <c r="L136" i="1"/>
  <c r="K136" i="1"/>
  <c r="H136" i="1"/>
  <c r="L135" i="1"/>
  <c r="K135" i="1"/>
  <c r="H135" i="1"/>
  <c r="L134" i="1"/>
  <c r="K134" i="1"/>
  <c r="H134" i="1"/>
  <c r="L133" i="1"/>
  <c r="K133" i="1"/>
  <c r="H133" i="1"/>
  <c r="L127" i="1"/>
  <c r="K127" i="1"/>
  <c r="H127" i="1"/>
  <c r="L126" i="1"/>
  <c r="K126" i="1"/>
  <c r="H126" i="1"/>
  <c r="L125" i="1"/>
  <c r="K125" i="1"/>
  <c r="H125" i="1"/>
  <c r="L124" i="1"/>
  <c r="K124" i="1"/>
  <c r="H124" i="1"/>
  <c r="L123" i="1"/>
  <c r="K123" i="1"/>
  <c r="H123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8" i="1"/>
  <c r="K118" i="1"/>
  <c r="H118" i="1"/>
  <c r="L117" i="1"/>
  <c r="K117" i="1"/>
  <c r="H117" i="1"/>
  <c r="L116" i="1"/>
  <c r="K116" i="1"/>
  <c r="H116" i="1"/>
  <c r="L115" i="1"/>
  <c r="K115" i="1"/>
  <c r="H115" i="1"/>
  <c r="L114" i="1"/>
  <c r="K114" i="1"/>
  <c r="H114" i="1"/>
  <c r="L113" i="1"/>
  <c r="K113" i="1"/>
  <c r="H113" i="1"/>
  <c r="L112" i="1"/>
  <c r="K112" i="1"/>
  <c r="H112" i="1"/>
  <c r="L111" i="1"/>
  <c r="K111" i="1"/>
  <c r="H111" i="1"/>
  <c r="L105" i="1"/>
  <c r="K105" i="1"/>
  <c r="H105" i="1"/>
  <c r="L104" i="1"/>
  <c r="K104" i="1"/>
  <c r="H104" i="1"/>
  <c r="L103" i="1"/>
  <c r="K103" i="1"/>
  <c r="H103" i="1"/>
  <c r="L102" i="1"/>
  <c r="K102" i="1"/>
  <c r="H102" i="1"/>
  <c r="L101" i="1"/>
  <c r="K101" i="1"/>
  <c r="H101" i="1"/>
  <c r="L100" i="1"/>
  <c r="K100" i="1"/>
  <c r="H100" i="1"/>
  <c r="L99" i="1"/>
  <c r="K99" i="1"/>
  <c r="H99" i="1"/>
  <c r="L98" i="1"/>
  <c r="K98" i="1"/>
  <c r="H98" i="1"/>
  <c r="L92" i="1"/>
  <c r="K92" i="1"/>
  <c r="H92" i="1"/>
  <c r="L91" i="1"/>
  <c r="K91" i="1"/>
  <c r="H91" i="1"/>
  <c r="L90" i="1"/>
  <c r="K90" i="1"/>
  <c r="H90" i="1"/>
  <c r="L89" i="1"/>
  <c r="K89" i="1"/>
  <c r="H89" i="1"/>
  <c r="L88" i="1"/>
  <c r="K88" i="1"/>
  <c r="H88" i="1"/>
  <c r="L87" i="1"/>
  <c r="K87" i="1"/>
  <c r="H87" i="1"/>
  <c r="L86" i="1"/>
  <c r="K86" i="1"/>
  <c r="H86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M71" i="1"/>
  <c r="L71" i="1"/>
  <c r="I71" i="1"/>
  <c r="M70" i="1"/>
  <c r="L70" i="1"/>
  <c r="I70" i="1"/>
  <c r="M69" i="1"/>
  <c r="L69" i="1"/>
  <c r="I69" i="1"/>
  <c r="M68" i="1"/>
  <c r="L68" i="1"/>
  <c r="I68" i="1"/>
  <c r="M67" i="1"/>
  <c r="L67" i="1"/>
  <c r="I67" i="1"/>
  <c r="M66" i="1"/>
  <c r="L66" i="1"/>
  <c r="I66" i="1"/>
  <c r="M65" i="1"/>
  <c r="L65" i="1"/>
  <c r="I65" i="1"/>
  <c r="M64" i="1"/>
  <c r="L64" i="1"/>
  <c r="I64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<sst xmlns="http://schemas.openxmlformats.org/spreadsheetml/2006/main" count="4783" uniqueCount="477">
  <si>
    <t>Informe de trayectos</t>
  </si>
  <si>
    <t>Periodo: 3 de febrero de 2025 0:00 - 3 de febrero de 2025 23:59</t>
  </si>
  <si>
    <t>Informe generado</t>
  </si>
  <si>
    <t>a: 22 de septiembre de 2025 14:13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</si>
  <si>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</si>
  <si>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</si>
  <si>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</si>
  <si>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</si>
  <si>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</si>
  <si>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</si>
  <si>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</si>
  <si>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</si>
  <si>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</si>
  <si>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</si>
  <si>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</si>
  <si>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</si>
  <si>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</si>
  <si>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</si>
  <si>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</si>
  <si>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81 km/h</t>
  </si>
  <si>
    <t>18 km/h</t>
  </si>
  <si>
    <t>Avenida Lima Norte, Santa Eulalia, Lima Metropolitana, Lima, 15468, Perú</t>
  </si>
  <si>
    <t>Lurigancho, Lima Metropolitana, Lima, 15468, Perú</t>
  </si>
  <si>
    <t>85 km/h</t>
  </si>
  <si>
    <t>22 km/h</t>
  </si>
  <si>
    <t>Ate, Lima Metropolitana, Lima, 15474, Perú</t>
  </si>
  <si>
    <t>Los Huancas, Ate, Lima Metropolitana, Lima, 15483, Perú</t>
  </si>
  <si>
    <t>84 km/h</t>
  </si>
  <si>
    <t>Ate, Lima Metropolitana, Lima, 15483, Perú</t>
  </si>
  <si>
    <t>74 km/h</t>
  </si>
  <si>
    <t>15 km/h</t>
  </si>
  <si>
    <t>Calle Manantiales de Vida, Ate, Lima Metropolitana, Lima, 15487, Perú</t>
  </si>
  <si>
    <t>6 km/h</t>
  </si>
  <si>
    <t>0 km/h</t>
  </si>
  <si>
    <t>77 km/h</t>
  </si>
  <si>
    <t>19 km/h</t>
  </si>
  <si>
    <t>Avenida Nicolás Ayllón, 432, Chaclacayo, Lima Metropolitana, Lima, 15472, Perú</t>
  </si>
  <si>
    <t>83 km/h</t>
  </si>
  <si>
    <t>Carretera Central, Chaclacayo, Lima Metropolitana, Lima, 15476, Perú</t>
  </si>
  <si>
    <t>73 km/h</t>
  </si>
  <si>
    <t>16 km/h</t>
  </si>
  <si>
    <t>Calle los Alamos, Chosica, Lima Metropolitana, Lima, 15468, Perú</t>
  </si>
  <si>
    <t>110 km/h</t>
  </si>
  <si>
    <t>Calle Las Gardenias, Ricardo Palma, Huarochirí, Lima, 15468, Perú</t>
  </si>
  <si>
    <t>78 km/h</t>
  </si>
  <si>
    <t>14 km/h</t>
  </si>
  <si>
    <t>Avenida José Santos Chocano, Ricardo Palma, Huarochirí, Lima, 15468, Perú</t>
  </si>
  <si>
    <t>17 km/h</t>
  </si>
  <si>
    <t>91 km/h</t>
  </si>
  <si>
    <t>Avenida Lima Sur, Chosica, Lima Metropolitana, Lima, 15468, Perú, (Ruta4507nueva era 23-10-23)</t>
  </si>
  <si>
    <t>Avenida José Carlos Mariátegui, Ricardo Palma, Huarochirí, Lima, 15468, Perú</t>
  </si>
  <si>
    <t>89 km/h</t>
  </si>
  <si>
    <t>Calle Huayna Cápac, 200, Chaclacayo, Lima Metropolitana, Lima, 15474, Perú</t>
  </si>
  <si>
    <t>Avenida Micaela Bastidas, 382, Santa Eulalia, Huarochirí, Lima, 15468, Perú</t>
  </si>
  <si>
    <t>88 km/h</t>
  </si>
  <si>
    <t>Calle Cerro de Pasco, Ate, Lima Metropolitana, Lima, 15498, Perú</t>
  </si>
  <si>
    <t>70 km/h</t>
  </si>
  <si>
    <t>79 km/h</t>
  </si>
  <si>
    <t>Avenida Bernard de Balaguer, Lurigancho, Lima Metropolitana, Lima, 15464, Perú</t>
  </si>
  <si>
    <t>13 km/h</t>
  </si>
  <si>
    <t>Pasaje A, Ate, Lima Metropolitana, Lima, 15487, Perú</t>
  </si>
  <si>
    <t>31 km/h</t>
  </si>
  <si>
    <t>1 km/h</t>
  </si>
  <si>
    <t>Calle 1, Ate, Lima Metropolitana, Lima, 15483, Perú</t>
  </si>
  <si>
    <t>Avenida Las Retamas, Chaclacayo, Lima Metropolitana, Lima, 15474, Perú</t>
  </si>
  <si>
    <t>Chaclacayo, Lima Metropolitana, Lima, 15474, Perú, (Ruta4507nueva era 23-10-23)</t>
  </si>
  <si>
    <t>62 km/h</t>
  </si>
  <si>
    <t>Calle Leoncio Prado, Santa Eulalia, Huarochirí, Lima, 15468, Perú</t>
  </si>
  <si>
    <t>Calle Las Tunas, Santa Anita, Lima Metropolitana, Lima, 15007, Perú</t>
  </si>
  <si>
    <t>Calle Los Topacios, Lurigancho, Lima Metropolitana, Lima, 15472, Perú</t>
  </si>
  <si>
    <t>21 km/h</t>
  </si>
  <si>
    <t>Carretera Central, Ate, Lima Metropolitana, Lima, 15487, Perú, (Ruta4507nueva era 23-10-23)</t>
  </si>
  <si>
    <t>86 km/h</t>
  </si>
  <si>
    <t>Prolongación Javier Prado Este, Ate, Lima Metropolitana, Lima, 15498, Perú, (RUTA DESVIO TEM.  4507)</t>
  </si>
  <si>
    <t>Avenida Nicolás Ayllón, 137, Lima, Lima Metropolitana, Lima, 15011, Perú, (Ruta4507nueva era 23-10-23)</t>
  </si>
  <si>
    <t>20 km/h</t>
  </si>
  <si>
    <t>7 km/h</t>
  </si>
  <si>
    <t>Avenida Camino Real, Santa Anita, Lima Metropolitana, Lima, 15009, Perú</t>
  </si>
  <si>
    <t>80 km/h</t>
  </si>
  <si>
    <t>9 km/h</t>
  </si>
  <si>
    <t>Avenida Enrique Guzmán y Valle, Chosica, Lima Metropolitana, Lima, 15468, Perú</t>
  </si>
  <si>
    <t>Calle Los Álamos, Ate, Lima Metropolitana, Lima, 15483, Perú</t>
  </si>
  <si>
    <t>Carretera Central, Ate, Lima Metropolitana, Lima, 15474, Perú, (Horacio Zeballos)</t>
  </si>
  <si>
    <t>Chosica, Lima Metropolitana, Lima, 15468, Perú</t>
  </si>
  <si>
    <t>103 km/h</t>
  </si>
  <si>
    <t>Avenida Los Incas, Ate, Lima Metropolitana, Lima, 15483, Perú</t>
  </si>
  <si>
    <t>Santa Eulalia, Huarochirí, Lima, 15468, Perú</t>
  </si>
  <si>
    <t>97 km/h</t>
  </si>
  <si>
    <t>42 km/h</t>
  </si>
  <si>
    <t>Avenida Lima Norte, Chosica, Lima Metropolitana, Lima, 15468, Perú</t>
  </si>
  <si>
    <t>90 km/h</t>
  </si>
  <si>
    <t>96 km/h</t>
  </si>
  <si>
    <t>Ate, Lima Metropolitana, Lima, 15487, Perú</t>
  </si>
  <si>
    <t>Corcona, Huarochirí, Lima, Perú</t>
  </si>
  <si>
    <t>Carretera Central, Sol de Cupiche, Huarochirí, Lima, 15500, Perú</t>
  </si>
  <si>
    <t>75 km/h</t>
  </si>
  <si>
    <t>Calle 28 de Diciembre, San Luis, Lima Metropolitana, Lima, 15019, Perú, (Ruta4507nueva era 23-10-23)</t>
  </si>
  <si>
    <t>82 km/h</t>
  </si>
  <si>
    <t>Avenida Colectora, Chosica, Lima Metropolitana, Lima, 15468, Perú</t>
  </si>
  <si>
    <t>Avenida Micaela Bastidas, 561, Santa Eulalia, Huarochirí, Lima, 15468, Perú</t>
  </si>
  <si>
    <t>Calle Alhelíes, Chaclacayo, Lima Metropolitana, Lima, 15476, Perú</t>
  </si>
  <si>
    <t>Micaela Bastidas, Ate, Lima Metropolitana, Lima, 15498, Perú</t>
  </si>
  <si>
    <t>92 km/h</t>
  </si>
  <si>
    <t>Calle Estocolmo, Ate, Lima Metropolitana, Lima, 15498, Perú</t>
  </si>
  <si>
    <t>Avenida Las Flores, Chosica, Lima Metropolitana, Lima, 15468, Perú, (Ruta4507nueva era 23-10-23)</t>
  </si>
  <si>
    <t>93 km/h</t>
  </si>
  <si>
    <t>Avenida Nicolás de Ayllón, Ate, Lima Metropolitana, Lima, 15498, Perú, (Ruta4507nueva era 23-10-23)</t>
  </si>
  <si>
    <t>Calle Berlín, Ate, Lima Metropolitana, Lima, 15498, Perú</t>
  </si>
  <si>
    <t>Avenida Nicolás de Ayllón, Ate, Lima Metropolitana, Lima, 15487, Perú, (Ruta4507nueva era 23-10-23)</t>
  </si>
  <si>
    <t>Calle 2, Ate, Lima Metropolitana, Lima, 15487, Perú</t>
  </si>
  <si>
    <t>101 km/h</t>
  </si>
  <si>
    <t>94 km/h</t>
  </si>
  <si>
    <t>Carretera Central, Chaclacayo, Lima Metropolitana, Lima, 15476, Perú, (Ruta4507nueva era 23-10-23)</t>
  </si>
  <si>
    <t>Jirón Los Próceres, Santa Eulalia, Huarochirí, Lima, 15468, Perú</t>
  </si>
  <si>
    <t>Avenida Lima Norte, 574, Santa Eulalia, Lima Metropolitana, Lima, 15468, Perú, (Ruta4507nueva era 23-10-23)</t>
  </si>
  <si>
    <t>107 km/h</t>
  </si>
  <si>
    <t>Totales:</t>
  </si>
  <si>
    <t/>
  </si>
  <si>
    <t>* Los datos de combustible se calculan de acuerdo con el consumo medio de combustible del vehículo especificado en su configuración</t>
  </si>
  <si>
    <t>Calle Córdova, Ricardo Palma, Huarochirí, Lima, 15468, Perú, (Ruta4507nueva era 23-10-23)</t>
  </si>
  <si>
    <t>25 km/h</t>
  </si>
  <si>
    <t>Jirón Sánchez Pinillos, Lima, Lima Metropolitana, Lima, 15082, Perú</t>
  </si>
  <si>
    <t>Marcos Puente Llanos, Ate, Lima Metropolitana, Lima, 15498, Perú</t>
  </si>
  <si>
    <t>66 km/h</t>
  </si>
  <si>
    <t>Marcos Puente Llanos, Ate, Lima Metropolitana, Lima, 15498, Perú, (RUTA DESVIO TEM.  4507)</t>
  </si>
  <si>
    <t>Avenida Río Perene, Ate, Lima Metropolitana, Lima, 15498, Perú</t>
  </si>
  <si>
    <t>46 km/h</t>
  </si>
  <si>
    <t>Avenida Simón Bolívar, Santa Eulalia, Huarochirí, Lima, 15468, Perú</t>
  </si>
  <si>
    <t>3 km/h</t>
  </si>
  <si>
    <t>72 km/h</t>
  </si>
  <si>
    <t>Jose Carlos Mariátegui, Chosica, Lima Metropolitana, Lima, 15468, Perú, (PARADERO RICARDO PALMA)</t>
  </si>
  <si>
    <t>27 km/h</t>
  </si>
  <si>
    <t>4 km/h</t>
  </si>
  <si>
    <t>Avenida Lima Norte, Santa Eulalia, Huarochirí, Lima, 15468, Perú</t>
  </si>
  <si>
    <t>Avenida Lima Norte, Santa Eulalia, Huarochirí, Lima, 15468, Perú, (Ruta4507nueva era 23-10-23)</t>
  </si>
  <si>
    <t>24 km/h</t>
  </si>
  <si>
    <t>5 km/h</t>
  </si>
  <si>
    <t>2 km/h</t>
  </si>
  <si>
    <t>Carretera Central, Chaclacayo, Lima Metropolitana, Lima, 15474, Perú, (S07ÑAÑA, Ruta4507nueva era 23-10-23)</t>
  </si>
  <si>
    <t>64 km/h</t>
  </si>
  <si>
    <t>11 km/h</t>
  </si>
  <si>
    <t>Avenida De Las Torres, San Luis, Lima Metropolitana, Lima, 15022, Perú</t>
  </si>
  <si>
    <t>Jose Carlos Mariátegui, Ricardo Palma, Lima Metropolitana, Lima, 15468, Perú, (PARADERO RICARDO PALMA)</t>
  </si>
  <si>
    <t>38 km/h</t>
  </si>
  <si>
    <t>Calle Salaverry, 280, Chosica, Lima Metropolitana, Lima, 15468, Perú</t>
  </si>
  <si>
    <t>Jirón Tacna, Chosica, Lima Metropolitana, Lima, 15468, Perú, (Ruta4507nueva era 23-10-23)</t>
  </si>
  <si>
    <t>Carretera Central, Ate, Lima Metropolitana, Lima, 15474, Perú</t>
  </si>
  <si>
    <t>45 km/h</t>
  </si>
  <si>
    <t>Avenida Rosa Vera, Ate, Lima Metropolitana, Lima, 15487, Perú</t>
  </si>
  <si>
    <t>63 km/h</t>
  </si>
  <si>
    <t>Avenida José Carlos Mariátegui, Ate, Lima Metropolitana, Lima, 15483, Perú</t>
  </si>
  <si>
    <t>8 km/h</t>
  </si>
  <si>
    <t>Simón Bolívar, Ricardo Palma, Huarochirí, Lima, 15468, Perú</t>
  </si>
  <si>
    <t>Pasaje Gould, Lima, Lima Metropolitana, Lima, 15082, Perú</t>
  </si>
  <si>
    <t>Avenida Simón Bolívar, Santa Eulalia, Huarochirí, Lima, 15468, Perú, (Ruta4507nueva era 23-10-23)</t>
  </si>
  <si>
    <t>12 km/h</t>
  </si>
  <si>
    <t>10 km/h</t>
  </si>
  <si>
    <t>Ricardo Palma, Huarochirí, Lima, 15468, Perú, (CURVA RICARDO PALMA, Ruta4507nueva era 23-10-23)</t>
  </si>
  <si>
    <t>43 km/h</t>
  </si>
  <si>
    <t>29 km/h</t>
  </si>
  <si>
    <t>Ricardo Palma, Huarochirí, Lima, 15468, Perú, (Ruta4507nueva era 23-10-23)</t>
  </si>
  <si>
    <t>Jirón Cornelio Borda, Lima, Lima Metropolitana, Lima, 15082, Perú</t>
  </si>
  <si>
    <t>Jirón Coronel Miguel Baquero, 210, Lima, Lima Metropolitana, Lima, 15082, Perú</t>
  </si>
  <si>
    <t>Avenida Andrés Avelino Cáceres, Ate, Lima Metropolitana, Lima, 15483, Perú</t>
  </si>
  <si>
    <t>59 km/h</t>
  </si>
  <si>
    <t>34 km/h</t>
  </si>
  <si>
    <t>Avenida Los Eucaliptos, Santa Anita, Lima Metropolitana, Lima, 15008, Perú, (RUTA DESVIO TEM.  4507)</t>
  </si>
  <si>
    <t>68 km/h</t>
  </si>
  <si>
    <t>Avenida Separadora Industrial, Santa Anita, Lima Metropolitana, Lima, 15498, Perú</t>
  </si>
  <si>
    <t>69 km/h</t>
  </si>
  <si>
    <t>23 km/h</t>
  </si>
  <si>
    <t>Avenida Nicolás de Ayllón, Ate, Lima Metropolitana, Lima, 15002, Perú, (Ruta4507nueva era 23-10-23, RUTA DESVIO TEM.  4507)</t>
  </si>
  <si>
    <t>26 km/h</t>
  </si>
  <si>
    <t>Avenida Malecón Manco Cápac, Chaclacayo, Lima Metropolitana, Lima, 15472, Perú, (Ruta4507nueva era 23-10-23)</t>
  </si>
  <si>
    <t>Avenida Malecón Manco Cápac, Chaclacayo, Lima Metropolitana, Lima, 15472, Perú</t>
  </si>
  <si>
    <t>67 km/h</t>
  </si>
  <si>
    <t>32 km/h</t>
  </si>
  <si>
    <t>Carretera Central, Chaclacayo, Lima Metropolitana, Lima, 15464, Perú</t>
  </si>
  <si>
    <t>Carretera Central, Chaclacayo, Lima Metropolitana, Lima, 15464, Perú, (Ruta4507nueva era 23-10-23)</t>
  </si>
  <si>
    <t>39 km/h</t>
  </si>
  <si>
    <t>Avenida Unión, Chaclacayo, Lima Metropolitana, Lima, 15474, Perú, (S07ÑAÑA)</t>
  </si>
  <si>
    <t>55 km/h</t>
  </si>
  <si>
    <t>Carretera Central, Chaclacayo, Lima Metropolitana, Lima, 15474, Perú, (Ruta4507nueva era 23-10-23)</t>
  </si>
  <si>
    <t>57 km/h</t>
  </si>
  <si>
    <t>Carretera Central, Ate, Lima Metropolitana, Lima, 15474, Perú, (Horacio Zeballos, Ruta4507nueva era 23-10-23)</t>
  </si>
  <si>
    <t>Carretera Central, Ate, Lima Metropolitana, Lima, 15474, Perú, (Ruta4507nueva era 23-10-23)</t>
  </si>
  <si>
    <t>41 km/h</t>
  </si>
  <si>
    <t>71 km/h</t>
  </si>
  <si>
    <t>48 km/h</t>
  </si>
  <si>
    <t>53 km/h</t>
  </si>
  <si>
    <t>Carretera Central, Ate, Lima Metropolitana, Lima, 15487, Perú, (S06 SANTA CLARA, Ruta4507nueva era 23-10-23)</t>
  </si>
  <si>
    <t>Avenida Metropolitana, Ate, Lima Metropolitana, Lima, 15498, Perú, (RUTA DESVIO TEM.  4507)</t>
  </si>
  <si>
    <t>Avenida Huancaray, Santa Anita, Lima Metropolitana, Lima, 15009, Perú, (RUTA DESVIO TEM.  4507)</t>
  </si>
  <si>
    <t>Avenida Huancaray, Santa Anita, Lima Metropolitana, Lima, 15009, Perú, (S04 AV. Metropolitana / Colectora Industrial, RUTA DESVIO TEM.  4507)</t>
  </si>
  <si>
    <t>52 km/h</t>
  </si>
  <si>
    <t>Avenida Huancaray, Santa Anita, Lima Metropolitana, Lima, 15007, Perú, (RUTA DESVIO TEM.  4507)</t>
  </si>
  <si>
    <t>28 km/h</t>
  </si>
  <si>
    <t>33 km/h</t>
  </si>
  <si>
    <t>Avenida Nicolás de Ayllón, Santa Anita, Lima Metropolitana, Lima, 15008, Perú, (RUTA DESVIO TEM.  4507)</t>
  </si>
  <si>
    <t>47 km/h</t>
  </si>
  <si>
    <t>Avenida Minería, Santa Anita, Lima Metropolitana, Lima, 15008, Perú, (RUTA DESVIO TEM.  4507)</t>
  </si>
  <si>
    <t>Avenida Nicolás de Ayllón, Santa Anita, Lima Metropolitana, Lima, 15008, Perú, (Ruta4507nueva era 23-10-23, RUTA DESVIO TEM.  4507)</t>
  </si>
  <si>
    <t>Avenida Nicolás de Ayllón, Ate, Lima Metropolitana, Lima, 15008, Perú, (Ruta4507nueva era 23-10-23, RUTA DESVIO TEM.  4507)</t>
  </si>
  <si>
    <t>54 km/h</t>
  </si>
  <si>
    <t>Avenida Andrés Avelino Cáceres, Ate, Lima Metropolitana, Lima, 15019, Perú</t>
  </si>
  <si>
    <t>Prolongación Alfonso Ugarte, El Agustino, Lima Metropolitana, Lima, 15004, Perú</t>
  </si>
  <si>
    <t>Avenida Almirante Miguel Grau, 1832, Lima, Lima Metropolitana, Lima, 15011, Perú</t>
  </si>
  <si>
    <t>Avenida Almirante Miguel Grau, Lima, Lima Metropolitana, Lima, 15003, Perú</t>
  </si>
  <si>
    <t>Avenida Almirante Miguel Grau, Lima, Lima Metropolitana, Lima, 15011, Perú</t>
  </si>
  <si>
    <t>Avenida Almirante Miguel Grau, 1299, Lima, Lima Metropolitana, Lima, 15011, Perú, (Ruta4507nueva era 23-10-23)</t>
  </si>
  <si>
    <t>Vía Expresa Almirante Miguel Grau, La Victoria, Lima Metropolitana, Lima, 15001, Perú, (Ruta4507nueva era 23-10-23)</t>
  </si>
  <si>
    <t>58 km/h</t>
  </si>
  <si>
    <t>Avenida Paseo de la República, 1500, Lima, Lima Metropolitana, Lima, 15001, Perú</t>
  </si>
  <si>
    <t>Avenida España, Lima, Lima Metropolitana, Lima, 15001, Perú</t>
  </si>
  <si>
    <t>Avenida España, Lima, Lima Metropolitana, Lima, 15083, Perú</t>
  </si>
  <si>
    <t>Jirón Washington, Lima, Lima Metropolitana, Lima, 15083, Perú</t>
  </si>
  <si>
    <t>Jirón Washington, 1232, Lima, Lima Metropolitana, Lima, 15001, Perú</t>
  </si>
  <si>
    <t>Jirón Davalos Lisson, 360B, Lima, Lima Metropolitana, Lima, 15001, Perú</t>
  </si>
  <si>
    <t>Jirón Davalos Lisson, Lima, Lima Metropolitana, Lima, 15001, Perú</t>
  </si>
  <si>
    <t>Avenida Alfonso Ugarte, 641B, Lima, Lima Metropolitana, Lima, 15082, Perú, (Ruta4507nueva era 23-10-23)</t>
  </si>
  <si>
    <t>Avenida Óscar Raimundo Benavides, 150, Lima, Lima Metropolitana, Lima, 15082, Perú, (Ruta4507nueva era 23-10-23)</t>
  </si>
  <si>
    <t>Ciclovía Colonial, Lima, Lima Metropolitana, Lima, 15082, Perú, (Ruta4507nueva era 23-10-23)</t>
  </si>
  <si>
    <t>Avenida Óscar Raimundo Benavides, 150, Lima, Lima Metropolitana, Lima, 15082, Perú</t>
  </si>
  <si>
    <t>Avenida Alfonso Ugarte, 601, Lima, Lima Metropolitana, Lima, 15082, Perú, (Ruta4507nueva era 23-10-23)</t>
  </si>
  <si>
    <t>Avenida Alfonso Ugarte, Lima, Lima Metropolitana, Lima, 15082, Perú</t>
  </si>
  <si>
    <t>Avenida Alfonso Ugarte, 650, Lima, Lima Metropolitana, Lima, 15082, Perú</t>
  </si>
  <si>
    <t>Avenida Alfonso Ugarte, 699, Lima, Lima Metropolitana, Lima, 15082, Perú, (Ruta4507nueva era 23-10-23)</t>
  </si>
  <si>
    <t>Avenida Alfonso Ugarte, 873, Lima, Lima Metropolitana, Lima, 15001, Perú, (Ruta4507nueva era 23-10-23)</t>
  </si>
  <si>
    <t>Avenida Alfonso Ugarte, 1006, Lima, Lima Metropolitana, Lima, 15082, Perú</t>
  </si>
  <si>
    <t>Avenida Alfonso Ugarte, Breña, Lima Metropolitana, Lima, 15082, Perú</t>
  </si>
  <si>
    <t>Avenida Alfonso Ugarte, 1280, Breña, Lima Metropolitana, Lima, 15083, Perú, (Ruta4507nueva era 23-10-23)</t>
  </si>
  <si>
    <t>Avenida Guzmán Blanco, 239, Lima, Lima Metropolitana, Lima, 15046, Perú</t>
  </si>
  <si>
    <t>Avenida Guzmán Blanco, 391, Lima, Lima Metropolitana, Lima, 15046, Perú</t>
  </si>
  <si>
    <t>Plaza Jorge Chávez, Jesús María, Lima Metropolitana, Lima, 15083, Perú</t>
  </si>
  <si>
    <t>Avenida 28 de Julio, Lima, Lima Metropolitana, Lima, 15083, Perú</t>
  </si>
  <si>
    <t>Avenida Paseo de la República, Lima, Lima Metropolitana, Lima, 15083, Perú</t>
  </si>
  <si>
    <t>Avenida Paseo de la República, 683, La Victoria, Lima Metropolitana, Lima, 15083, Perú</t>
  </si>
  <si>
    <t>Avenida Almirante Miguel Grau, La Victoria, Lima Metropolitana, Lima, 15001, Perú, (Ruta4507nueva era 23-10-23)</t>
  </si>
  <si>
    <t>Avenida Almirante Miguel Grau, 171, Lima, Lima Metropolitana, Lima, 15001, Perú, (Ruta4507nueva era 23-10-23)</t>
  </si>
  <si>
    <t>Avenida Almirante Miguel Grau, 813, Lima, Lima Metropolitana, Lima, 15001, Perú, (Ruta4507nueva era 23-10-23)</t>
  </si>
  <si>
    <t>56 km/h</t>
  </si>
  <si>
    <t>Avenida Almirante Miguel Grau, 957, Lima, Lima Metropolitana, Lima, 15001, Perú, (Ruta4507nueva era 23-10-23)</t>
  </si>
  <si>
    <t>Vía Expresa Almirante Miguel Grau, La Victoria, Lima Metropolitana, Lima, 15011, Perú, (Ruta4507nueva era 23-10-23)</t>
  </si>
  <si>
    <t>Avenida Almirante Miguel Grau, 1110, La Victoria, Lima Metropolitana, Lima, 15011, Perú, (Ruta4507nueva era 23-10-23)</t>
  </si>
  <si>
    <t>Avenida Almirante Miguel Grau, Lima, Lima Metropolitana, Lima, 15011, Perú, (Ruta4507nueva era 23-10-23)</t>
  </si>
  <si>
    <t>50 km/h</t>
  </si>
  <si>
    <t>Vía Expresa Almirante Miguel Grau, Lima, Lima Metropolitana, Lima, 15011, Perú, (Ruta4507nueva era 23-10-23)</t>
  </si>
  <si>
    <t>Avenida Nicolás Ayllón, Lima, Lima Metropolitana, Lima, 15011, Perú, (Ruta4507nueva era 23-10-23)</t>
  </si>
  <si>
    <t>37 km/h</t>
  </si>
  <si>
    <t>Avenida José de la Riva Aguero, Lima, Lima Metropolitana, Lima, 15004, Perú</t>
  </si>
  <si>
    <t>Avenida Inca Garcilazo de la Vega, Lima, Lima Metropolitana, Lima, 15004, Perú</t>
  </si>
  <si>
    <t>Avenida Inca Garcilazo de la Vega, El Agustino, Lima Metropolitana, Lima, 15004, Perú</t>
  </si>
  <si>
    <t>Calle Angel Cepollini, San Luis, Lima Metropolitana, Lima, 15019, Perú</t>
  </si>
  <si>
    <t>Avenida Circunvalación, La Victoria, Lima Metropolitana, Lima, 15019, Perú</t>
  </si>
  <si>
    <t>44 km/h</t>
  </si>
  <si>
    <t>Auxiliar Avenida Circunvalación, La Victoria, Lima Metropolitana, Lima, 15019, Perú</t>
  </si>
  <si>
    <t>Avenida Nicolás Arriola, San Luis, Lima Metropolitana, Lima, 15019, Perú, (RUTA DESVIO TEM.  4507)</t>
  </si>
  <si>
    <t>30 km/h</t>
  </si>
  <si>
    <t>60 km/h</t>
  </si>
  <si>
    <t>36 km/h</t>
  </si>
  <si>
    <t>Calle Santa Inés, Ate, Lima Metropolitana, Lima, 15008, Perú, (Ruta4507nueva era 23-10-23, RUTA DESVIO TEM.  4507)</t>
  </si>
  <si>
    <t>Avenida Nicolás de Ayllón, 2950, Ate, Lima Metropolitana, Lima, 15008, Perú, (Ruta4507nueva era 23-10-23)</t>
  </si>
  <si>
    <t>40 km/h</t>
  </si>
  <si>
    <t>Avenida Nicolás de Ayllón, C 32, Ate, Lima Metropolitana, Lima, 15008, Perú, (Ruta4507nueva era 23-10-23)</t>
  </si>
  <si>
    <t>35 km/h</t>
  </si>
  <si>
    <t>Avenida Nicolás de Ayllón, Ate, Lima Metropolitana, Lima, 15008, Perú, (Ruta4507nueva era 23-10-23)</t>
  </si>
  <si>
    <t>Avenida Nicolás de Ayllón, Ate, Lima Metropolitana, Lima, 15009, Perú, (Ruta4507nueva era 23-10-23)</t>
  </si>
  <si>
    <t>Avenida Nicolás de Ayllón, Km. 3.5, Santa Anita, Lima Metropolitana, Lima, 00051, Perú, (Ruta4507nueva era 23-10-23)</t>
  </si>
  <si>
    <t>Avenida Nicolás de Ayllón, Santa Anita, Lima Metropolitana, Lima, 00051, Perú, (Ruta4507nueva era 23-10-23)</t>
  </si>
  <si>
    <t>Víctor Raúl Haya de la Torre, Ate, Lima Metropolitana, Lima, 15498, Perú, (Ruta4507nueva era 23-10-23)</t>
  </si>
  <si>
    <t>Víctor Raúl Haya de la Torre, Ate, Lima Metropolitana, Lima, 15498, Perú</t>
  </si>
  <si>
    <t>Avenida Nicolás de Ayllón, 4770, Ate, Lima Metropolitana, Lima, 15498, Perú, (Ruta4507nueva era 23-10-23)</t>
  </si>
  <si>
    <t>Avenida Nicolás de Ayllón, Ate, Lima Metropolitana, Lima, 15498, Perú, (Ruta4507nueva era 23-10-23, RUTA DESVIO TEM.  4507)</t>
  </si>
  <si>
    <t>Victor Raul Haya de la Torre, Ate, Lima Metropolitana, Lima, 15498, Perú, (Ruta4507nueva era 23-10-23, RUTA DESVIO TEM.  4507)</t>
  </si>
  <si>
    <t>Avenida Nicolás de Ayllón, 15498, Ate, Lima Metropolitana, Lima, 15498, Perú, (Ruta4507nueva era 23-10-23, RUTA DESVIO TEM.  4507)</t>
  </si>
  <si>
    <t>Avenida Nicolás de Ayllón, 5818, Ate, Lima Metropolitana, Lima, 15498, Perú, (Ruta4507nueva era 23-10-23)</t>
  </si>
  <si>
    <t>Calle El Trabajo, Ate, Lima Metropolitana, Lima, 15498, Perú, (Ruta4507nueva era 23-10-23)</t>
  </si>
  <si>
    <t>Calle El Trabajo, Ate, Lima Metropolitana, Lima, 15498, Perú, (Ruta4507nueva era 23-10-23, RUTA DESVIO TEM.  4507)</t>
  </si>
  <si>
    <t>Avenida Esperanza, Ate, Lima Metropolitana, Lima, 15487, Perú, (Ruta4507nueva era 23-10-23)</t>
  </si>
  <si>
    <t>49 km/h</t>
  </si>
  <si>
    <t>Carretera Central, Ate, Lima Metropolitana, Lima, 15483, Perú, (Ruta4507nueva era 23-10-23)</t>
  </si>
  <si>
    <t>Avenida Jaime Zubieta Calderón, Ate, Lima Metropolitana, Lima, 15483, Perú, (Ruta4507nueva era 23-10-23)</t>
  </si>
  <si>
    <t>51 km/h</t>
  </si>
  <si>
    <t>Avenida Nicolás Ayllón, 161 C, Chaclacayo, Lima Metropolitana, Lima, 15464, Perú, (Ruta4507nueva era 23-10-23)</t>
  </si>
  <si>
    <t>Avenida Nicolás Ayllón, Chaclacayo, Lima Metropolitana, Lima, 15464, Perú, (Ruta4507nueva era 23-10-23)</t>
  </si>
  <si>
    <t>Avenida Nicolás Ayllón, Chaclacayo, Lima Metropolitana, Lima, 15472, Perú, (Ruta4507nueva era 23-10-23)</t>
  </si>
  <si>
    <t>Avenida Las Flores, Lurigancho, Lima Metropolitana, Lima, 15468, Perú, (Ruta4507nueva era 23-10-23)</t>
  </si>
  <si>
    <t>Calle Los Geranios, Chosica, Lima Metropolitana, Lima, 15468, Perú, (Ruta4507nueva era 23-10-23)</t>
  </si>
  <si>
    <t>Chosica, Lima Metropolitana, Lima, 15468, Perú, (Ruta4507nueva era 23-10-23)</t>
  </si>
  <si>
    <t>Avenida Lima Sur, Chosica, Lima Metropolitana, Lima, 15468, Perú, (S09 CHOSICA/ PEDREGAL, Ruta4507nueva era 23-10-23)</t>
  </si>
  <si>
    <t>Avenida Lima Sur, 930-970, Chosica, Lima Metropolitana, Lima, 15468, Perú, (Ruta4507nueva era 23-10-23)</t>
  </si>
  <si>
    <t>Avenida Lima Sur, 765, Chosica, Lima Metropolitana, Lima, 15468, Perú, (Ruta4507nueva era 23-10-23)</t>
  </si>
  <si>
    <t>Jirón Iquitos, Chosica, Lima Metropolitana, Lima, 15468, Perú, (Ruta4507nueva era 23-10-23)</t>
  </si>
  <si>
    <t>Avenida Lima Sur, 465, Chosica, Lima Metropolitana, Lima, 15468, Perú, (Ruta4507nueva era 23-10-23)</t>
  </si>
  <si>
    <t>Avenida Lima Sur, 275, Chosica, Lima Metropolitana, Lima, 15468, Perú, (Ruta4507nueva era 23-10-23)</t>
  </si>
  <si>
    <t>Avenida Lima Norte, Chosica, Lima Metropolitana, Lima, 15468, Perú, (Ruta4507nueva era 23-10-23)</t>
  </si>
  <si>
    <t>Avenida Lima Norte, 599, Chosica, Lima Metropolitana, Lima, 15468, Perú, (Ruta4507nueva era 23-10-23)</t>
  </si>
  <si>
    <t>Avenida Lima Norte, Santa Eulalia, Lima Metropolitana, Lima, 15468, Perú, (Ruta4507nueva era 23-10-23)</t>
  </si>
  <si>
    <t>Calle Córdova, Ricardo Palma, Huarochirí, Lima, 15468, Perú, (Exceso de Velocidad)</t>
  </si>
  <si>
    <t>Ricardo Palma, Huarochirí, Lima, 15468, Perú, (Exceso de Velocidad)</t>
  </si>
  <si>
    <t>Jirón Trujillo Sur, Chosica, Lima Metropolitana, Lima, 15468, Perú, (Ruta4507nueva era 23-10-23)</t>
  </si>
  <si>
    <t>Jirón Tacna, Chosica, Lima Metropolitana, Lima, 15468, Perú</t>
  </si>
  <si>
    <t>Jirón Chucuito, 187, Chosica, Lima Metropolitana, Lima, 15468, Perú, (Ruta4507nueva era 23-10-23)</t>
  </si>
  <si>
    <t>Avenida Lima Sur, 1471, Chosica, Lima Metropolitana, Lima, 15468, Perú, (Ruta4507nueva era 23-10-23)</t>
  </si>
  <si>
    <t>Carretera Central, Lurigancho, Lima Metropolitana, Lima, 15472, Perú, (Ruta4507nueva era 23-10-23)</t>
  </si>
  <si>
    <t>76 km/h</t>
  </si>
  <si>
    <t>Ate, Lima Metropolitana, Lima, 15487, Perú, (Ruta4507nueva era 23-10-23)</t>
  </si>
  <si>
    <t>Avenida Nicolás de Ayllón, 500, Ate, Lima Metropolitana, Lima, 15498, Perú, (Ruta4507nueva era 23-10-23)</t>
  </si>
  <si>
    <t>Ate, Lima Metropolitana, Lima, 15498, Perú, (Ruta4507nueva era 23-10-23)</t>
  </si>
  <si>
    <t>Victor Raul Haya de la Torre, Ate, Lima Metropolitana, Lima, 15498, Perú</t>
  </si>
  <si>
    <t>Victor Raul Haya de la Torre, Ate, Lima Metropolitana, Lima, 15498, Perú, (Ruta4507nueva era 23-10-23)</t>
  </si>
  <si>
    <t>Avenida Nicolás de Ayllón, Santa Anita, Lima Metropolitana, Lima, 15498, Perú, (Ruta4507nueva era 23-10-23)</t>
  </si>
  <si>
    <t>Avenida Nicolás de Ayllón, Santa Anita, Lima Metropolitana, Lima, 15009, Perú, (Ruta4507nueva era 23-10-23)</t>
  </si>
  <si>
    <t>Las Alondras, Santa Anita, Lima Metropolitana, Lima, 15008, Perú, (Ruta4507nueva era 23-10-23)</t>
  </si>
  <si>
    <t>Las Alondras, 175, Santa Anita, Lima Metropolitana, Lima, 15008, Perú, (Ruta4507nueva era 23-10-23)</t>
  </si>
  <si>
    <t>Avenida Nicolás de Ayllón, Santa Anita, Lima Metropolitana, Lima, 15008, Perú, (Ruta4507nueva era 23-10-23)</t>
  </si>
  <si>
    <t>Vía de Evitamiento, Ate, Lima Metropolitana, Lima, 15008, Perú, (Ruta4507nueva era 23-10-23, RUTA DESVIO TEM.  4507)</t>
  </si>
  <si>
    <t>Vía de Evitamiento, Santa Anita, Lima Metropolitana, Lima, 15008, Perú, (Ruta4507nueva era 23-10-23, RUTA DESVIO TEM.  4507)</t>
  </si>
  <si>
    <t>Avenida Nicolás de Ayllón, El Agustino, Lima Metropolitana, Lima, 15002, Perú, (Ruta4507nueva era 23-10-23, RUTA DESVIO TEM.  4507)</t>
  </si>
  <si>
    <t>Jirón Junín, El Agustino, Lima Metropolitana, Lima, 15011, Perú</t>
  </si>
  <si>
    <t>Jirón Junín, El Agustino, Lima Metropolitana, Lima, 15003, Perú</t>
  </si>
  <si>
    <t>Avenida Almirante Miguel Grau, 1864, Lima, Lima Metropolitana, Lima, 15011, Perú</t>
  </si>
  <si>
    <t>Avenida Almirante Miguel Grau, 1804, Lima, Lima Metropolitana, Lima, 15011, Perú</t>
  </si>
  <si>
    <t>Avenida Almirante Miguel Grau, 1772, Lima, Lima Metropolitana, Lima, 15011, Perú, (Ruta4507nueva era 23-10-23)</t>
  </si>
  <si>
    <t>Avenida Almirante Miguel Grau, 1518, Lima, Lima Metropolitana, Lima, 15011, Perú, (Ruta4507nueva era 23-10-23)</t>
  </si>
  <si>
    <t>Avenida Almirante Miguel Grau, 1169, Lima, Lima Metropolitana, Lima, 15011, Perú, (Ruta4507nueva era 23-10-23)</t>
  </si>
  <si>
    <t>Avenida Almirante Miguel Grau, 1005, Lima, Lima Metropolitana, Lima, 15011, Perú, (Ruta4507nueva era 23-10-23)</t>
  </si>
  <si>
    <t>Avenida Almirante Miguel Grau, 384, La Victoria, Lima Metropolitana, Lima, 15001, Perú, (Ruta4507nueva era 23-10-23)</t>
  </si>
  <si>
    <t>Avenida Almirante Miguel Grau, Lima, Lima Metropolitana, Lima, 15083, Perú, (Ruta4507nueva era 23-10-23)</t>
  </si>
  <si>
    <t>Avenida Almirante Miguel Grau, 369, Lima, Lima Metropolitana, Lima, 15001, Perú, (Ruta4507nueva era 23-10-23)</t>
  </si>
  <si>
    <t>Vía Expresa Almirante Miguel Grau, La Victoria, Lima Metropolitana, Lima, 15001, Perú, (S02 AV.GRAU/ JR ANDAHUAYLAS, Ruta4507nueva era 23-10-23)</t>
  </si>
  <si>
    <t>Vía Expresa Almirante Miguel Grau, Lima, Lima Metropolitana, Lima, 15001, Perú, (Ruta4507nueva era 23-10-23)</t>
  </si>
  <si>
    <t>Avenida Almirante Miguel Grau, 650, La Victoria, Lima Metropolitana, Lima, 15001, Perú, (Ruta4507nueva era 23-10-23)</t>
  </si>
  <si>
    <t>Avenida Almirante Miguel Grau, 1499, Lima, Lima Metropolitana, Lima, 15011, Perú, (Ruta4507nueva era 23-10-23)</t>
  </si>
  <si>
    <t>Avenida Nicolás de Ayllón, Lima, Lima Metropolitana, Lima, 15011, Perú, (Ruta4507nueva era 23-10-23)</t>
  </si>
  <si>
    <t>Avenida José de la Riva Aguero, Lima, Lima Metropolitana, Lima, 15004, Perú, (Ruta4507nueva era 23-10-23)</t>
  </si>
  <si>
    <t>Calle Ollanta, Lima, Lima Metropolitana, Lima, 15019, Perú</t>
  </si>
  <si>
    <t>Calle Ollanta, San Luis, Lima Metropolitana, Lima, 15019, Perú</t>
  </si>
  <si>
    <t>Avenida Nicolás de Ayllón, San Luis, Lima Metropolitana, Lima, 15019, Perú, (Ruta4507nueva era 23-10-23)</t>
  </si>
  <si>
    <t>61 km/h</t>
  </si>
  <si>
    <t>Avenida Nicolás de Ayllón, Ate, Lima Metropolitana, Lima, 15002, Perú, (Ruta4507nueva era 23-10-23)</t>
  </si>
  <si>
    <t>Avenida La Molina, Ate, Lima Metropolitana, Lima, 15008, Perú, (Ruta4507nueva era 23-10-23)</t>
  </si>
  <si>
    <t>Avenida Simón Bolivar, Ate, Lima Metropolitana, Lima, 15498, Perú, (Ruta4507nueva era 23-10-23)</t>
  </si>
  <si>
    <t>Víctor Raúl Haya de la Torre, Ate, Lima Metropolitana, Lima, 15498, Perú, (Ruta4507nueva era 23-10-23, RUTA DESVIO TEM.  4507)</t>
  </si>
  <si>
    <t>Avenida José Carlos Mariátegui, Ate, Lima Metropolitana, Lima, 15498, Perú, (RUTA DESVIO TEM.  4507)</t>
  </si>
  <si>
    <t>Avenida José Carlos Mariátegui, 5880, Ate, Lima Metropolitana, Lima, 15498, Perú, (S05Vitarte/ ALT. Hospital, Ruta4507nueva era 23-10-23)</t>
  </si>
  <si>
    <t>Pasaje Unión, 107, Ate, Lima Metropolitana, Lima, 15498, Perú, (Ruta4507nueva era 23-10-23)</t>
  </si>
  <si>
    <t>Avenida Nicolás de Ayllón, 6376, Ate, Lima Metropolitana, Lima, 15498, Perú, (Ruta4507nueva era 23-10-23)</t>
  </si>
  <si>
    <t>Avenida Nicolás de Ayllón, 816-818, Ate, Lima Metropolitana, Lima, 15487, Perú, (Ruta4507nueva era 23-10-23)</t>
  </si>
  <si>
    <t>Avenida Jaime Zubieta Calderon, Ate, Lima Metropolitana, Lima, 15483, Perú, (Ruta4507nueva era 23-10-23)</t>
  </si>
  <si>
    <t>Avenida Nicolás Ayllón, 900, Chaclacayo, Lima Metropolitana, Lima, 15472, Perú, (Ruta4507nueva era 23-10-23)</t>
  </si>
  <si>
    <t>Jirón Trujillo Sur, 496, Chosica, Lima Metropolitana, Lima, 15468, Perú</t>
  </si>
  <si>
    <t>Jirón Callao, Chosica, Lima Metropolitana, Lima, 15468, Perú, (Ruta4507nueva era 23-10-23)</t>
  </si>
  <si>
    <t>Avenida Lima Sur, Chosica, Lima Metropolitana, Lima, 15468, Perú</t>
  </si>
  <si>
    <t>Carretera Central, Lurigancho, Lima Metropolitana, Lima, 15483, Perú</t>
  </si>
  <si>
    <t>Avenida Gloria Grande, Ate, Lima Metropolitana, Lima, 15483, Perú</t>
  </si>
  <si>
    <t>Avenida José Carlos Mariátegui, Ricardo Palma, Huarochirí, Lima, 15468, Perú, (CURVA RICARDO PALMA, Ruta4507nueva era 23-10-23)</t>
  </si>
  <si>
    <t>Pasaje Gould, Lima, Lima Metropolitana, Lima, 15082, Perú, (PARADERO DESTINO ASCOPE)</t>
  </si>
  <si>
    <t>Avenida 5 de Setiembre, Ricardo Palma, Huarochirí, Lima, 15468, Perú</t>
  </si>
  <si>
    <t>65 km/h</t>
  </si>
  <si>
    <t>Avenida 5 de Setiembre, Ricardo Palma, Huarochirí, Lima, 15468, Perú, (Ruta4507nueva era 23-10-23)</t>
  </si>
  <si>
    <t>Avenida Iquitos, Lima, Lima Metropolitana, Lima, 15001, Perú, (Ruta4507nueva era 23-10-23)</t>
  </si>
  <si>
    <t>Jirón Ascope, Lima, Lima Metropolitana, Lima, 15082, Perú, (PARADERO DESTINO ASCOPE)</t>
  </si>
  <si>
    <t>Jirón Ascope, Lima, Lima Metropolitana, Lima, 15082, Perú, (PARADERO DESTINO ASCOPE, Ruta4507nueva era 23-10-23)</t>
  </si>
  <si>
    <t>Abraham Valdelomar, Ricardo Palma, Huarochirí, Lima, 15468, Perú</t>
  </si>
  <si>
    <t>Jirón Huarochirí, 643, Lima, Lima Metropolitana, Lima, 15082, Perú</t>
  </si>
  <si>
    <t>Avenida San Martín, Santa Eulalia, Huarochirí, Lima, 15468, Perú</t>
  </si>
  <si>
    <t>Jirón Zorritos, Lima, Lima Metropolitana, Lima, 15082, Perú</t>
  </si>
  <si>
    <t>Avenida Nicolás Arriola, 2976, San Luis, Lima Metropolitana, Lima, 15019, Perú</t>
  </si>
  <si>
    <t>Calle Arequipa, Ate, Lima Metropolitana, Lima, 15498, Perú</t>
  </si>
  <si>
    <t>Jirón Sánchez Pinillos, 189, Lima, Lima Metropolitana, Lima, 15082, Perú, (Ruta4507nueva era 23-10-23)</t>
  </si>
  <si>
    <t>Jirón Sánchez Pinillos, Lima, Lima Metropolitana, Lima, 15082, Perú, (Ruta4507nueva era 23-10-23)</t>
  </si>
  <si>
    <t>Ciclovía Colonial, Lima, Lima Metropolitana, Lima, 15082, Perú</t>
  </si>
  <si>
    <t>Calle Atahualpa, Chaclacayo, Lima Metropolitana, Lima, 15474, Perú</t>
  </si>
  <si>
    <t>Carretera Central, Chaclacayo, Lima Metropolitana, Lima, 15474, Perú</t>
  </si>
  <si>
    <t>Chaclacayo, Lima Metropolitana, Lima, 15474, Perú</t>
  </si>
  <si>
    <t>Simón Bolívar, Ricardo Palma, Huarochirí, Lima, 15468, Perú, (Ruta4507nueva era 23-10-23)</t>
  </si>
  <si>
    <t>Avenida Alfonso Cobián, Chaclacayo, Lima Metropolitana, Lima, 15476, Perú</t>
  </si>
  <si>
    <t>Avenida Nicolas de Pierola, Ate, Lima Metropolitana, Lima, 15487, Perú</t>
  </si>
  <si>
    <t>Avenida Jaime Zubieta Calderón, Ate, Lima Metropolitana, Lima, 15483, Perú</t>
  </si>
  <si>
    <t>Ricardo Palma, Huarochirí, Lima, 15468, Perú</t>
  </si>
  <si>
    <t>Avenida Nicolás Ayllón, Chaclacayo, Lima Metropolitana, Lima, 15472, Perú</t>
  </si>
  <si>
    <t>Avenida Paseo de la República, Lima, Lima Metropolitana, Lima, 15083, Perú, (Ruta4507nueva era 23-10-23)</t>
  </si>
  <si>
    <t>Avenida Los Cipreses, Santa Anita, Lima Metropolitana, Lima, 15008, Perú, (RUTA DESVIO TEM.  4507)</t>
  </si>
  <si>
    <t>Carretera Central, Ricardo Palma, Huarochirí, Lima, 15468, Perú</t>
  </si>
  <si>
    <t>Calle 11, Santa Anita, Lima Metropolitana, Lima, 15009, Perú</t>
  </si>
  <si>
    <t>Jirón Los Próceres, Santa Eulalia, Huarochirí, Lima, 15468, Perú, (Ruta4507nueva era 23-10-23)</t>
  </si>
  <si>
    <t>Avenida Esperanza, Ate, Lima Metropolitana, Lima, 15487, Perú</t>
  </si>
  <si>
    <t>Avenida Palomar Sur, Santa Eulalia, Huarochirí, Lima, 15468, Perú</t>
  </si>
  <si>
    <t>87 km/h</t>
  </si>
  <si>
    <t>Avenida Los Incas, Ate, Lima Metropolitana, Lima, 15474, Perú</t>
  </si>
  <si>
    <t>Calle 20 de Enero, Santa Eulalia, Huarochirí, Lima, 15468, Perú</t>
  </si>
  <si>
    <t>Avenida Colectora, Ate, Lima Metropolitana, Lima, 15483, Perú</t>
  </si>
  <si>
    <t>Avenida Almirante Miguel Grau, 300, La Victoria, Lima Metropolitana, Lima, 15001, Perú, (Ruta4507nueva era 23-10-23)</t>
  </si>
  <si>
    <t>Avenida Andrés Avelino Cáceres, Ate, Lima Metropolitana, Lima, 15474, Perú</t>
  </si>
  <si>
    <t>Avenida Las Retamas, Ricardo Palma, Huarochirí, Lima, 15468, Perú</t>
  </si>
  <si>
    <t>Calle Camino Real, Santa Eulalia, Lima Metropolitana, Lima, 15468, Perú</t>
  </si>
  <si>
    <t>Calle 5, Santa Eulalia, Lima Metropolitana, Lima, 15468, Perú</t>
  </si>
  <si>
    <t>Alameda E, Chaclacayo, Lima Metropolitana, Lima, 15476, Perú</t>
  </si>
  <si>
    <t>Avenida Lima Sur, 824, Chosica, Lima Metropolitana, Lima, 15468, Perú</t>
  </si>
  <si>
    <t>Venta, Ate, Lima Metropolitana, Lima, 15474, Perú</t>
  </si>
  <si>
    <t>Calle B, Ate, Lima Metropolitana, Lima, 15483, Perú</t>
  </si>
  <si>
    <t>Carretera Central, Ate, Lima Metropolitana, Lima, 15483, Perú</t>
  </si>
  <si>
    <t>Carretera Central, Lurigancho, Lima Metropolitana, Lima, 15483, Perú, (Ruta4507nueva era 23-10-23)</t>
  </si>
  <si>
    <t>100 km/h</t>
  </si>
  <si>
    <t>117 km/h</t>
  </si>
  <si>
    <t>Simón Bolívar, Ricardo Palma, Huarochirí, Lima, 15468, Perú, (TALLER TRASANDINO)</t>
  </si>
  <si>
    <t>Calle Ramiro Priale, Ate, Lima Metropolitana, Lima, 15008, Perú</t>
  </si>
  <si>
    <t>137 km/h</t>
  </si>
  <si>
    <t>151 km/h</t>
  </si>
  <si>
    <t>152 km/h</t>
  </si>
  <si>
    <t>Calle Salaverry, 280, Chosica, Lima Metropolitana, Lima, 15468, Perú, (Ruta4507nueva era 23-10-23)</t>
  </si>
  <si>
    <t>Jirón Trujillo Norte, Chosica, Lima Metropolitana, Lima, 15468, Perú</t>
  </si>
  <si>
    <t>Jirón Tacna, 430, Chosica, Lima Metropolitana, Lima, 15468, Perú</t>
  </si>
  <si>
    <t>Objeto 1</t>
  </si>
  <si>
    <t>Objeto 4</t>
  </si>
  <si>
    <t>Objeto 2</t>
  </si>
  <si>
    <t>Objeto 3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</si>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</sst>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6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0" fillId="0" borderId="0" xfId="0"/>
    <xf numFmtId="0" fontId="4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95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3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</row>
    <row r="3" spans="1:13" x14ac:dyDescent="0.25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</row>
    <row r="4" spans="1:13" x14ac:dyDescent="0.25">
      <c r="A4" s="11" t="s">
        <v>3</v>
      </c>
      <c r="B4" s="11"/>
      <c r="C4" s="11"/>
      <c r="D4" s="11"/>
      <c r="E4" s="11"/>
      <c r="F4" s="11"/>
      <c r="G4" s="11"/>
      <c r="H4" s="11"/>
      <c r="I4" s="11"/>
      <c r="J4" s="11"/>
    </row>
    <row r="5" spans="1:13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3" s="1" customFormat="1" x14ac:dyDescent="0.25">
      <c r="A6" s="14" t="s">
        <v>4</v>
      </c>
      <c r="B6" s="14"/>
      <c r="C6" s="14"/>
      <c r="D6" s="14"/>
      <c r="E6" s="14"/>
      <c r="F6" s="14"/>
      <c r="G6" s="14"/>
      <c r="H6" s="14"/>
      <c r="I6" s="14"/>
      <c r="J6" s="14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414</v>
      </c>
      <c r="B8" s="3">
        <v>45691.260972222226</v>
      </c>
      <c r="C8" t="s">
        <v>18</v>
      </c>
      <c r="D8" s="3">
        <v>45691.927476851852</v>
      </c>
      <c r="E8" t="s">
        <v>18</v>
      </c>
      <c r="F8" s="4">
        <v>213.05199999999999</v>
      </c>
      <c r="G8" s="4">
        <v>512243.86599999998</v>
      </c>
      <c r="H8" s="4">
        <v>512456.91800000001</v>
      </c>
      <c r="I8" s="5">
        <f>12707 / 86400</f>
        <v>0.14707175925925925</v>
      </c>
      <c r="J8" t="s">
        <v>19</v>
      </c>
      <c r="K8" t="s">
        <v>20</v>
      </c>
      <c r="L8" s="5">
        <f>42117 / 86400</f>
        <v>0.48746527777777776</v>
      </c>
      <c r="M8" s="5">
        <f>44276 / 86400</f>
        <v>0.51245370370370369</v>
      </c>
    </row>
    <row r="9" spans="1:13" x14ac:dyDescent="0.25">
      <c r="A9" t="s">
        <v>416</v>
      </c>
      <c r="B9" s="3">
        <v>45691.11645833333</v>
      </c>
      <c r="C9" t="s">
        <v>21</v>
      </c>
      <c r="D9" s="3">
        <v>45691.719027777777</v>
      </c>
      <c r="E9" t="s">
        <v>22</v>
      </c>
      <c r="F9" s="4">
        <v>159.589</v>
      </c>
      <c r="G9" s="4">
        <v>17522.767</v>
      </c>
      <c r="H9" s="4">
        <v>17682.356</v>
      </c>
      <c r="I9" s="5">
        <f>6535 / 86400</f>
        <v>7.5636574074074078E-2</v>
      </c>
      <c r="J9" t="s">
        <v>23</v>
      </c>
      <c r="K9" t="s">
        <v>24</v>
      </c>
      <c r="L9" s="5">
        <f>25905 / 86400</f>
        <v>0.29982638888888891</v>
      </c>
      <c r="M9" s="5">
        <f>60491 / 86400</f>
        <v>0.70012731481481483</v>
      </c>
    </row>
    <row r="10" spans="1:13" x14ac:dyDescent="0.25">
      <c r="A10" t="s">
        <v>417</v>
      </c>
      <c r="B10" s="3">
        <v>45691.213425925926</v>
      </c>
      <c r="C10" t="s">
        <v>25</v>
      </c>
      <c r="D10" s="3">
        <v>45691.934212962966</v>
      </c>
      <c r="E10" t="s">
        <v>26</v>
      </c>
      <c r="F10" s="4">
        <v>256.46500000000003</v>
      </c>
      <c r="G10" s="4">
        <v>326543.38</v>
      </c>
      <c r="H10" s="4">
        <v>326799.84499999997</v>
      </c>
      <c r="I10" s="5">
        <f>17698 / 86400</f>
        <v>0.20483796296296297</v>
      </c>
      <c r="J10" t="s">
        <v>27</v>
      </c>
      <c r="K10" t="s">
        <v>20</v>
      </c>
      <c r="L10" s="5">
        <f>52488 / 86400</f>
        <v>0.60750000000000004</v>
      </c>
      <c r="M10" s="5">
        <f>33903 / 86400</f>
        <v>0.39239583333333333</v>
      </c>
    </row>
    <row r="11" spans="1:13" x14ac:dyDescent="0.25">
      <c r="A11" t="s">
        <v>415</v>
      </c>
      <c r="B11" s="3">
        <v>45691.27988425926</v>
      </c>
      <c r="C11" t="s">
        <v>28</v>
      </c>
      <c r="D11" s="3">
        <v>45691.891284722224</v>
      </c>
      <c r="E11" t="s">
        <v>28</v>
      </c>
      <c r="F11" s="4">
        <v>182.57399999999998</v>
      </c>
      <c r="G11" s="4">
        <v>19691.391</v>
      </c>
      <c r="H11" s="4">
        <v>19873.965</v>
      </c>
      <c r="I11" s="5">
        <f>14506 / 86400</f>
        <v>0.16789351851851853</v>
      </c>
      <c r="J11" t="s">
        <v>29</v>
      </c>
      <c r="K11" t="s">
        <v>30</v>
      </c>
      <c r="L11" s="5">
        <f>42431 / 86400</f>
        <v>0.49109953703703701</v>
      </c>
      <c r="M11" s="5">
        <f>43962 / 86400</f>
        <v>0.50881944444444449</v>
      </c>
    </row>
    <row r="12" spans="1:13" x14ac:dyDescent="0.25">
      <c r="A12" t="s">
        <v>418</v>
      </c>
      <c r="B12" s="3">
        <v>45691.260868055557</v>
      </c>
      <c r="C12" t="s">
        <v>31</v>
      </c>
      <c r="D12" s="3">
        <v>45691.921493055561</v>
      </c>
      <c r="E12" t="s">
        <v>31</v>
      </c>
      <c r="F12" s="4">
        <v>0.13300000000000001</v>
      </c>
      <c r="G12" s="4">
        <v>511654.41499999998</v>
      </c>
      <c r="H12" s="4">
        <v>511654.54800000001</v>
      </c>
      <c r="I12" s="5">
        <f>716 / 86400</f>
        <v>8.2870370370370372E-3</v>
      </c>
      <c r="J12" t="s">
        <v>32</v>
      </c>
      <c r="K12" t="s">
        <v>33</v>
      </c>
      <c r="L12" s="5">
        <f>1028 / 86400</f>
        <v>1.1898148148148149E-2</v>
      </c>
      <c r="M12" s="5">
        <f>85368 / 86400</f>
        <v>0.98805555555555558</v>
      </c>
    </row>
    <row r="13" spans="1:13" x14ac:dyDescent="0.25">
      <c r="A13" t="s">
        <v>419</v>
      </c>
      <c r="B13" s="3">
        <v>45691.228113425925</v>
      </c>
      <c r="C13" t="s">
        <v>28</v>
      </c>
      <c r="D13" s="3">
        <v>45691.899155092593</v>
      </c>
      <c r="E13" t="s">
        <v>28</v>
      </c>
      <c r="F13" s="4">
        <v>170.21800000000002</v>
      </c>
      <c r="G13" s="4">
        <v>90715.680999999997</v>
      </c>
      <c r="H13" s="4">
        <v>90885.899000000005</v>
      </c>
      <c r="I13" s="5">
        <f>12222 / 86400</f>
        <v>0.14145833333333332</v>
      </c>
      <c r="J13" t="s">
        <v>23</v>
      </c>
      <c r="K13" t="s">
        <v>30</v>
      </c>
      <c r="L13" s="5">
        <f>39876 / 86400</f>
        <v>0.46152777777777776</v>
      </c>
      <c r="M13" s="5">
        <f>46519 / 86400</f>
        <v>0.53841435185185182</v>
      </c>
    </row>
    <row r="14" spans="1:13" x14ac:dyDescent="0.25">
      <c r="A14" t="s">
        <v>420</v>
      </c>
      <c r="B14" s="3">
        <v>45691.173576388886</v>
      </c>
      <c r="C14" t="s">
        <v>18</v>
      </c>
      <c r="D14" s="3">
        <v>45691.802141203705</v>
      </c>
      <c r="E14" t="s">
        <v>18</v>
      </c>
      <c r="F14" s="4">
        <v>240.65</v>
      </c>
      <c r="G14" s="4">
        <v>135422.78200000001</v>
      </c>
      <c r="H14" s="4">
        <v>135663.432</v>
      </c>
      <c r="I14" s="5">
        <f>14456 / 86400</f>
        <v>0.16731481481481481</v>
      </c>
      <c r="J14" t="s">
        <v>34</v>
      </c>
      <c r="K14" t="s">
        <v>35</v>
      </c>
      <c r="L14" s="5">
        <f>46126 / 86400</f>
        <v>0.53386574074074078</v>
      </c>
      <c r="M14" s="5">
        <f>40266 / 86400</f>
        <v>0.46604166666666669</v>
      </c>
    </row>
    <row r="15" spans="1:13" x14ac:dyDescent="0.25">
      <c r="A15" t="s">
        <v>421</v>
      </c>
      <c r="B15" s="3">
        <v>45691.211111111115</v>
      </c>
      <c r="C15" t="s">
        <v>36</v>
      </c>
      <c r="D15" s="3">
        <v>45691.718854166669</v>
      </c>
      <c r="E15" t="s">
        <v>28</v>
      </c>
      <c r="F15" s="4">
        <v>190.2373621968627</v>
      </c>
      <c r="G15" s="4">
        <v>346229.16139117983</v>
      </c>
      <c r="H15" s="4">
        <v>346431.51917540107</v>
      </c>
      <c r="I15" s="5">
        <f>0 / 86400</f>
        <v>0</v>
      </c>
      <c r="J15" t="s">
        <v>37</v>
      </c>
      <c r="K15" t="s">
        <v>24</v>
      </c>
      <c r="L15" s="5">
        <f>30914 / 86400</f>
        <v>0.35780092592592594</v>
      </c>
      <c r="M15" s="5">
        <f>55485 / 86400</f>
        <v>0.64218750000000002</v>
      </c>
    </row>
    <row r="16" spans="1:13" x14ac:dyDescent="0.25">
      <c r="A16" t="s">
        <v>422</v>
      </c>
      <c r="B16" s="3">
        <v>45691.170219907406</v>
      </c>
      <c r="C16" t="s">
        <v>38</v>
      </c>
      <c r="D16" s="3">
        <v>45691.601516203707</v>
      </c>
      <c r="E16" t="s">
        <v>38</v>
      </c>
      <c r="F16" s="4">
        <v>164.68199999999999</v>
      </c>
      <c r="G16" s="4">
        <v>482796.43699999998</v>
      </c>
      <c r="H16" s="4">
        <v>482961.11900000001</v>
      </c>
      <c r="I16" s="5">
        <f>13058 / 86400</f>
        <v>0.15113425925925925</v>
      </c>
      <c r="J16" t="s">
        <v>39</v>
      </c>
      <c r="K16" t="s">
        <v>40</v>
      </c>
      <c r="L16" s="5">
        <f>37263 / 86400</f>
        <v>0.43128472222222225</v>
      </c>
      <c r="M16" s="5">
        <f>49135 / 86400</f>
        <v>0.56869212962962967</v>
      </c>
    </row>
    <row r="17" spans="1:13" x14ac:dyDescent="0.25">
      <c r="A17" t="s">
        <v>423</v>
      </c>
      <c r="B17" s="3">
        <v>45691.130648148144</v>
      </c>
      <c r="C17" t="s">
        <v>41</v>
      </c>
      <c r="D17" s="3">
        <v>45691.845821759256</v>
      </c>
      <c r="E17" t="s">
        <v>41</v>
      </c>
      <c r="F17" s="4">
        <v>303.94799999999998</v>
      </c>
      <c r="G17" s="4">
        <v>506008.58600000001</v>
      </c>
      <c r="H17" s="4">
        <v>506312.53399999999</v>
      </c>
      <c r="I17" s="5">
        <f>18137 / 86400</f>
        <v>0.20991898148148147</v>
      </c>
      <c r="J17" t="s">
        <v>42</v>
      </c>
      <c r="K17" t="s">
        <v>20</v>
      </c>
      <c r="L17" s="5">
        <f>59649 / 86400</f>
        <v>0.69038194444444445</v>
      </c>
      <c r="M17" s="5">
        <f>26747 / 86400</f>
        <v>0.30957175925925928</v>
      </c>
    </row>
    <row r="18" spans="1:13" x14ac:dyDescent="0.25">
      <c r="A18" t="s">
        <v>424</v>
      </c>
      <c r="B18" s="3">
        <v>45691.241226851853</v>
      </c>
      <c r="C18" t="s">
        <v>43</v>
      </c>
      <c r="D18" s="3">
        <v>45691.967210648145</v>
      </c>
      <c r="E18" t="s">
        <v>43</v>
      </c>
      <c r="F18" s="4">
        <v>200.631</v>
      </c>
      <c r="G18" s="4">
        <v>406467.755</v>
      </c>
      <c r="H18" s="4">
        <v>406668.386</v>
      </c>
      <c r="I18" s="5">
        <f>17817 / 86400</f>
        <v>0.20621527777777779</v>
      </c>
      <c r="J18" t="s">
        <v>44</v>
      </c>
      <c r="K18" t="s">
        <v>45</v>
      </c>
      <c r="L18" s="5">
        <f>49972 / 86400</f>
        <v>0.57837962962962963</v>
      </c>
      <c r="M18" s="5">
        <f>36421 / 86400</f>
        <v>0.42153935185185187</v>
      </c>
    </row>
    <row r="19" spans="1:13" x14ac:dyDescent="0.25">
      <c r="A19" t="s">
        <v>425</v>
      </c>
      <c r="B19" s="3">
        <v>45691.281585648147</v>
      </c>
      <c r="C19" t="s">
        <v>46</v>
      </c>
      <c r="D19" s="3">
        <v>45691.810289351852</v>
      </c>
      <c r="E19" t="s">
        <v>46</v>
      </c>
      <c r="F19" s="4">
        <v>197.35500000000002</v>
      </c>
      <c r="G19" s="4">
        <v>436195.82699999999</v>
      </c>
      <c r="H19" s="4">
        <v>436393.18199999997</v>
      </c>
      <c r="I19" s="5">
        <f>12913 / 86400</f>
        <v>0.14945601851851853</v>
      </c>
      <c r="J19" t="s">
        <v>39</v>
      </c>
      <c r="K19" t="s">
        <v>47</v>
      </c>
      <c r="L19" s="5">
        <f>41100 / 86400</f>
        <v>0.47569444444444442</v>
      </c>
      <c r="M19" s="5">
        <f>45297 / 86400</f>
        <v>0.52427083333333335</v>
      </c>
    </row>
    <row r="20" spans="1:13" x14ac:dyDescent="0.25">
      <c r="A20" t="s">
        <v>426</v>
      </c>
      <c r="B20" s="3">
        <v>45691.1325</v>
      </c>
      <c r="C20" t="s">
        <v>21</v>
      </c>
      <c r="D20" s="3">
        <v>45691.926180555558</v>
      </c>
      <c r="E20" t="s">
        <v>21</v>
      </c>
      <c r="F20" s="4">
        <v>303.60000000000002</v>
      </c>
      <c r="G20" s="4">
        <v>51976.995000000003</v>
      </c>
      <c r="H20" s="4">
        <v>52280.595000000001</v>
      </c>
      <c r="I20" s="5">
        <f>17532 / 86400</f>
        <v>0.20291666666666666</v>
      </c>
      <c r="J20" t="s">
        <v>48</v>
      </c>
      <c r="K20" t="s">
        <v>35</v>
      </c>
      <c r="L20" s="5">
        <f>56462 / 86400</f>
        <v>0.65349537037037042</v>
      </c>
      <c r="M20" s="5">
        <f>29929 / 86400</f>
        <v>0.34640046296296295</v>
      </c>
    </row>
    <row r="21" spans="1:13" x14ac:dyDescent="0.25">
      <c r="A21" t="s">
        <v>427</v>
      </c>
      <c r="B21" s="3">
        <v>45691</v>
      </c>
      <c r="C21" t="s">
        <v>49</v>
      </c>
      <c r="D21" s="3">
        <v>45691.801574074074</v>
      </c>
      <c r="E21" t="s">
        <v>50</v>
      </c>
      <c r="F21" s="4">
        <v>210.10199999999998</v>
      </c>
      <c r="G21" s="4">
        <v>214024.55300000001</v>
      </c>
      <c r="H21" s="4">
        <v>214234.655</v>
      </c>
      <c r="I21" s="5">
        <f>17547 / 86400</f>
        <v>0.20309027777777777</v>
      </c>
      <c r="J21" t="s">
        <v>51</v>
      </c>
      <c r="K21" t="s">
        <v>40</v>
      </c>
      <c r="L21" s="5">
        <f>48754 / 86400</f>
        <v>0.56428240740740743</v>
      </c>
      <c r="M21" s="5">
        <f>37637 / 86400</f>
        <v>0.43561342592592595</v>
      </c>
    </row>
    <row r="22" spans="1:13" x14ac:dyDescent="0.25">
      <c r="A22" t="s">
        <v>428</v>
      </c>
      <c r="B22" s="3">
        <v>45691.255509259259</v>
      </c>
      <c r="C22" t="s">
        <v>52</v>
      </c>
      <c r="D22" s="3">
        <v>45691.811249999999</v>
      </c>
      <c r="E22" t="s">
        <v>52</v>
      </c>
      <c r="F22" s="4">
        <v>187.589</v>
      </c>
      <c r="G22" s="4">
        <v>523387.56599999999</v>
      </c>
      <c r="H22" s="4">
        <v>523575.15500000003</v>
      </c>
      <c r="I22" s="5">
        <f>20211 / 86400</f>
        <v>0.23392361111111112</v>
      </c>
      <c r="J22" t="s">
        <v>23</v>
      </c>
      <c r="K22" t="s">
        <v>40</v>
      </c>
      <c r="L22" s="5">
        <f>43349 / 86400</f>
        <v>0.50172453703703701</v>
      </c>
      <c r="M22" s="5">
        <f>43048 / 86400</f>
        <v>0.49824074074074076</v>
      </c>
    </row>
    <row r="23" spans="1:13" x14ac:dyDescent="0.25">
      <c r="A23" t="s">
        <v>429</v>
      </c>
      <c r="B23" s="3">
        <v>45691.254965277782</v>
      </c>
      <c r="C23" t="s">
        <v>53</v>
      </c>
      <c r="D23" s="3">
        <v>45691.929143518515</v>
      </c>
      <c r="E23" t="s">
        <v>53</v>
      </c>
      <c r="F23" s="4">
        <v>205.06399999999999</v>
      </c>
      <c r="G23" s="4">
        <v>343547.24300000002</v>
      </c>
      <c r="H23" s="4">
        <v>343752.30699999997</v>
      </c>
      <c r="I23" s="5">
        <f>16028 / 86400</f>
        <v>0.18550925925925926</v>
      </c>
      <c r="J23" t="s">
        <v>54</v>
      </c>
      <c r="K23" t="s">
        <v>40</v>
      </c>
      <c r="L23" s="5">
        <f>46047 / 86400</f>
        <v>0.53295138888888893</v>
      </c>
      <c r="M23" s="5">
        <f>40345 / 86400</f>
        <v>0.46695601851851853</v>
      </c>
    </row>
    <row r="24" spans="1:13" x14ac:dyDescent="0.25">
      <c r="A24" t="s">
        <v>430</v>
      </c>
      <c r="B24" s="3">
        <v>45691.254108796296</v>
      </c>
      <c r="C24" t="s">
        <v>55</v>
      </c>
      <c r="D24" s="3">
        <v>45691.83289351852</v>
      </c>
      <c r="E24" t="s">
        <v>55</v>
      </c>
      <c r="F24" s="4">
        <v>201.72499999999999</v>
      </c>
      <c r="G24" s="4">
        <v>424594.66399999999</v>
      </c>
      <c r="H24" s="4">
        <v>424796.38900000002</v>
      </c>
      <c r="I24" s="5">
        <f>11956 / 86400</f>
        <v>0.13837962962962963</v>
      </c>
      <c r="J24" t="s">
        <v>56</v>
      </c>
      <c r="K24" t="s">
        <v>20</v>
      </c>
      <c r="L24" s="5">
        <f>40392 / 86400</f>
        <v>0.46750000000000003</v>
      </c>
      <c r="M24" s="5">
        <f>46003 / 86400</f>
        <v>0.53244212962962967</v>
      </c>
    </row>
    <row r="25" spans="1:13" x14ac:dyDescent="0.25">
      <c r="A25" t="s">
        <v>431</v>
      </c>
      <c r="B25" s="3">
        <v>45691.227743055555</v>
      </c>
      <c r="C25" t="s">
        <v>28</v>
      </c>
      <c r="D25" s="3">
        <v>45691.833680555559</v>
      </c>
      <c r="E25" t="s">
        <v>28</v>
      </c>
      <c r="F25" s="4">
        <v>183.73499999999999</v>
      </c>
      <c r="G25" s="4">
        <v>11236.875</v>
      </c>
      <c r="H25" s="4">
        <v>11420.61</v>
      </c>
      <c r="I25" s="5">
        <f>19958 / 86400</f>
        <v>0.23099537037037038</v>
      </c>
      <c r="J25" t="s">
        <v>57</v>
      </c>
      <c r="K25" t="s">
        <v>45</v>
      </c>
      <c r="L25" s="5">
        <f>46762 / 86400</f>
        <v>0.54122685185185182</v>
      </c>
      <c r="M25" s="5">
        <f>39633 / 86400</f>
        <v>0.45871527777777776</v>
      </c>
    </row>
    <row r="26" spans="1:13" x14ac:dyDescent="0.25">
      <c r="A26" t="s">
        <v>432</v>
      </c>
      <c r="B26" s="3">
        <v>45691.231064814812</v>
      </c>
      <c r="C26" t="s">
        <v>58</v>
      </c>
      <c r="D26" s="3">
        <v>45691.855104166665</v>
      </c>
      <c r="E26" t="s">
        <v>58</v>
      </c>
      <c r="F26" s="4">
        <v>223.71700000000001</v>
      </c>
      <c r="G26" s="4">
        <v>137244.073</v>
      </c>
      <c r="H26" s="4">
        <v>137467.79</v>
      </c>
      <c r="I26" s="5">
        <f>14914 / 86400</f>
        <v>0.17261574074074074</v>
      </c>
      <c r="J26" t="s">
        <v>51</v>
      </c>
      <c r="K26" t="s">
        <v>47</v>
      </c>
      <c r="L26" s="5">
        <f>46028 / 86400</f>
        <v>0.53273148148148153</v>
      </c>
      <c r="M26" s="5">
        <f>40369 / 86400</f>
        <v>0.4672337962962963</v>
      </c>
    </row>
    <row r="27" spans="1:13" x14ac:dyDescent="0.25">
      <c r="A27" t="s">
        <v>433</v>
      </c>
      <c r="B27" s="3">
        <v>45691.227731481486</v>
      </c>
      <c r="C27" t="s">
        <v>28</v>
      </c>
      <c r="D27" s="3">
        <v>45691.915243055555</v>
      </c>
      <c r="E27" t="s">
        <v>28</v>
      </c>
      <c r="F27" s="4">
        <v>172.47300000000001</v>
      </c>
      <c r="G27" s="4">
        <v>4020.5720000000001</v>
      </c>
      <c r="H27" s="4">
        <v>4193.0450000000001</v>
      </c>
      <c r="I27" s="5">
        <f>23350 / 86400</f>
        <v>0.27025462962962965</v>
      </c>
      <c r="J27" t="s">
        <v>34</v>
      </c>
      <c r="K27" t="s">
        <v>59</v>
      </c>
      <c r="L27" s="5">
        <f>48479 / 86400</f>
        <v>0.56109953703703708</v>
      </c>
      <c r="M27" s="5">
        <f>37917 / 86400</f>
        <v>0.43885416666666666</v>
      </c>
    </row>
    <row r="28" spans="1:13" x14ac:dyDescent="0.25">
      <c r="A28" t="s">
        <v>434</v>
      </c>
      <c r="B28" s="3">
        <v>45691.209652777776</v>
      </c>
      <c r="C28" t="s">
        <v>38</v>
      </c>
      <c r="D28" s="3">
        <v>45691.718692129631</v>
      </c>
      <c r="E28" t="s">
        <v>38</v>
      </c>
      <c r="F28" s="4">
        <v>189.06899999999999</v>
      </c>
      <c r="G28" s="4">
        <v>385259.60399999999</v>
      </c>
      <c r="H28" s="4">
        <v>385448.67300000001</v>
      </c>
      <c r="I28" s="5">
        <f>11892 / 86400</f>
        <v>0.13763888888888889</v>
      </c>
      <c r="J28" t="s">
        <v>56</v>
      </c>
      <c r="K28" t="s">
        <v>20</v>
      </c>
      <c r="L28" s="5">
        <f>38718 / 86400</f>
        <v>0.448125</v>
      </c>
      <c r="M28" s="5">
        <f>47678 / 86400</f>
        <v>0.55182870370370374</v>
      </c>
    </row>
    <row r="29" spans="1:13" x14ac:dyDescent="0.25">
      <c r="A29" t="s">
        <v>435</v>
      </c>
      <c r="B29" s="3">
        <v>45691.290960648148</v>
      </c>
      <c r="C29" t="s">
        <v>60</v>
      </c>
      <c r="D29" s="3">
        <v>45691.819282407407</v>
      </c>
      <c r="E29" t="s">
        <v>60</v>
      </c>
      <c r="F29" s="4">
        <v>1.143</v>
      </c>
      <c r="G29" s="4">
        <v>391072.571</v>
      </c>
      <c r="H29" s="4">
        <v>391073.71399999998</v>
      </c>
      <c r="I29" s="5">
        <f>6471 / 86400</f>
        <v>7.4895833333333328E-2</v>
      </c>
      <c r="J29" t="s">
        <v>61</v>
      </c>
      <c r="K29" t="s">
        <v>62</v>
      </c>
      <c r="L29" s="5">
        <f>6804 / 86400</f>
        <v>7.8750000000000001E-2</v>
      </c>
      <c r="M29" s="5">
        <f>79590 / 86400</f>
        <v>0.92118055555555556</v>
      </c>
    </row>
    <row r="30" spans="1:13" x14ac:dyDescent="0.25">
      <c r="A30" t="s">
        <v>436</v>
      </c>
      <c r="B30" s="3">
        <v>45691.147141203706</v>
      </c>
      <c r="C30" t="s">
        <v>63</v>
      </c>
      <c r="D30" s="3">
        <v>45691.721504629633</v>
      </c>
      <c r="E30" t="s">
        <v>63</v>
      </c>
      <c r="F30" s="4">
        <v>210.95500000000001</v>
      </c>
      <c r="G30" s="4">
        <v>521124.43400000001</v>
      </c>
      <c r="H30" s="4">
        <v>521335.38900000002</v>
      </c>
      <c r="I30" s="5">
        <f>11137 / 86400</f>
        <v>0.12890046296296295</v>
      </c>
      <c r="J30" t="s">
        <v>23</v>
      </c>
      <c r="K30" t="s">
        <v>35</v>
      </c>
      <c r="L30" s="5">
        <f>39782 / 86400</f>
        <v>0.46043981481481483</v>
      </c>
      <c r="M30" s="5">
        <f>46610 / 86400</f>
        <v>0.53946759259259258</v>
      </c>
    </row>
    <row r="31" spans="1:13" x14ac:dyDescent="0.25">
      <c r="A31" t="s">
        <v>437</v>
      </c>
      <c r="B31" s="3">
        <v>45691.387430555551</v>
      </c>
      <c r="C31" t="s">
        <v>64</v>
      </c>
      <c r="D31" s="3">
        <v>45691.99998842593</v>
      </c>
      <c r="E31" t="s">
        <v>65</v>
      </c>
      <c r="F31" s="4">
        <v>204.92500000000001</v>
      </c>
      <c r="G31" s="4">
        <v>410010.00400000002</v>
      </c>
      <c r="H31" s="4">
        <v>410214.929</v>
      </c>
      <c r="I31" s="5">
        <f>12321 / 86400</f>
        <v>0.14260416666666667</v>
      </c>
      <c r="J31" t="s">
        <v>66</v>
      </c>
      <c r="K31" t="s">
        <v>47</v>
      </c>
      <c r="L31" s="5">
        <f>43187 / 86400</f>
        <v>0.49984953703703705</v>
      </c>
      <c r="M31" s="5">
        <f>43205 / 86400</f>
        <v>0.50005787037037042</v>
      </c>
    </row>
    <row r="32" spans="1:13" x14ac:dyDescent="0.25">
      <c r="A32" t="s">
        <v>438</v>
      </c>
      <c r="B32" s="3">
        <v>45691.254409722227</v>
      </c>
      <c r="C32" t="s">
        <v>67</v>
      </c>
      <c r="D32" s="3">
        <v>45691.869594907403</v>
      </c>
      <c r="E32" t="s">
        <v>67</v>
      </c>
      <c r="F32" s="4">
        <v>197.97</v>
      </c>
      <c r="G32" s="4">
        <v>400990.94699999999</v>
      </c>
      <c r="H32" s="4">
        <v>401188.91700000002</v>
      </c>
      <c r="I32" s="5">
        <f>14779 / 86400</f>
        <v>0.17105324074074074</v>
      </c>
      <c r="J32" t="s">
        <v>37</v>
      </c>
      <c r="K32" t="s">
        <v>40</v>
      </c>
      <c r="L32" s="5">
        <f>43694 / 86400</f>
        <v>0.50571759259259264</v>
      </c>
      <c r="M32" s="5">
        <f>42702 / 86400</f>
        <v>0.4942361111111111</v>
      </c>
    </row>
    <row r="33" spans="1:13" x14ac:dyDescent="0.25">
      <c r="A33" t="s">
        <v>439</v>
      </c>
      <c r="B33" s="3">
        <v>45691.29105324074</v>
      </c>
      <c r="C33" t="s">
        <v>68</v>
      </c>
      <c r="D33" s="3">
        <v>45691.652604166666</v>
      </c>
      <c r="E33" t="s">
        <v>68</v>
      </c>
      <c r="F33" s="4">
        <v>123.205</v>
      </c>
      <c r="G33" s="4">
        <v>347067.01500000001</v>
      </c>
      <c r="H33" s="4">
        <v>347190.22</v>
      </c>
      <c r="I33" s="5">
        <f>8695 / 86400</f>
        <v>0.10063657407407407</v>
      </c>
      <c r="J33" t="s">
        <v>29</v>
      </c>
      <c r="K33" t="s">
        <v>47</v>
      </c>
      <c r="L33" s="5">
        <f>26807 / 86400</f>
        <v>0.31026620370370372</v>
      </c>
      <c r="M33" s="5">
        <f>59592 / 86400</f>
        <v>0.68972222222222224</v>
      </c>
    </row>
    <row r="34" spans="1:13" x14ac:dyDescent="0.25">
      <c r="A34" t="s">
        <v>440</v>
      </c>
      <c r="B34" s="3">
        <v>45691.306076388893</v>
      </c>
      <c r="C34" t="s">
        <v>69</v>
      </c>
      <c r="D34" s="3">
        <v>45691.900983796295</v>
      </c>
      <c r="E34" t="s">
        <v>69</v>
      </c>
      <c r="F34" s="4">
        <v>124.30199999999999</v>
      </c>
      <c r="G34" s="4">
        <v>39191.235999999997</v>
      </c>
      <c r="H34" s="4">
        <v>39315.538</v>
      </c>
      <c r="I34" s="5">
        <f>5775 / 86400</f>
        <v>6.6840277777777776E-2</v>
      </c>
      <c r="J34" t="s">
        <v>57</v>
      </c>
      <c r="K34" t="s">
        <v>70</v>
      </c>
      <c r="L34" s="5">
        <f>21622 / 86400</f>
        <v>0.25025462962962963</v>
      </c>
      <c r="M34" s="5">
        <f>64774 / 86400</f>
        <v>0.7496990740740741</v>
      </c>
    </row>
    <row r="35" spans="1:13" x14ac:dyDescent="0.25">
      <c r="A35" t="s">
        <v>441</v>
      </c>
      <c r="B35" s="3">
        <v>45691.170833333337</v>
      </c>
      <c r="C35" t="s">
        <v>38</v>
      </c>
      <c r="D35" s="3">
        <v>45691.99998842593</v>
      </c>
      <c r="E35" t="s">
        <v>71</v>
      </c>
      <c r="F35" s="4">
        <v>309.04700000000003</v>
      </c>
      <c r="G35" s="4">
        <v>43565.646000000001</v>
      </c>
      <c r="H35" s="4">
        <v>43874.692999999999</v>
      </c>
      <c r="I35" s="5">
        <f>20500 / 86400</f>
        <v>0.23726851851851852</v>
      </c>
      <c r="J35" t="s">
        <v>72</v>
      </c>
      <c r="K35" t="s">
        <v>20</v>
      </c>
      <c r="L35" s="5">
        <f>62687 / 86400</f>
        <v>0.72554398148148147</v>
      </c>
      <c r="M35" s="5">
        <f>23708 / 86400</f>
        <v>0.27439814814814817</v>
      </c>
    </row>
    <row r="36" spans="1:13" x14ac:dyDescent="0.25">
      <c r="A36" t="s">
        <v>442</v>
      </c>
      <c r="B36" s="3">
        <v>45691</v>
      </c>
      <c r="C36" t="s">
        <v>73</v>
      </c>
      <c r="D36" s="3">
        <v>45691.99998842593</v>
      </c>
      <c r="E36" t="s">
        <v>74</v>
      </c>
      <c r="F36" s="4">
        <v>360.94699999994037</v>
      </c>
      <c r="G36" s="4">
        <v>524891.94900000002</v>
      </c>
      <c r="H36" s="4">
        <v>525252.89599999995</v>
      </c>
      <c r="I36" s="5">
        <f>26250 / 86400</f>
        <v>0.30381944444444442</v>
      </c>
      <c r="J36" t="s">
        <v>23</v>
      </c>
      <c r="K36" t="s">
        <v>20</v>
      </c>
      <c r="L36" s="5">
        <f>73513 / 86400</f>
        <v>0.85084490740740737</v>
      </c>
      <c r="M36" s="5">
        <f>12880 / 86400</f>
        <v>0.14907407407407408</v>
      </c>
    </row>
    <row r="37" spans="1:13" x14ac:dyDescent="0.25">
      <c r="A37" t="s">
        <v>443</v>
      </c>
      <c r="B37" s="3">
        <v>45691.273310185185</v>
      </c>
      <c r="C37" t="s">
        <v>28</v>
      </c>
      <c r="D37" s="3">
        <v>45691.759131944447</v>
      </c>
      <c r="E37" t="s">
        <v>28</v>
      </c>
      <c r="F37" s="4">
        <v>1.119</v>
      </c>
      <c r="G37" s="4">
        <v>566134.848</v>
      </c>
      <c r="H37" s="4">
        <v>566135.96699999995</v>
      </c>
      <c r="I37" s="5">
        <f>215 / 86400</f>
        <v>2.488425925925926E-3</v>
      </c>
      <c r="J37" t="s">
        <v>75</v>
      </c>
      <c r="K37" t="s">
        <v>76</v>
      </c>
      <c r="L37" s="5">
        <f>606 / 86400</f>
        <v>7.013888888888889E-3</v>
      </c>
      <c r="M37" s="5">
        <f>85791 / 86400</f>
        <v>0.9929513888888889</v>
      </c>
    </row>
    <row r="38" spans="1:13" x14ac:dyDescent="0.25">
      <c r="A38" t="s">
        <v>444</v>
      </c>
      <c r="B38" s="3">
        <v>45691.237939814819</v>
      </c>
      <c r="C38" t="s">
        <v>77</v>
      </c>
      <c r="D38" s="3">
        <v>45691.964247685188</v>
      </c>
      <c r="E38" t="s">
        <v>77</v>
      </c>
      <c r="F38" s="4">
        <v>213.72499999999999</v>
      </c>
      <c r="G38" s="4">
        <v>433956.85499999998</v>
      </c>
      <c r="H38" s="4">
        <v>434170.58</v>
      </c>
      <c r="I38" s="5">
        <f>12130 / 86400</f>
        <v>0.14039351851851853</v>
      </c>
      <c r="J38" t="s">
        <v>54</v>
      </c>
      <c r="K38" t="s">
        <v>20</v>
      </c>
      <c r="L38" s="5">
        <f>43632 / 86400</f>
        <v>0.505</v>
      </c>
      <c r="M38" s="5">
        <f>42762 / 86400</f>
        <v>0.49493055555555554</v>
      </c>
    </row>
    <row r="39" spans="1:13" x14ac:dyDescent="0.25">
      <c r="A39" t="s">
        <v>445</v>
      </c>
      <c r="B39" s="3">
        <v>45691.244317129633</v>
      </c>
      <c r="C39" t="s">
        <v>50</v>
      </c>
      <c r="D39" s="3">
        <v>45691.801701388889</v>
      </c>
      <c r="E39" t="s">
        <v>50</v>
      </c>
      <c r="F39" s="4">
        <v>211.28700000000001</v>
      </c>
      <c r="G39" s="4">
        <v>513358.86099999998</v>
      </c>
      <c r="H39" s="4">
        <v>513570.212</v>
      </c>
      <c r="I39" s="5">
        <f>16511 / 86400</f>
        <v>0.19109953703703703</v>
      </c>
      <c r="J39" t="s">
        <v>78</v>
      </c>
      <c r="K39" t="s">
        <v>47</v>
      </c>
      <c r="L39" s="5">
        <f>45616 / 86400</f>
        <v>0.52796296296296297</v>
      </c>
      <c r="M39" s="5">
        <f>40783 / 86400</f>
        <v>0.47202546296296294</v>
      </c>
    </row>
    <row r="40" spans="1:13" x14ac:dyDescent="0.25">
      <c r="A40" t="s">
        <v>446</v>
      </c>
      <c r="B40" s="3">
        <v>45691</v>
      </c>
      <c r="C40" t="s">
        <v>25</v>
      </c>
      <c r="D40" s="3">
        <v>45691.99998842593</v>
      </c>
      <c r="E40" t="s">
        <v>25</v>
      </c>
      <c r="F40" s="4">
        <v>206.244</v>
      </c>
      <c r="G40" s="4">
        <v>503564.19900000002</v>
      </c>
      <c r="H40" s="4">
        <v>503770.44300000003</v>
      </c>
      <c r="I40" s="5">
        <f>34543 / 86400</f>
        <v>0.39980324074074075</v>
      </c>
      <c r="J40" t="s">
        <v>57</v>
      </c>
      <c r="K40" t="s">
        <v>79</v>
      </c>
      <c r="L40" s="5">
        <f>85970 / 86400</f>
        <v>0.99502314814814818</v>
      </c>
      <c r="M40" s="5">
        <f>429 / 86400</f>
        <v>4.9652777777777777E-3</v>
      </c>
    </row>
    <row r="41" spans="1:13" x14ac:dyDescent="0.25">
      <c r="A41" t="s">
        <v>447</v>
      </c>
      <c r="B41" s="3">
        <v>45691.263668981483</v>
      </c>
      <c r="C41" t="s">
        <v>80</v>
      </c>
      <c r="D41" s="3">
        <v>45691.914270833338</v>
      </c>
      <c r="E41" t="s">
        <v>80</v>
      </c>
      <c r="F41" s="4">
        <v>209.10900000000001</v>
      </c>
      <c r="G41" s="4">
        <v>350305.61099999998</v>
      </c>
      <c r="H41" s="4">
        <v>350514.72</v>
      </c>
      <c r="I41" s="5">
        <f>17196 / 86400</f>
        <v>0.19902777777777778</v>
      </c>
      <c r="J41" t="s">
        <v>44</v>
      </c>
      <c r="K41" t="s">
        <v>40</v>
      </c>
      <c r="L41" s="5">
        <f>47890 / 86400</f>
        <v>0.55428240740740742</v>
      </c>
      <c r="M41" s="5">
        <f>38503 / 86400</f>
        <v>0.44563657407407409</v>
      </c>
    </row>
    <row r="42" spans="1:13" x14ac:dyDescent="0.25">
      <c r="A42" t="s">
        <v>448</v>
      </c>
      <c r="B42" s="3">
        <v>45691.222453703704</v>
      </c>
      <c r="C42" t="s">
        <v>81</v>
      </c>
      <c r="D42" s="3">
        <v>45691.756863425922</v>
      </c>
      <c r="E42" t="s">
        <v>81</v>
      </c>
      <c r="F42" s="4">
        <v>199.55799999999999</v>
      </c>
      <c r="G42" s="4">
        <v>409507.34600000002</v>
      </c>
      <c r="H42" s="4">
        <v>409706.90399999998</v>
      </c>
      <c r="I42" s="5">
        <f>14656 / 86400</f>
        <v>0.16962962962962963</v>
      </c>
      <c r="J42" t="s">
        <v>57</v>
      </c>
      <c r="K42" t="s">
        <v>47</v>
      </c>
      <c r="L42" s="5">
        <f>42365 / 86400</f>
        <v>0.49033564814814817</v>
      </c>
      <c r="M42" s="5">
        <f>44034 / 86400</f>
        <v>0.50965277777777773</v>
      </c>
    </row>
    <row r="43" spans="1:13" x14ac:dyDescent="0.25">
      <c r="A43" t="s">
        <v>449</v>
      </c>
      <c r="B43" s="3">
        <v>45691.152453703704</v>
      </c>
      <c r="C43" t="s">
        <v>28</v>
      </c>
      <c r="D43" s="3">
        <v>45691.829618055555</v>
      </c>
      <c r="E43" t="s">
        <v>28</v>
      </c>
      <c r="F43" s="4">
        <v>230.036</v>
      </c>
      <c r="G43" s="4">
        <v>440093.15</v>
      </c>
      <c r="H43" s="4">
        <v>440323.18599999999</v>
      </c>
      <c r="I43" s="5">
        <f>14378 / 86400</f>
        <v>0.16641203703703702</v>
      </c>
      <c r="J43" t="s">
        <v>19</v>
      </c>
      <c r="K43" t="s">
        <v>20</v>
      </c>
      <c r="L43" s="5">
        <f>46609 / 86400</f>
        <v>0.53945601851851854</v>
      </c>
      <c r="M43" s="5">
        <f>39783 / 86400</f>
        <v>0.46045138888888887</v>
      </c>
    </row>
    <row r="44" spans="1:13" x14ac:dyDescent="0.25">
      <c r="A44" t="s">
        <v>450</v>
      </c>
      <c r="B44" s="3">
        <v>45691</v>
      </c>
      <c r="C44" t="s">
        <v>82</v>
      </c>
      <c r="D44" s="3">
        <v>45691.943692129629</v>
      </c>
      <c r="E44" t="s">
        <v>83</v>
      </c>
      <c r="F44" s="4">
        <v>221.18599999999998</v>
      </c>
      <c r="G44" s="4">
        <v>472695.97499999998</v>
      </c>
      <c r="H44" s="4">
        <v>472917.16100000002</v>
      </c>
      <c r="I44" s="5">
        <f>15111 / 86400</f>
        <v>0.17489583333333333</v>
      </c>
      <c r="J44" t="s">
        <v>48</v>
      </c>
      <c r="K44" t="s">
        <v>47</v>
      </c>
      <c r="L44" s="5">
        <f>46459 / 86400</f>
        <v>0.53771990740740738</v>
      </c>
      <c r="M44" s="5">
        <f>39934 / 86400</f>
        <v>0.46219907407407407</v>
      </c>
    </row>
    <row r="45" spans="1:13" x14ac:dyDescent="0.25">
      <c r="A45" t="s">
        <v>451</v>
      </c>
      <c r="B45" s="3">
        <v>45691.125405092593</v>
      </c>
      <c r="C45" t="s">
        <v>25</v>
      </c>
      <c r="D45" s="3">
        <v>45691.946215277778</v>
      </c>
      <c r="E45" t="s">
        <v>25</v>
      </c>
      <c r="F45" s="4">
        <v>303.29599999999999</v>
      </c>
      <c r="G45" s="4">
        <v>411572.79300000001</v>
      </c>
      <c r="H45" s="4">
        <v>411876.08899999998</v>
      </c>
      <c r="I45" s="5">
        <f>15863 / 86400</f>
        <v>0.18359953703703705</v>
      </c>
      <c r="J45" t="s">
        <v>84</v>
      </c>
      <c r="K45" t="s">
        <v>70</v>
      </c>
      <c r="L45" s="5">
        <f>52870 / 86400</f>
        <v>0.61192129629629632</v>
      </c>
      <c r="M45" s="5">
        <f>33524 / 86400</f>
        <v>0.38800925925925928</v>
      </c>
    </row>
    <row r="46" spans="1:13" x14ac:dyDescent="0.25">
      <c r="A46" t="s">
        <v>452</v>
      </c>
      <c r="B46" s="3">
        <v>45691.17695601852</v>
      </c>
      <c r="C46" t="s">
        <v>28</v>
      </c>
      <c r="D46" s="3">
        <v>45691.999120370368</v>
      </c>
      <c r="E46" t="s">
        <v>85</v>
      </c>
      <c r="F46" s="4">
        <v>248.566</v>
      </c>
      <c r="G46" s="4">
        <v>325655.04700000002</v>
      </c>
      <c r="H46" s="4">
        <v>325903.61300000001</v>
      </c>
      <c r="I46" s="5">
        <f>11778 / 86400</f>
        <v>0.13631944444444444</v>
      </c>
      <c r="J46" t="s">
        <v>72</v>
      </c>
      <c r="K46" t="s">
        <v>75</v>
      </c>
      <c r="L46" s="5">
        <f>44579 / 86400</f>
        <v>0.51596064814814813</v>
      </c>
      <c r="M46" s="5">
        <f>41814 / 86400</f>
        <v>0.48395833333333332</v>
      </c>
    </row>
    <row r="47" spans="1:13" x14ac:dyDescent="0.25">
      <c r="A47" t="s">
        <v>453</v>
      </c>
      <c r="B47" s="3">
        <v>45691.269467592589</v>
      </c>
      <c r="C47" t="s">
        <v>28</v>
      </c>
      <c r="D47" s="3">
        <v>45691.864756944444</v>
      </c>
      <c r="E47" t="s">
        <v>28</v>
      </c>
      <c r="F47" s="4">
        <v>164.77699999999999</v>
      </c>
      <c r="G47" s="4">
        <v>359075.56900000002</v>
      </c>
      <c r="H47" s="4">
        <v>359240.34600000002</v>
      </c>
      <c r="I47" s="5">
        <f>20577 / 86400</f>
        <v>0.23815972222222223</v>
      </c>
      <c r="J47" t="s">
        <v>34</v>
      </c>
      <c r="K47" t="s">
        <v>59</v>
      </c>
      <c r="L47" s="5">
        <f>45815 / 86400</f>
        <v>0.5302662037037037</v>
      </c>
      <c r="M47" s="5">
        <f>40580 / 86400</f>
        <v>0.46967592592592594</v>
      </c>
    </row>
    <row r="48" spans="1:13" x14ac:dyDescent="0.25">
      <c r="A48" t="s">
        <v>454</v>
      </c>
      <c r="B48" s="3">
        <v>45691.282465277778</v>
      </c>
      <c r="C48" t="s">
        <v>86</v>
      </c>
      <c r="D48" s="3">
        <v>45691.873564814814</v>
      </c>
      <c r="E48" t="s">
        <v>86</v>
      </c>
      <c r="F48" s="4">
        <v>169.96899999999999</v>
      </c>
      <c r="G48" s="4">
        <v>80377.788</v>
      </c>
      <c r="H48" s="4">
        <v>80547.756999999998</v>
      </c>
      <c r="I48" s="5">
        <f>13050 / 86400</f>
        <v>0.15104166666666666</v>
      </c>
      <c r="J48" t="s">
        <v>87</v>
      </c>
      <c r="K48" t="s">
        <v>47</v>
      </c>
      <c r="L48" s="5">
        <f>35661 / 86400</f>
        <v>0.41274305555555557</v>
      </c>
      <c r="M48" s="5">
        <f>50734 / 86400</f>
        <v>0.58719907407407412</v>
      </c>
    </row>
    <row r="49" spans="1:13" x14ac:dyDescent="0.25">
      <c r="A49" t="s">
        <v>455</v>
      </c>
      <c r="B49" s="3">
        <v>45691.351793981477</v>
      </c>
      <c r="C49" t="s">
        <v>28</v>
      </c>
      <c r="D49" s="3">
        <v>45691.969687500001</v>
      </c>
      <c r="E49" t="s">
        <v>28</v>
      </c>
      <c r="F49" s="4">
        <v>2.7759999999999998</v>
      </c>
      <c r="G49" s="4">
        <v>468177.04399999999</v>
      </c>
      <c r="H49" s="4">
        <v>468179.82</v>
      </c>
      <c r="I49" s="5">
        <f>816 / 86400</f>
        <v>9.4444444444444445E-3</v>
      </c>
      <c r="J49" t="s">
        <v>88</v>
      </c>
      <c r="K49" t="s">
        <v>32</v>
      </c>
      <c r="L49" s="5">
        <f>1799 / 86400</f>
        <v>2.0821759259259259E-2</v>
      </c>
      <c r="M49" s="5">
        <f>84597 / 86400</f>
        <v>0.9791319444444444</v>
      </c>
    </row>
    <row r="50" spans="1:13" x14ac:dyDescent="0.25">
      <c r="A50" t="s">
        <v>456</v>
      </c>
      <c r="B50" s="3">
        <v>45691.269039351857</v>
      </c>
      <c r="C50" t="s">
        <v>89</v>
      </c>
      <c r="D50" s="3">
        <v>45691.858668981484</v>
      </c>
      <c r="E50" t="s">
        <v>89</v>
      </c>
      <c r="F50" s="4">
        <v>176.07499999999999</v>
      </c>
      <c r="G50" s="4">
        <v>427147.576</v>
      </c>
      <c r="H50" s="4">
        <v>427323.65100000001</v>
      </c>
      <c r="I50" s="5">
        <f>11744 / 86400</f>
        <v>0.13592592592592592</v>
      </c>
      <c r="J50" t="s">
        <v>90</v>
      </c>
      <c r="K50" t="s">
        <v>47</v>
      </c>
      <c r="L50" s="5">
        <f>37400 / 86400</f>
        <v>0.43287037037037035</v>
      </c>
      <c r="M50" s="5">
        <f>48990 / 86400</f>
        <v>0.56701388888888893</v>
      </c>
    </row>
    <row r="51" spans="1:13" x14ac:dyDescent="0.25">
      <c r="A51" t="s">
        <v>457</v>
      </c>
      <c r="B51" s="3">
        <v>45691.242442129631</v>
      </c>
      <c r="C51" t="s">
        <v>28</v>
      </c>
      <c r="D51" s="3">
        <v>45691.940972222219</v>
      </c>
      <c r="E51" t="s">
        <v>28</v>
      </c>
      <c r="F51" s="4">
        <v>200.58100000000002</v>
      </c>
      <c r="G51" s="4">
        <v>573732.98899999994</v>
      </c>
      <c r="H51" s="4">
        <v>573933.56999999995</v>
      </c>
      <c r="I51" s="5">
        <f>21737 / 86400</f>
        <v>0.25158564814814816</v>
      </c>
      <c r="J51" t="s">
        <v>91</v>
      </c>
      <c r="K51" t="s">
        <v>45</v>
      </c>
      <c r="L51" s="5">
        <f>51917 / 86400</f>
        <v>0.60089120370370375</v>
      </c>
      <c r="M51" s="5">
        <f>34480 / 86400</f>
        <v>0.39907407407407408</v>
      </c>
    </row>
    <row r="52" spans="1:13" x14ac:dyDescent="0.25">
      <c r="A52" t="s">
        <v>458</v>
      </c>
      <c r="B52" s="3">
        <v>45691.243530092594</v>
      </c>
      <c r="C52" t="s">
        <v>92</v>
      </c>
      <c r="D52" s="3">
        <v>45691.825752314813</v>
      </c>
      <c r="E52" t="s">
        <v>92</v>
      </c>
      <c r="F52" s="4">
        <v>212.636</v>
      </c>
      <c r="G52" s="4">
        <v>415303.09100000001</v>
      </c>
      <c r="H52" s="4">
        <v>415515.72700000001</v>
      </c>
      <c r="I52" s="5">
        <f>15861 / 86400</f>
        <v>0.18357638888888889</v>
      </c>
      <c r="J52" t="s">
        <v>78</v>
      </c>
      <c r="K52" t="s">
        <v>40</v>
      </c>
      <c r="L52" s="5">
        <f>46661 / 86400</f>
        <v>0.54005787037037034</v>
      </c>
      <c r="M52" s="5">
        <f>39735 / 86400</f>
        <v>0.45989583333333334</v>
      </c>
    </row>
    <row r="53" spans="1:13" x14ac:dyDescent="0.25">
      <c r="A53" t="s">
        <v>459</v>
      </c>
      <c r="B53" s="3">
        <v>45691.308078703703</v>
      </c>
      <c r="C53" t="s">
        <v>93</v>
      </c>
      <c r="D53" s="3">
        <v>45691.99998842593</v>
      </c>
      <c r="E53" t="s">
        <v>94</v>
      </c>
      <c r="F53" s="4">
        <v>214.52800000000002</v>
      </c>
      <c r="G53" s="4">
        <v>399138.951</v>
      </c>
      <c r="H53" s="4">
        <v>399353.47899999999</v>
      </c>
      <c r="I53" s="5">
        <f>18537 / 86400</f>
        <v>0.21454861111111112</v>
      </c>
      <c r="J53" t="s">
        <v>29</v>
      </c>
      <c r="K53" t="s">
        <v>30</v>
      </c>
      <c r="L53" s="5">
        <f>51422 / 86400</f>
        <v>0.59516203703703707</v>
      </c>
      <c r="M53" s="5">
        <f>34974 / 86400</f>
        <v>0.40479166666666666</v>
      </c>
    </row>
    <row r="54" spans="1:13" x14ac:dyDescent="0.25">
      <c r="A54" t="s">
        <v>460</v>
      </c>
      <c r="B54" s="3">
        <v>45691.207187499997</v>
      </c>
      <c r="C54" t="s">
        <v>28</v>
      </c>
      <c r="D54" s="3">
        <v>45691.839432870373</v>
      </c>
      <c r="E54" t="s">
        <v>28</v>
      </c>
      <c r="F54" s="4">
        <v>223.149</v>
      </c>
      <c r="G54" s="4">
        <v>381299.11200000002</v>
      </c>
      <c r="H54" s="4">
        <v>381522.261</v>
      </c>
      <c r="I54" s="5">
        <f>14412 / 86400</f>
        <v>0.16680555555555557</v>
      </c>
      <c r="J54" t="s">
        <v>78</v>
      </c>
      <c r="K54" t="s">
        <v>47</v>
      </c>
      <c r="L54" s="5">
        <f>46134 / 86400</f>
        <v>0.53395833333333331</v>
      </c>
      <c r="M54" s="5">
        <f>40259 / 86400</f>
        <v>0.46596064814814814</v>
      </c>
    </row>
    <row r="55" spans="1:13" x14ac:dyDescent="0.25">
      <c r="A55" t="s">
        <v>461</v>
      </c>
      <c r="B55" s="3">
        <v>45691.27407407407</v>
      </c>
      <c r="C55" t="s">
        <v>22</v>
      </c>
      <c r="D55" s="3">
        <v>45691.84239583333</v>
      </c>
      <c r="E55" t="s">
        <v>22</v>
      </c>
      <c r="F55" s="4">
        <v>198.48699999999999</v>
      </c>
      <c r="G55" s="4">
        <v>544248.12600000005</v>
      </c>
      <c r="H55" s="4">
        <v>544446.61300000001</v>
      </c>
      <c r="I55" s="5">
        <f>13373 / 86400</f>
        <v>0.15478009259259259</v>
      </c>
      <c r="J55" t="s">
        <v>95</v>
      </c>
      <c r="K55" t="s">
        <v>47</v>
      </c>
      <c r="L55" s="5">
        <f>42716 / 86400</f>
        <v>0.49439814814814814</v>
      </c>
      <c r="M55" s="5">
        <f>43678 / 86400</f>
        <v>0.50553240740740746</v>
      </c>
    </row>
    <row r="56" spans="1:13" x14ac:dyDescent="0.25">
      <c r="A56" t="s">
        <v>462</v>
      </c>
      <c r="B56" s="3">
        <v>45691</v>
      </c>
      <c r="C56" t="s">
        <v>96</v>
      </c>
      <c r="D56" s="3">
        <v>45691.87018518518</v>
      </c>
      <c r="E56" t="s">
        <v>89</v>
      </c>
      <c r="F56" s="4">
        <v>102.80999999999999</v>
      </c>
      <c r="G56" s="4">
        <v>101061.804</v>
      </c>
      <c r="H56" s="4">
        <v>101164.614</v>
      </c>
      <c r="I56" s="5">
        <f>5297 / 86400</f>
        <v>6.1307870370370374E-2</v>
      </c>
      <c r="J56" t="s">
        <v>97</v>
      </c>
      <c r="K56" t="s">
        <v>70</v>
      </c>
      <c r="L56" s="5">
        <f>17227 / 86400</f>
        <v>0.19938657407407406</v>
      </c>
      <c r="M56" s="5">
        <f>69172 / 86400</f>
        <v>0.80060185185185184</v>
      </c>
    </row>
    <row r="57" spans="1:13" x14ac:dyDescent="0.25">
      <c r="A57" t="s">
        <v>463</v>
      </c>
      <c r="B57" s="3">
        <v>45691.233854166669</v>
      </c>
      <c r="C57" t="s">
        <v>28</v>
      </c>
      <c r="D57" s="3">
        <v>45691.87704861111</v>
      </c>
      <c r="E57" t="s">
        <v>26</v>
      </c>
      <c r="F57" s="4">
        <v>203.15899999999999</v>
      </c>
      <c r="G57" s="4">
        <v>52527.366999999998</v>
      </c>
      <c r="H57" s="4">
        <v>52730.525999999998</v>
      </c>
      <c r="I57" s="5">
        <f>16691 / 86400</f>
        <v>0.19318287037037038</v>
      </c>
      <c r="J57" t="s">
        <v>23</v>
      </c>
      <c r="K57" t="s">
        <v>40</v>
      </c>
      <c r="L57" s="5">
        <f>44825 / 86400</f>
        <v>0.51880787037037035</v>
      </c>
      <c r="M57" s="5">
        <f>41574 / 86400</f>
        <v>0.48118055555555556</v>
      </c>
    </row>
    <row r="58" spans="1:13" x14ac:dyDescent="0.25">
      <c r="A58" t="s">
        <v>464</v>
      </c>
      <c r="B58" s="3">
        <v>45691.20579861111</v>
      </c>
      <c r="C58" t="s">
        <v>98</v>
      </c>
      <c r="D58" s="3">
        <v>45691.748784722222</v>
      </c>
      <c r="E58" t="s">
        <v>98</v>
      </c>
      <c r="F58" s="4">
        <v>200.04000000000002</v>
      </c>
      <c r="G58" s="4">
        <v>44710.675000000003</v>
      </c>
      <c r="H58" s="4">
        <v>44910.714999999997</v>
      </c>
      <c r="I58" s="5">
        <f>12669 / 86400</f>
        <v>0.14663194444444444</v>
      </c>
      <c r="J58" t="s">
        <v>27</v>
      </c>
      <c r="K58" t="s">
        <v>35</v>
      </c>
      <c r="L58" s="5">
        <f>38875 / 86400</f>
        <v>0.44994212962962965</v>
      </c>
      <c r="M58" s="5">
        <f>47524 / 86400</f>
        <v>0.55004629629629631</v>
      </c>
    </row>
    <row r="59" spans="1:13" x14ac:dyDescent="0.25">
      <c r="A59" t="s">
        <v>465</v>
      </c>
      <c r="B59" s="3">
        <v>45691.392870370371</v>
      </c>
      <c r="C59" t="s">
        <v>99</v>
      </c>
      <c r="D59" s="3">
        <v>45691.901724537034</v>
      </c>
      <c r="E59" t="s">
        <v>99</v>
      </c>
      <c r="F59" s="4">
        <v>199.036</v>
      </c>
      <c r="G59" s="4">
        <v>76740.941000000006</v>
      </c>
      <c r="H59" s="4">
        <v>76939.976999999999</v>
      </c>
      <c r="I59" s="5">
        <f>12932 / 86400</f>
        <v>0.14967592592592593</v>
      </c>
      <c r="J59" t="s">
        <v>95</v>
      </c>
      <c r="K59" t="s">
        <v>20</v>
      </c>
      <c r="L59" s="5">
        <f>39940 / 86400</f>
        <v>0.46226851851851852</v>
      </c>
      <c r="M59" s="5">
        <f>46459 / 86400</f>
        <v>0.53771990740740738</v>
      </c>
    </row>
    <row r="60" spans="1:13" x14ac:dyDescent="0.25">
      <c r="A60" t="s">
        <v>466</v>
      </c>
      <c r="B60" s="3">
        <v>45691.017650462964</v>
      </c>
      <c r="C60" t="s">
        <v>100</v>
      </c>
      <c r="D60" s="3">
        <v>45691.990601851852</v>
      </c>
      <c r="E60" t="s">
        <v>38</v>
      </c>
      <c r="F60" s="4">
        <v>324.84299999999996</v>
      </c>
      <c r="G60" s="4">
        <v>37657.982000000004</v>
      </c>
      <c r="H60" s="4">
        <v>37982.824999999997</v>
      </c>
      <c r="I60" s="5">
        <f>20459 / 86400</f>
        <v>0.23679398148148148</v>
      </c>
      <c r="J60" t="s">
        <v>48</v>
      </c>
      <c r="K60" t="s">
        <v>35</v>
      </c>
      <c r="L60" s="5">
        <f>61838 / 86400</f>
        <v>0.7157175925925926</v>
      </c>
      <c r="M60" s="5">
        <f>24561 / 86400</f>
        <v>0.28427083333333331</v>
      </c>
    </row>
    <row r="61" spans="1:13" x14ac:dyDescent="0.25">
      <c r="A61" t="s">
        <v>467</v>
      </c>
      <c r="B61" s="3">
        <v>45691.265949074077</v>
      </c>
      <c r="C61" t="s">
        <v>101</v>
      </c>
      <c r="D61" s="3">
        <v>45691.889351851853</v>
      </c>
      <c r="E61" t="s">
        <v>101</v>
      </c>
      <c r="F61" s="4">
        <v>201.43600000000001</v>
      </c>
      <c r="G61" s="4">
        <v>190462.84299999999</v>
      </c>
      <c r="H61" s="4">
        <v>190664.27900000001</v>
      </c>
      <c r="I61" s="5">
        <f>12137 / 86400</f>
        <v>0.14047453703703705</v>
      </c>
      <c r="J61" t="s">
        <v>23</v>
      </c>
      <c r="K61" t="s">
        <v>47</v>
      </c>
      <c r="L61" s="5">
        <f>42938 / 86400</f>
        <v>0.4969675925925926</v>
      </c>
      <c r="M61" s="5">
        <f>43455 / 86400</f>
        <v>0.50295138888888891</v>
      </c>
    </row>
    <row r="62" spans="1:13" x14ac:dyDescent="0.25">
      <c r="A62" t="s">
        <v>468</v>
      </c>
      <c r="B62" s="3">
        <v>45691.203993055555</v>
      </c>
      <c r="C62" t="s">
        <v>86</v>
      </c>
      <c r="D62" s="3">
        <v>45691.759293981479</v>
      </c>
      <c r="E62" t="s">
        <v>86</v>
      </c>
      <c r="F62" s="4">
        <v>204.36</v>
      </c>
      <c r="G62" s="4">
        <v>520519.10499999998</v>
      </c>
      <c r="H62" s="4">
        <v>520723.46500000003</v>
      </c>
      <c r="I62" s="5">
        <f>15295 / 86400</f>
        <v>0.17702546296296295</v>
      </c>
      <c r="J62" t="s">
        <v>102</v>
      </c>
      <c r="K62" t="s">
        <v>47</v>
      </c>
      <c r="L62" s="5">
        <f>43368 / 86400</f>
        <v>0.50194444444444442</v>
      </c>
      <c r="M62" s="5">
        <f>43028 / 86400</f>
        <v>0.49800925925925926</v>
      </c>
    </row>
    <row r="63" spans="1:13" x14ac:dyDescent="0.25">
      <c r="A63" t="s">
        <v>469</v>
      </c>
      <c r="B63" s="3">
        <v>45691.257962962962</v>
      </c>
      <c r="C63" t="s">
        <v>89</v>
      </c>
      <c r="D63" s="3">
        <v>45691.872361111113</v>
      </c>
      <c r="E63" t="s">
        <v>89</v>
      </c>
      <c r="F63" s="4">
        <v>200.369</v>
      </c>
      <c r="G63" s="4">
        <v>21140.667000000001</v>
      </c>
      <c r="H63" s="4">
        <v>21341.036</v>
      </c>
      <c r="I63" s="5">
        <f>14778 / 86400</f>
        <v>0.17104166666666668</v>
      </c>
      <c r="J63" t="s">
        <v>57</v>
      </c>
      <c r="K63" t="s">
        <v>30</v>
      </c>
      <c r="L63" s="5">
        <f>47685 / 86400</f>
        <v>0.55190972222222223</v>
      </c>
      <c r="M63" s="5">
        <f>38710 / 86400</f>
        <v>0.44803240740740741</v>
      </c>
    </row>
    <row r="64" spans="1:13" x14ac:dyDescent="0.25">
      <c r="A64" t="s">
        <v>470</v>
      </c>
      <c r="B64" s="3">
        <v>45691.223900462966</v>
      </c>
      <c r="C64" t="s">
        <v>38</v>
      </c>
      <c r="D64" s="3">
        <v>45691.827256944445</v>
      </c>
      <c r="E64" t="s">
        <v>38</v>
      </c>
      <c r="F64" s="4">
        <v>187.44</v>
      </c>
      <c r="G64" s="4">
        <v>62625.373</v>
      </c>
      <c r="H64" s="4">
        <v>62812.813000000002</v>
      </c>
      <c r="I64" s="5">
        <f>12932 / 86400</f>
        <v>0.14967592592592593</v>
      </c>
      <c r="J64" t="s">
        <v>97</v>
      </c>
      <c r="K64" t="s">
        <v>47</v>
      </c>
      <c r="L64" s="5">
        <f>38737 / 86400</f>
        <v>0.4483449074074074</v>
      </c>
      <c r="M64" s="5">
        <f>47660 / 86400</f>
        <v>0.55162037037037037</v>
      </c>
    </row>
    <row r="65" spans="1:13" x14ac:dyDescent="0.25">
      <c r="A65" t="s">
        <v>471</v>
      </c>
      <c r="B65" s="3">
        <v>45691.270995370374</v>
      </c>
      <c r="C65" t="s">
        <v>103</v>
      </c>
      <c r="D65" s="3">
        <v>45691.78528935185</v>
      </c>
      <c r="E65" t="s">
        <v>103</v>
      </c>
      <c r="F65" s="4">
        <v>174.268</v>
      </c>
      <c r="G65" s="4">
        <v>3885.5329999999999</v>
      </c>
      <c r="H65" s="4">
        <v>4059.8009999999999</v>
      </c>
      <c r="I65" s="5">
        <f>10434 / 86400</f>
        <v>0.12076388888888889</v>
      </c>
      <c r="J65" t="s">
        <v>56</v>
      </c>
      <c r="K65" t="s">
        <v>20</v>
      </c>
      <c r="L65" s="5">
        <f>35336 / 86400</f>
        <v>0.4089814814814815</v>
      </c>
      <c r="M65" s="5">
        <f>51059 / 86400</f>
        <v>0.59096064814814819</v>
      </c>
    </row>
    <row r="66" spans="1:13" x14ac:dyDescent="0.25">
      <c r="A66" t="s">
        <v>472</v>
      </c>
      <c r="B66" s="3">
        <v>45691</v>
      </c>
      <c r="C66" t="s">
        <v>104</v>
      </c>
      <c r="D66" s="3">
        <v>45691.99998842593</v>
      </c>
      <c r="E66" t="s">
        <v>49</v>
      </c>
      <c r="F66" s="4">
        <v>312.53200000000004</v>
      </c>
      <c r="G66" s="4">
        <v>406066.61300000001</v>
      </c>
      <c r="H66" s="4">
        <v>406379.14500000002</v>
      </c>
      <c r="I66" s="5">
        <f>15286 / 86400</f>
        <v>0.1769212962962963</v>
      </c>
      <c r="J66" t="s">
        <v>105</v>
      </c>
      <c r="K66" t="s">
        <v>70</v>
      </c>
      <c r="L66" s="5">
        <f>54125 / 86400</f>
        <v>0.6264467592592593</v>
      </c>
      <c r="M66" s="5">
        <f>32265 / 86400</f>
        <v>0.37343749999999998</v>
      </c>
    </row>
    <row r="67" spans="1:13" x14ac:dyDescent="0.25">
      <c r="A67" t="s">
        <v>473</v>
      </c>
      <c r="B67" s="3">
        <v>45691</v>
      </c>
      <c r="C67" t="s">
        <v>106</v>
      </c>
      <c r="D67" s="3">
        <v>45691.99998842593</v>
      </c>
      <c r="E67" t="s">
        <v>107</v>
      </c>
      <c r="F67" s="4">
        <v>277.62799999999999</v>
      </c>
      <c r="G67" s="4">
        <v>547225.68700000003</v>
      </c>
      <c r="H67" s="4">
        <v>547503.31499999994</v>
      </c>
      <c r="I67" s="5">
        <f>19038 / 86400</f>
        <v>0.22034722222222222</v>
      </c>
      <c r="J67" t="s">
        <v>37</v>
      </c>
      <c r="K67" t="s">
        <v>20</v>
      </c>
      <c r="L67" s="5">
        <f>56127 / 86400</f>
        <v>0.64961805555555552</v>
      </c>
      <c r="M67" s="5">
        <f>30271 / 86400</f>
        <v>0.35035879629629629</v>
      </c>
    </row>
    <row r="68" spans="1:13" x14ac:dyDescent="0.25">
      <c r="A68" t="s">
        <v>474</v>
      </c>
      <c r="B68" s="3">
        <v>45691</v>
      </c>
      <c r="C68" t="s">
        <v>108</v>
      </c>
      <c r="D68" s="3">
        <v>45691.974976851852</v>
      </c>
      <c r="E68" t="s">
        <v>109</v>
      </c>
      <c r="F68" s="4">
        <v>1364.99</v>
      </c>
      <c r="G68" s="4">
        <v>44200.345000000001</v>
      </c>
      <c r="H68" s="4">
        <v>45565.334999999999</v>
      </c>
      <c r="I68" s="5">
        <f>15834 / 86400</f>
        <v>0.18326388888888889</v>
      </c>
      <c r="J68" t="s">
        <v>110</v>
      </c>
      <c r="K68" t="s">
        <v>111</v>
      </c>
      <c r="L68" s="5">
        <f>52285 / 86400</f>
        <v>0.60515046296296293</v>
      </c>
      <c r="M68" s="5">
        <f>34103 / 86400</f>
        <v>0.39471064814814816</v>
      </c>
    </row>
    <row r="69" spans="1:13" x14ac:dyDescent="0.25">
      <c r="A69" t="s">
        <v>475</v>
      </c>
      <c r="B69" s="3">
        <v>45691</v>
      </c>
      <c r="C69" t="s">
        <v>112</v>
      </c>
      <c r="D69" s="3">
        <v>45691.999120370368</v>
      </c>
      <c r="E69" t="s">
        <v>113</v>
      </c>
      <c r="F69" s="4">
        <v>359.40600000000001</v>
      </c>
      <c r="G69" s="4">
        <v>56411.88</v>
      </c>
      <c r="H69" s="4">
        <v>56771.286</v>
      </c>
      <c r="I69" s="5">
        <f>16302 / 86400</f>
        <v>0.18868055555555555</v>
      </c>
      <c r="J69" t="s">
        <v>111</v>
      </c>
      <c r="K69" t="s">
        <v>70</v>
      </c>
      <c r="L69" s="5">
        <f>62397 / 86400</f>
        <v>0.72218749999999998</v>
      </c>
      <c r="M69" s="5">
        <f>23995 / 86400</f>
        <v>0.27771990740740743</v>
      </c>
    </row>
    <row r="70" spans="1:13" x14ac:dyDescent="0.25">
      <c r="A70" t="s">
        <v>476</v>
      </c>
      <c r="B70" s="3">
        <v>45691.154594907406</v>
      </c>
      <c r="C70" t="s">
        <v>46</v>
      </c>
      <c r="D70" s="3">
        <v>45691.99998842593</v>
      </c>
      <c r="E70" t="s">
        <v>114</v>
      </c>
      <c r="F70" s="4">
        <v>350.85500000000002</v>
      </c>
      <c r="G70" s="4">
        <v>59561.167999999998</v>
      </c>
      <c r="H70" s="4">
        <v>59912.023000000001</v>
      </c>
      <c r="I70" s="5">
        <f>21935 / 86400</f>
        <v>0.25387731481481479</v>
      </c>
      <c r="J70" t="s">
        <v>115</v>
      </c>
      <c r="K70" t="s">
        <v>75</v>
      </c>
      <c r="L70" s="5">
        <f>64045 / 86400</f>
        <v>0.74126157407407411</v>
      </c>
      <c r="M70" s="5">
        <f>22349 / 86400</f>
        <v>0.25866898148148149</v>
      </c>
    </row>
    <row r="71" spans="1:13" x14ac:dyDescent="0.25">
      <c r="A71" s="6" t="s">
        <v>116</v>
      </c>
      <c r="B71" s="6" t="s">
        <v>117</v>
      </c>
      <c r="C71" s="6" t="s">
        <v>117</v>
      </c>
      <c r="D71" s="6" t="s">
        <v>117</v>
      </c>
      <c r="E71" s="6" t="s">
        <v>117</v>
      </c>
      <c r="F71" s="7">
        <v>13959.378362196803</v>
      </c>
      <c r="G71" s="6" t="s">
        <v>117</v>
      </c>
      <c r="H71" s="6" t="s">
        <v>117</v>
      </c>
      <c r="I71" s="8">
        <f>904588 / 86400</f>
        <v>10.469768518518519</v>
      </c>
      <c r="J71" s="6" t="s">
        <v>117</v>
      </c>
      <c r="K71" s="6" t="s">
        <v>117</v>
      </c>
      <c r="L71" s="8">
        <f>2717825 / 86400</f>
        <v>31.45630787037037</v>
      </c>
      <c r="M71" s="8">
        <f>2725059 / 86400</f>
        <v>31.540034722222224</v>
      </c>
    </row>
    <row r="72" spans="1:13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</row>
    <row r="73" spans="1:13" s="9" customFormat="1" x14ac:dyDescent="0.25">
      <c r="A73" s="15" t="s">
        <v>118</v>
      </c>
      <c r="B73" s="15"/>
      <c r="C73" s="15"/>
      <c r="D73" s="15"/>
      <c r="E73" s="15"/>
      <c r="F73" s="15"/>
      <c r="G73" s="15"/>
      <c r="H73" s="15"/>
      <c r="I73" s="15"/>
      <c r="J73" s="15"/>
    </row>
    <row r="74" spans="1:13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</row>
    <row r="75" spans="1:13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</row>
    <row r="76" spans="1:13" s="10" customFormat="1" ht="20.100000000000001" customHeight="1" x14ac:dyDescent="0.35">
      <c r="A76" s="12" t="s">
        <v>414</v>
      </c>
      <c r="B76" s="12"/>
      <c r="C76" s="12"/>
      <c r="D76" s="12"/>
      <c r="E76" s="12"/>
      <c r="F76" s="12"/>
      <c r="G76" s="12"/>
      <c r="H76" s="12"/>
      <c r="I76" s="12"/>
      <c r="J76" s="12"/>
    </row>
    <row r="77" spans="1:13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</row>
    <row r="78" spans="1:13" ht="30" x14ac:dyDescent="0.25">
      <c r="A78" s="2" t="s">
        <v>6</v>
      </c>
      <c r="B78" s="2" t="s">
        <v>7</v>
      </c>
      <c r="C78" s="2" t="s">
        <v>8</v>
      </c>
      <c r="D78" s="2" t="s">
        <v>9</v>
      </c>
      <c r="E78" s="2" t="s">
        <v>10</v>
      </c>
      <c r="F78" s="2" t="s">
        <v>11</v>
      </c>
      <c r="G78" s="2" t="s">
        <v>12</v>
      </c>
      <c r="H78" s="2" t="s">
        <v>13</v>
      </c>
      <c r="I78" s="2" t="s">
        <v>14</v>
      </c>
      <c r="J78" s="2" t="s">
        <v>15</v>
      </c>
      <c r="K78" s="2" t="s">
        <v>16</v>
      </c>
      <c r="L78" s="2" t="s">
        <v>17</v>
      </c>
    </row>
    <row r="79" spans="1:13" x14ac:dyDescent="0.25">
      <c r="A79" s="3">
        <v>45691.260972222226</v>
      </c>
      <c r="B79" t="s">
        <v>18</v>
      </c>
      <c r="C79" s="3">
        <v>45691.321388888886</v>
      </c>
      <c r="D79" t="s">
        <v>119</v>
      </c>
      <c r="E79" s="4">
        <v>35.61</v>
      </c>
      <c r="F79" s="4">
        <v>512243.86599999998</v>
      </c>
      <c r="G79" s="4">
        <v>512279.47600000002</v>
      </c>
      <c r="H79" s="5">
        <f>999 / 86400</f>
        <v>1.15625E-2</v>
      </c>
      <c r="I79" t="s">
        <v>19</v>
      </c>
      <c r="J79" t="s">
        <v>120</v>
      </c>
      <c r="K79" s="5">
        <f>5220 / 86400</f>
        <v>6.0416666666666667E-2</v>
      </c>
      <c r="L79" s="5">
        <f>23971 / 86400</f>
        <v>0.27744212962962961</v>
      </c>
    </row>
    <row r="80" spans="1:13" x14ac:dyDescent="0.25">
      <c r="A80" s="3">
        <v>45691.337858796294</v>
      </c>
      <c r="B80" t="s">
        <v>119</v>
      </c>
      <c r="C80" s="3">
        <v>45691.33975694445</v>
      </c>
      <c r="D80" t="s">
        <v>119</v>
      </c>
      <c r="E80" s="4">
        <v>0</v>
      </c>
      <c r="F80" s="4">
        <v>512279.47600000002</v>
      </c>
      <c r="G80" s="4">
        <v>512279.47600000002</v>
      </c>
      <c r="H80" s="5">
        <f>159 / 86400</f>
        <v>1.8402777777777777E-3</v>
      </c>
      <c r="I80" t="s">
        <v>33</v>
      </c>
      <c r="J80" t="s">
        <v>33</v>
      </c>
      <c r="K80" s="5">
        <f>164 / 86400</f>
        <v>1.8981481481481482E-3</v>
      </c>
      <c r="L80" s="5">
        <f>38 / 86400</f>
        <v>4.3981481481481481E-4</v>
      </c>
    </row>
    <row r="81" spans="1:12" x14ac:dyDescent="0.25">
      <c r="A81" s="3">
        <v>45691.340196759258</v>
      </c>
      <c r="B81" t="s">
        <v>119</v>
      </c>
      <c r="C81" s="3">
        <v>45691.340312500004</v>
      </c>
      <c r="D81" t="s">
        <v>119</v>
      </c>
      <c r="E81" s="4">
        <v>0</v>
      </c>
      <c r="F81" s="4">
        <v>512279.47600000002</v>
      </c>
      <c r="G81" s="4">
        <v>512279.47600000002</v>
      </c>
      <c r="H81" s="5">
        <f>0 / 86400</f>
        <v>0</v>
      </c>
      <c r="I81" t="s">
        <v>33</v>
      </c>
      <c r="J81" t="s">
        <v>33</v>
      </c>
      <c r="K81" s="5">
        <f>9 / 86400</f>
        <v>1.0416666666666667E-4</v>
      </c>
      <c r="L81" s="5">
        <f>281 / 86400</f>
        <v>3.2523148148148147E-3</v>
      </c>
    </row>
    <row r="82" spans="1:12" x14ac:dyDescent="0.25">
      <c r="A82" s="3">
        <v>45691.343564814815</v>
      </c>
      <c r="B82" t="s">
        <v>119</v>
      </c>
      <c r="C82" s="3">
        <v>45691.344699074078</v>
      </c>
      <c r="D82" t="s">
        <v>119</v>
      </c>
      <c r="E82" s="4">
        <v>0</v>
      </c>
      <c r="F82" s="4">
        <v>512279.47600000002</v>
      </c>
      <c r="G82" s="4">
        <v>512279.47600000002</v>
      </c>
      <c r="H82" s="5">
        <f>79 / 86400</f>
        <v>9.1435185185185185E-4</v>
      </c>
      <c r="I82" t="s">
        <v>33</v>
      </c>
      <c r="J82" t="s">
        <v>33</v>
      </c>
      <c r="K82" s="5">
        <f>98 / 86400</f>
        <v>1.1342592592592593E-3</v>
      </c>
      <c r="L82" s="5">
        <f>556 / 86400</f>
        <v>6.4351851851851853E-3</v>
      </c>
    </row>
    <row r="83" spans="1:12" x14ac:dyDescent="0.25">
      <c r="A83" s="3">
        <v>45691.351134259261</v>
      </c>
      <c r="B83" t="s">
        <v>119</v>
      </c>
      <c r="C83" s="3">
        <v>45691.352268518516</v>
      </c>
      <c r="D83" t="s">
        <v>119</v>
      </c>
      <c r="E83" s="4">
        <v>0</v>
      </c>
      <c r="F83" s="4">
        <v>512279.47600000002</v>
      </c>
      <c r="G83" s="4">
        <v>512279.47600000002</v>
      </c>
      <c r="H83" s="5">
        <f>79 / 86400</f>
        <v>9.1435185185185185E-4</v>
      </c>
      <c r="I83" t="s">
        <v>33</v>
      </c>
      <c r="J83" t="s">
        <v>33</v>
      </c>
      <c r="K83" s="5">
        <f>97 / 86400</f>
        <v>1.1226851851851851E-3</v>
      </c>
      <c r="L83" s="5">
        <f>521 / 86400</f>
        <v>6.030092592592593E-3</v>
      </c>
    </row>
    <row r="84" spans="1:12" x14ac:dyDescent="0.25">
      <c r="A84" s="3">
        <v>45691.358298611114</v>
      </c>
      <c r="B84" t="s">
        <v>119</v>
      </c>
      <c r="C84" s="3">
        <v>45691.472696759258</v>
      </c>
      <c r="D84" t="s">
        <v>121</v>
      </c>
      <c r="E84" s="4">
        <v>49.192</v>
      </c>
      <c r="F84" s="4">
        <v>512279.47600000002</v>
      </c>
      <c r="G84" s="4">
        <v>512328.66800000001</v>
      </c>
      <c r="H84" s="5">
        <f>3618 / 86400</f>
        <v>4.1875000000000002E-2</v>
      </c>
      <c r="I84" t="s">
        <v>19</v>
      </c>
      <c r="J84" t="s">
        <v>20</v>
      </c>
      <c r="K84" s="5">
        <f>9884 / 86400</f>
        <v>0.11439814814814815</v>
      </c>
      <c r="L84" s="5">
        <f>2187 / 86400</f>
        <v>2.5312500000000002E-2</v>
      </c>
    </row>
    <row r="85" spans="1:12" x14ac:dyDescent="0.25">
      <c r="A85" s="3">
        <v>45691.49800925926</v>
      </c>
      <c r="B85" t="s">
        <v>121</v>
      </c>
      <c r="C85" s="3">
        <v>45691.56</v>
      </c>
      <c r="D85" t="s">
        <v>122</v>
      </c>
      <c r="E85" s="4">
        <v>19.515999999999998</v>
      </c>
      <c r="F85" s="4">
        <v>512328.66800000001</v>
      </c>
      <c r="G85" s="4">
        <v>512348.18400000001</v>
      </c>
      <c r="H85" s="5">
        <f>1900 / 86400</f>
        <v>2.1990740740740741E-2</v>
      </c>
      <c r="I85" t="s">
        <v>123</v>
      </c>
      <c r="J85" t="s">
        <v>59</v>
      </c>
      <c r="K85" s="5">
        <f>5355 / 86400</f>
        <v>6.1979166666666669E-2</v>
      </c>
      <c r="L85" s="5">
        <f>2352 / 86400</f>
        <v>2.7222222222222221E-2</v>
      </c>
    </row>
    <row r="86" spans="1:12" x14ac:dyDescent="0.25">
      <c r="A86" s="3">
        <v>45691.587222222224</v>
      </c>
      <c r="B86" t="s">
        <v>124</v>
      </c>
      <c r="C86" s="3">
        <v>45691.594907407409</v>
      </c>
      <c r="D86" t="s">
        <v>125</v>
      </c>
      <c r="E86" s="4">
        <v>2.798</v>
      </c>
      <c r="F86" s="4">
        <v>512348.18400000001</v>
      </c>
      <c r="G86" s="4">
        <v>512350.98200000002</v>
      </c>
      <c r="H86" s="5">
        <f>79 / 86400</f>
        <v>9.1435185185185185E-4</v>
      </c>
      <c r="I86" t="s">
        <v>126</v>
      </c>
      <c r="J86" t="s">
        <v>30</v>
      </c>
      <c r="K86" s="5">
        <f>663 / 86400</f>
        <v>7.6736111111111111E-3</v>
      </c>
      <c r="L86" s="5">
        <f>6717 / 86400</f>
        <v>7.7743055555555551E-2</v>
      </c>
    </row>
    <row r="87" spans="1:12" x14ac:dyDescent="0.25">
      <c r="A87" s="3">
        <v>45691.672650462962</v>
      </c>
      <c r="B87" t="s">
        <v>125</v>
      </c>
      <c r="C87" s="3">
        <v>45691.746759259258</v>
      </c>
      <c r="D87" t="s">
        <v>127</v>
      </c>
      <c r="E87" s="4">
        <v>34.389000000000003</v>
      </c>
      <c r="F87" s="4">
        <v>512350.98200000002</v>
      </c>
      <c r="G87" s="4">
        <v>512385.37099999998</v>
      </c>
      <c r="H87" s="5">
        <f>1758 / 86400</f>
        <v>2.0347222222222221E-2</v>
      </c>
      <c r="I87" t="s">
        <v>95</v>
      </c>
      <c r="J87" t="s">
        <v>35</v>
      </c>
      <c r="K87" s="5">
        <f>6403 / 86400</f>
        <v>7.4108796296296298E-2</v>
      </c>
      <c r="L87" s="5">
        <f>261 / 86400</f>
        <v>3.0208333333333333E-3</v>
      </c>
    </row>
    <row r="88" spans="1:12" x14ac:dyDescent="0.25">
      <c r="A88" s="3">
        <v>45691.749780092592</v>
      </c>
      <c r="B88" t="s">
        <v>127</v>
      </c>
      <c r="C88" s="3">
        <v>45691.750243055554</v>
      </c>
      <c r="D88" t="s">
        <v>127</v>
      </c>
      <c r="E88" s="4">
        <v>2.8000000000000001E-2</v>
      </c>
      <c r="F88" s="4">
        <v>512385.37099999998</v>
      </c>
      <c r="G88" s="4">
        <v>512385.39899999998</v>
      </c>
      <c r="H88" s="5">
        <f>0 / 86400</f>
        <v>0</v>
      </c>
      <c r="I88" t="s">
        <v>32</v>
      </c>
      <c r="J88" t="s">
        <v>128</v>
      </c>
      <c r="K88" s="5">
        <f>39 / 86400</f>
        <v>4.5138888888888887E-4</v>
      </c>
      <c r="L88" s="5">
        <f>351 / 86400</f>
        <v>4.0625000000000001E-3</v>
      </c>
    </row>
    <row r="89" spans="1:12" x14ac:dyDescent="0.25">
      <c r="A89" s="3">
        <v>45691.754305555558</v>
      </c>
      <c r="B89" t="s">
        <v>127</v>
      </c>
      <c r="C89" s="3">
        <v>45691.914606481485</v>
      </c>
      <c r="D89" t="s">
        <v>122</v>
      </c>
      <c r="E89" s="4">
        <v>71</v>
      </c>
      <c r="F89" s="4">
        <v>512385.39899999998</v>
      </c>
      <c r="G89" s="4">
        <v>512456.39899999998</v>
      </c>
      <c r="H89" s="5">
        <f>3899 / 86400</f>
        <v>4.5127314814814815E-2</v>
      </c>
      <c r="I89" t="s">
        <v>129</v>
      </c>
      <c r="J89" t="s">
        <v>20</v>
      </c>
      <c r="K89" s="5">
        <f>13850 / 86400</f>
        <v>0.16030092592592593</v>
      </c>
      <c r="L89" s="5">
        <f>235 / 86400</f>
        <v>2.7199074074074074E-3</v>
      </c>
    </row>
    <row r="90" spans="1:12" x14ac:dyDescent="0.25">
      <c r="A90" s="3">
        <v>45691.917326388888</v>
      </c>
      <c r="B90" t="s">
        <v>122</v>
      </c>
      <c r="C90" s="3">
        <v>45691.917905092589</v>
      </c>
      <c r="D90" t="s">
        <v>107</v>
      </c>
      <c r="E90" s="4">
        <v>6.0000000000000001E-3</v>
      </c>
      <c r="F90" s="4">
        <v>512456.39899999998</v>
      </c>
      <c r="G90" s="4">
        <v>512456.40500000003</v>
      </c>
      <c r="H90" s="5">
        <f>39 / 86400</f>
        <v>4.5138888888888887E-4</v>
      </c>
      <c r="I90" t="s">
        <v>33</v>
      </c>
      <c r="J90" t="s">
        <v>33</v>
      </c>
      <c r="K90" s="5">
        <f>49 / 86400</f>
        <v>5.6712962962962967E-4</v>
      </c>
      <c r="L90" s="5">
        <f>507 / 86400</f>
        <v>5.8680555555555552E-3</v>
      </c>
    </row>
    <row r="91" spans="1:12" x14ac:dyDescent="0.25">
      <c r="A91" s="3">
        <v>45691.923773148148</v>
      </c>
      <c r="B91" t="s">
        <v>122</v>
      </c>
      <c r="C91" s="3">
        <v>45691.926736111112</v>
      </c>
      <c r="D91" t="s">
        <v>18</v>
      </c>
      <c r="E91" s="4">
        <v>0.50700000000000001</v>
      </c>
      <c r="F91" s="4">
        <v>512456.40500000003</v>
      </c>
      <c r="G91" s="4">
        <v>512456.91200000001</v>
      </c>
      <c r="H91" s="5">
        <f>79 / 86400</f>
        <v>9.1435185185185185E-4</v>
      </c>
      <c r="I91" t="s">
        <v>35</v>
      </c>
      <c r="J91" t="s">
        <v>76</v>
      </c>
      <c r="K91" s="5">
        <f>256 / 86400</f>
        <v>2.9629629629629628E-3</v>
      </c>
      <c r="L91" s="5">
        <f>34 / 86400</f>
        <v>3.9351851851851852E-4</v>
      </c>
    </row>
    <row r="92" spans="1:12" x14ac:dyDescent="0.25">
      <c r="A92" s="3">
        <v>45691.927129629628</v>
      </c>
      <c r="B92" t="s">
        <v>18</v>
      </c>
      <c r="C92" s="3">
        <v>45691.927476851852</v>
      </c>
      <c r="D92" t="s">
        <v>18</v>
      </c>
      <c r="E92" s="4">
        <v>6.0000000000000001E-3</v>
      </c>
      <c r="F92" s="4">
        <v>512456.91200000001</v>
      </c>
      <c r="G92" s="4">
        <v>512456.91800000001</v>
      </c>
      <c r="H92" s="5">
        <f>19 / 86400</f>
        <v>2.199074074074074E-4</v>
      </c>
      <c r="I92" t="s">
        <v>33</v>
      </c>
      <c r="J92" t="s">
        <v>62</v>
      </c>
      <c r="K92" s="5">
        <f>30 / 86400</f>
        <v>3.4722222222222224E-4</v>
      </c>
      <c r="L92" s="5">
        <f>6265 / 86400</f>
        <v>7.2511574074074076E-2</v>
      </c>
    </row>
    <row r="93" spans="1:12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</row>
    <row r="94" spans="1:12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</row>
    <row r="95" spans="1:12" s="10" customFormat="1" ht="20.100000000000001" customHeight="1" x14ac:dyDescent="0.35">
      <c r="A95" s="12" t="s">
        <v>416</v>
      </c>
      <c r="B95" s="12"/>
      <c r="C95" s="12"/>
      <c r="D95" s="12"/>
      <c r="E95" s="12"/>
      <c r="F95" s="12"/>
      <c r="G95" s="12"/>
      <c r="H95" s="12"/>
      <c r="I95" s="12"/>
      <c r="J95" s="12"/>
    </row>
    <row r="96" spans="1:12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</row>
    <row r="97" spans="1:12" ht="30" x14ac:dyDescent="0.25">
      <c r="A97" s="2" t="s">
        <v>6</v>
      </c>
      <c r="B97" s="2" t="s">
        <v>7</v>
      </c>
      <c r="C97" s="2" t="s">
        <v>8</v>
      </c>
      <c r="D97" s="2" t="s">
        <v>9</v>
      </c>
      <c r="E97" s="2" t="s">
        <v>10</v>
      </c>
      <c r="F97" s="2" t="s">
        <v>11</v>
      </c>
      <c r="G97" s="2" t="s">
        <v>12</v>
      </c>
      <c r="H97" s="2" t="s">
        <v>13</v>
      </c>
      <c r="I97" s="2" t="s">
        <v>14</v>
      </c>
      <c r="J97" s="2" t="s">
        <v>15</v>
      </c>
      <c r="K97" s="2" t="s">
        <v>16</v>
      </c>
      <c r="L97" s="2" t="s">
        <v>17</v>
      </c>
    </row>
    <row r="98" spans="1:12" x14ac:dyDescent="0.25">
      <c r="A98" s="3">
        <v>45691.11645833333</v>
      </c>
      <c r="B98" t="s">
        <v>21</v>
      </c>
      <c r="C98" s="3">
        <v>45691.117384259254</v>
      </c>
      <c r="D98" t="s">
        <v>21</v>
      </c>
      <c r="E98" s="4">
        <v>8.0000000000000002E-3</v>
      </c>
      <c r="F98" s="4">
        <v>17522.767</v>
      </c>
      <c r="G98" s="4">
        <v>17522.775000000001</v>
      </c>
      <c r="H98" s="5">
        <f>59 / 86400</f>
        <v>6.8287037037037036E-4</v>
      </c>
      <c r="I98" t="s">
        <v>33</v>
      </c>
      <c r="J98" t="s">
        <v>33</v>
      </c>
      <c r="K98" s="5">
        <f>79 / 86400</f>
        <v>9.1435185185185185E-4</v>
      </c>
      <c r="L98" s="5">
        <f>10082 / 86400</f>
        <v>0.11668981481481482</v>
      </c>
    </row>
    <row r="99" spans="1:12" x14ac:dyDescent="0.25">
      <c r="A99" s="3">
        <v>45691.117615740739</v>
      </c>
      <c r="B99" t="s">
        <v>21</v>
      </c>
      <c r="C99" s="3">
        <v>45691.11782407407</v>
      </c>
      <c r="D99" t="s">
        <v>21</v>
      </c>
      <c r="E99" s="4">
        <v>0</v>
      </c>
      <c r="F99" s="4">
        <v>17522.775000000001</v>
      </c>
      <c r="G99" s="4">
        <v>17522.775000000001</v>
      </c>
      <c r="H99" s="5">
        <f>0 / 86400</f>
        <v>0</v>
      </c>
      <c r="I99" t="s">
        <v>62</v>
      </c>
      <c r="J99" t="s">
        <v>33</v>
      </c>
      <c r="K99" s="5">
        <f>17 / 86400</f>
        <v>1.9675925925925926E-4</v>
      </c>
      <c r="L99" s="5">
        <f>1219 / 86400</f>
        <v>1.4108796296296296E-2</v>
      </c>
    </row>
    <row r="100" spans="1:12" x14ac:dyDescent="0.25">
      <c r="A100" s="3">
        <v>45691.131932870368</v>
      </c>
      <c r="B100" t="s">
        <v>21</v>
      </c>
      <c r="C100" s="3">
        <v>45691.25618055556</v>
      </c>
      <c r="D100" t="s">
        <v>130</v>
      </c>
      <c r="E100" s="4">
        <v>79.724000000000004</v>
      </c>
      <c r="F100" s="4">
        <v>17522.775000000001</v>
      </c>
      <c r="G100" s="4">
        <v>17602.499</v>
      </c>
      <c r="H100" s="5">
        <f>2360 / 86400</f>
        <v>2.7314814814814816E-2</v>
      </c>
      <c r="I100" t="s">
        <v>97</v>
      </c>
      <c r="J100" t="s">
        <v>131</v>
      </c>
      <c r="K100" s="5">
        <f>10735 / 86400</f>
        <v>0.12424768518518518</v>
      </c>
      <c r="L100" s="5">
        <f>1091 / 86400</f>
        <v>1.2627314814814815E-2</v>
      </c>
    </row>
    <row r="101" spans="1:12" x14ac:dyDescent="0.25">
      <c r="A101" s="3">
        <v>45691.268807870365</v>
      </c>
      <c r="B101" t="s">
        <v>130</v>
      </c>
      <c r="C101" s="3">
        <v>45691.434652777782</v>
      </c>
      <c r="D101" t="s">
        <v>127</v>
      </c>
      <c r="E101" s="4">
        <v>78.942999999999998</v>
      </c>
      <c r="F101" s="4">
        <v>17602.499</v>
      </c>
      <c r="G101" s="4">
        <v>17681.441999999999</v>
      </c>
      <c r="H101" s="5">
        <f>3818 / 86400</f>
        <v>4.4189814814814814E-2</v>
      </c>
      <c r="I101" t="s">
        <v>23</v>
      </c>
      <c r="J101" t="s">
        <v>75</v>
      </c>
      <c r="K101" s="5">
        <f>14329 / 86400</f>
        <v>0.1658449074074074</v>
      </c>
      <c r="L101" s="5">
        <f>288 / 86400</f>
        <v>3.3333333333333335E-3</v>
      </c>
    </row>
    <row r="102" spans="1:12" x14ac:dyDescent="0.25">
      <c r="A102" s="3">
        <v>45691.437986111108</v>
      </c>
      <c r="B102" t="s">
        <v>127</v>
      </c>
      <c r="C102" s="3">
        <v>45691.439687499995</v>
      </c>
      <c r="D102" t="s">
        <v>127</v>
      </c>
      <c r="E102" s="4">
        <v>0.14399999999999999</v>
      </c>
      <c r="F102" s="4">
        <v>17681.441999999999</v>
      </c>
      <c r="G102" s="4">
        <v>17681.585999999999</v>
      </c>
      <c r="H102" s="5">
        <f>60 / 86400</f>
        <v>6.9444444444444447E-4</v>
      </c>
      <c r="I102" t="s">
        <v>79</v>
      </c>
      <c r="J102" t="s">
        <v>132</v>
      </c>
      <c r="K102" s="5">
        <f>147 / 86400</f>
        <v>1.7013888888888888E-3</v>
      </c>
      <c r="L102" s="5">
        <f>347 / 86400</f>
        <v>4.0162037037037041E-3</v>
      </c>
    </row>
    <row r="103" spans="1:12" x14ac:dyDescent="0.25">
      <c r="A103" s="3">
        <v>45691.443703703699</v>
      </c>
      <c r="B103" t="s">
        <v>127</v>
      </c>
      <c r="C103" s="3">
        <v>45691.446203703701</v>
      </c>
      <c r="D103" t="s">
        <v>133</v>
      </c>
      <c r="E103" s="4">
        <v>0.40899999999999997</v>
      </c>
      <c r="F103" s="4">
        <v>17681.585999999999</v>
      </c>
      <c r="G103" s="4">
        <v>17681.994999999999</v>
      </c>
      <c r="H103" s="5">
        <f>59 / 86400</f>
        <v>6.8287037037037036E-4</v>
      </c>
      <c r="I103" t="s">
        <v>35</v>
      </c>
      <c r="J103" t="s">
        <v>76</v>
      </c>
      <c r="K103" s="5">
        <f>215 / 86400</f>
        <v>2.488425925925926E-3</v>
      </c>
      <c r="L103" s="5">
        <f>193 / 86400</f>
        <v>2.2337962962962962E-3</v>
      </c>
    </row>
    <row r="104" spans="1:12" x14ac:dyDescent="0.25">
      <c r="A104" s="3">
        <v>45691.448437500003</v>
      </c>
      <c r="B104" t="s">
        <v>134</v>
      </c>
      <c r="C104" s="3">
        <v>45691.451712962968</v>
      </c>
      <c r="D104" t="s">
        <v>21</v>
      </c>
      <c r="E104" s="4">
        <v>0.314</v>
      </c>
      <c r="F104" s="4">
        <v>17681.994999999999</v>
      </c>
      <c r="G104" s="4">
        <v>17682.309000000001</v>
      </c>
      <c r="H104" s="5">
        <f>140 / 86400</f>
        <v>1.6203703703703703E-3</v>
      </c>
      <c r="I104" t="s">
        <v>135</v>
      </c>
      <c r="J104" t="s">
        <v>132</v>
      </c>
      <c r="K104" s="5">
        <f>283 / 86400</f>
        <v>3.2754629629629631E-3</v>
      </c>
      <c r="L104" s="5">
        <f>22996 / 86400</f>
        <v>0.2661574074074074</v>
      </c>
    </row>
    <row r="105" spans="1:12" x14ac:dyDescent="0.25">
      <c r="A105" s="3">
        <v>45691.717870370368</v>
      </c>
      <c r="B105" t="s">
        <v>21</v>
      </c>
      <c r="C105" s="3">
        <v>45691.719027777777</v>
      </c>
      <c r="D105" t="s">
        <v>22</v>
      </c>
      <c r="E105" s="4">
        <v>4.7E-2</v>
      </c>
      <c r="F105" s="4">
        <v>17682.309000000001</v>
      </c>
      <c r="G105" s="4">
        <v>17682.356</v>
      </c>
      <c r="H105" s="5">
        <f>39 / 86400</f>
        <v>4.5138888888888887E-4</v>
      </c>
      <c r="I105" t="s">
        <v>136</v>
      </c>
      <c r="J105" t="s">
        <v>137</v>
      </c>
      <c r="K105" s="5">
        <f>100 / 86400</f>
        <v>1.1574074074074073E-3</v>
      </c>
      <c r="L105" s="5">
        <f>24275 / 86400</f>
        <v>0.28096064814814814</v>
      </c>
    </row>
    <row r="106" spans="1:12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2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2" s="10" customFormat="1" ht="20.100000000000001" customHeight="1" x14ac:dyDescent="0.35">
      <c r="A108" s="12" t="s">
        <v>417</v>
      </c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1:12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2" ht="30" x14ac:dyDescent="0.25">
      <c r="A110" s="2" t="s">
        <v>6</v>
      </c>
      <c r="B110" s="2" t="s">
        <v>7</v>
      </c>
      <c r="C110" s="2" t="s">
        <v>8</v>
      </c>
      <c r="D110" s="2" t="s">
        <v>9</v>
      </c>
      <c r="E110" s="2" t="s">
        <v>10</v>
      </c>
      <c r="F110" s="2" t="s">
        <v>11</v>
      </c>
      <c r="G110" s="2" t="s">
        <v>12</v>
      </c>
      <c r="H110" s="2" t="s">
        <v>13</v>
      </c>
      <c r="I110" s="2" t="s">
        <v>14</v>
      </c>
      <c r="J110" s="2" t="s">
        <v>15</v>
      </c>
      <c r="K110" s="2" t="s">
        <v>16</v>
      </c>
      <c r="L110" s="2" t="s">
        <v>17</v>
      </c>
    </row>
    <row r="111" spans="1:12" x14ac:dyDescent="0.25">
      <c r="A111" s="3">
        <v>45691.213425925926</v>
      </c>
      <c r="B111" t="s">
        <v>25</v>
      </c>
      <c r="C111" s="3">
        <v>45691.228032407409</v>
      </c>
      <c r="D111" t="s">
        <v>138</v>
      </c>
      <c r="E111" s="4">
        <v>3.9329999999999998</v>
      </c>
      <c r="F111" s="4">
        <v>326543.38</v>
      </c>
      <c r="G111" s="4">
        <v>326547.31300000002</v>
      </c>
      <c r="H111" s="5">
        <f>679 / 86400</f>
        <v>7.858796296296296E-3</v>
      </c>
      <c r="I111" t="s">
        <v>139</v>
      </c>
      <c r="J111" t="s">
        <v>140</v>
      </c>
      <c r="K111" s="5">
        <f>1262 / 86400</f>
        <v>1.4606481481481481E-2</v>
      </c>
      <c r="L111" s="5">
        <f>18490 / 86400</f>
        <v>0.21400462962962963</v>
      </c>
    </row>
    <row r="112" spans="1:12" x14ac:dyDescent="0.25">
      <c r="A112" s="3">
        <v>45691.22861111111</v>
      </c>
      <c r="B112" t="s">
        <v>138</v>
      </c>
      <c r="C112" s="3">
        <v>45691.228749999995</v>
      </c>
      <c r="D112" t="s">
        <v>138</v>
      </c>
      <c r="E112" s="4">
        <v>8.0000000000000002E-3</v>
      </c>
      <c r="F112" s="4">
        <v>326547.31300000002</v>
      </c>
      <c r="G112" s="4">
        <v>326547.321</v>
      </c>
      <c r="H112" s="5">
        <f>0 / 86400</f>
        <v>0</v>
      </c>
      <c r="I112" t="s">
        <v>33</v>
      </c>
      <c r="J112" t="s">
        <v>128</v>
      </c>
      <c r="K112" s="5">
        <f>11 / 86400</f>
        <v>1.273148148148148E-4</v>
      </c>
      <c r="L112" s="5">
        <f>343 / 86400</f>
        <v>3.9699074074074072E-3</v>
      </c>
    </row>
    <row r="113" spans="1:12" x14ac:dyDescent="0.25">
      <c r="A113" s="3">
        <v>45691.232719907406</v>
      </c>
      <c r="B113" t="s">
        <v>138</v>
      </c>
      <c r="C113" s="3">
        <v>45691.232870370368</v>
      </c>
      <c r="D113" t="s">
        <v>138</v>
      </c>
      <c r="E113" s="4">
        <v>3.0000000000000001E-3</v>
      </c>
      <c r="F113" s="4">
        <v>326547.321</v>
      </c>
      <c r="G113" s="4">
        <v>326547.32400000002</v>
      </c>
      <c r="H113" s="5">
        <f>0 / 86400</f>
        <v>0</v>
      </c>
      <c r="I113" t="s">
        <v>33</v>
      </c>
      <c r="J113" t="s">
        <v>62</v>
      </c>
      <c r="K113" s="5">
        <f>12 / 86400</f>
        <v>1.3888888888888889E-4</v>
      </c>
      <c r="L113" s="5">
        <f>298 / 86400</f>
        <v>3.449074074074074E-3</v>
      </c>
    </row>
    <row r="114" spans="1:12" x14ac:dyDescent="0.25">
      <c r="A114" s="3">
        <v>45691.236319444448</v>
      </c>
      <c r="B114" t="s">
        <v>138</v>
      </c>
      <c r="C114" s="3">
        <v>45691.302314814813</v>
      </c>
      <c r="D114" t="s">
        <v>141</v>
      </c>
      <c r="E114" s="4">
        <v>24.073</v>
      </c>
      <c r="F114" s="4">
        <v>326547.32400000002</v>
      </c>
      <c r="G114" s="4">
        <v>326571.397</v>
      </c>
      <c r="H114" s="5">
        <f>2419 / 86400</f>
        <v>2.7997685185185184E-2</v>
      </c>
      <c r="I114" t="s">
        <v>129</v>
      </c>
      <c r="J114" t="s">
        <v>30</v>
      </c>
      <c r="K114" s="5">
        <f>5701 / 86400</f>
        <v>6.598379629629629E-2</v>
      </c>
      <c r="L114" s="5">
        <f>495 / 86400</f>
        <v>5.7291666666666663E-3</v>
      </c>
    </row>
    <row r="115" spans="1:12" x14ac:dyDescent="0.25">
      <c r="A115" s="3">
        <v>45691.30804398148</v>
      </c>
      <c r="B115" t="s">
        <v>141</v>
      </c>
      <c r="C115" s="3">
        <v>45691.388460648144</v>
      </c>
      <c r="D115" t="s">
        <v>127</v>
      </c>
      <c r="E115" s="4">
        <v>42.268000000000001</v>
      </c>
      <c r="F115" s="4">
        <v>326571.397</v>
      </c>
      <c r="G115" s="4">
        <v>326613.66499999998</v>
      </c>
      <c r="H115" s="5">
        <f>1520 / 86400</f>
        <v>1.7592592592592594E-2</v>
      </c>
      <c r="I115" t="s">
        <v>129</v>
      </c>
      <c r="J115" t="s">
        <v>24</v>
      </c>
      <c r="K115" s="5">
        <f>6948 / 86400</f>
        <v>8.0416666666666664E-2</v>
      </c>
      <c r="L115" s="5">
        <f>627 / 86400</f>
        <v>7.2569444444444443E-3</v>
      </c>
    </row>
    <row r="116" spans="1:12" x14ac:dyDescent="0.25">
      <c r="A116" s="3">
        <v>45691.39571759259</v>
      </c>
      <c r="B116" t="s">
        <v>127</v>
      </c>
      <c r="C116" s="3">
        <v>45691.396643518514</v>
      </c>
      <c r="D116" t="s">
        <v>127</v>
      </c>
      <c r="E116" s="4">
        <v>0.13700000000000001</v>
      </c>
      <c r="F116" s="4">
        <v>326613.66499999998</v>
      </c>
      <c r="G116" s="4">
        <v>326613.80200000003</v>
      </c>
      <c r="H116" s="5">
        <f>0 / 86400</f>
        <v>0</v>
      </c>
      <c r="I116" t="s">
        <v>79</v>
      </c>
      <c r="J116" t="s">
        <v>32</v>
      </c>
      <c r="K116" s="5">
        <f>80 / 86400</f>
        <v>9.2592592592592596E-4</v>
      </c>
      <c r="L116" s="5">
        <f>513 / 86400</f>
        <v>5.9375000000000001E-3</v>
      </c>
    </row>
    <row r="117" spans="1:12" x14ac:dyDescent="0.25">
      <c r="A117" s="3">
        <v>45691.402581018519</v>
      </c>
      <c r="B117" t="s">
        <v>127</v>
      </c>
      <c r="C117" s="3">
        <v>45691.403194444443</v>
      </c>
      <c r="D117" t="s">
        <v>127</v>
      </c>
      <c r="E117" s="4">
        <v>4.0000000000000001E-3</v>
      </c>
      <c r="F117" s="4">
        <v>326613.80200000003</v>
      </c>
      <c r="G117" s="4">
        <v>326613.80599999998</v>
      </c>
      <c r="H117" s="5">
        <f>39 / 86400</f>
        <v>4.5138888888888887E-4</v>
      </c>
      <c r="I117" t="s">
        <v>136</v>
      </c>
      <c r="J117" t="s">
        <v>33</v>
      </c>
      <c r="K117" s="5">
        <f>53 / 86400</f>
        <v>6.134259259259259E-4</v>
      </c>
      <c r="L117" s="5">
        <f>353 / 86400</f>
        <v>4.0856481481481481E-3</v>
      </c>
    </row>
    <row r="118" spans="1:12" x14ac:dyDescent="0.25">
      <c r="A118" s="3">
        <v>45691.407280092593</v>
      </c>
      <c r="B118" t="s">
        <v>127</v>
      </c>
      <c r="C118" s="3">
        <v>45691.411898148144</v>
      </c>
      <c r="D118" t="s">
        <v>142</v>
      </c>
      <c r="E118" s="4">
        <v>1.24</v>
      </c>
      <c r="F118" s="4">
        <v>326613.80599999998</v>
      </c>
      <c r="G118" s="4">
        <v>326615.04599999997</v>
      </c>
      <c r="H118" s="5">
        <f>100 / 86400</f>
        <v>1.1574074074074073E-3</v>
      </c>
      <c r="I118" t="s">
        <v>143</v>
      </c>
      <c r="J118" t="s">
        <v>140</v>
      </c>
      <c r="K118" s="5">
        <f>399 / 86400</f>
        <v>4.6180555555555558E-3</v>
      </c>
      <c r="L118" s="5">
        <f>1427 / 86400</f>
        <v>1.6516203703703703E-2</v>
      </c>
    </row>
    <row r="119" spans="1:12" x14ac:dyDescent="0.25">
      <c r="A119" s="3">
        <v>45691.428414351853</v>
      </c>
      <c r="B119" t="s">
        <v>142</v>
      </c>
      <c r="C119" s="3">
        <v>45691.628414351857</v>
      </c>
      <c r="D119" t="s">
        <v>144</v>
      </c>
      <c r="E119" s="4">
        <v>93.046000000000006</v>
      </c>
      <c r="F119" s="4">
        <v>326615.04599999997</v>
      </c>
      <c r="G119" s="4">
        <v>326708.092</v>
      </c>
      <c r="H119" s="5">
        <f>5162 / 86400</f>
        <v>5.9745370370370372E-2</v>
      </c>
      <c r="I119" t="s">
        <v>97</v>
      </c>
      <c r="J119" t="s">
        <v>35</v>
      </c>
      <c r="K119" s="5">
        <f>17279 / 86400</f>
        <v>0.19998842592592592</v>
      </c>
      <c r="L119" s="5">
        <f>2587 / 86400</f>
        <v>2.9942129629629631E-2</v>
      </c>
    </row>
    <row r="120" spans="1:12" x14ac:dyDescent="0.25">
      <c r="A120" s="3">
        <v>45691.658356481479</v>
      </c>
      <c r="B120" t="s">
        <v>144</v>
      </c>
      <c r="C120" s="3">
        <v>45691.662928240738</v>
      </c>
      <c r="D120" t="s">
        <v>145</v>
      </c>
      <c r="E120" s="4">
        <v>0.77500000000000002</v>
      </c>
      <c r="F120" s="4">
        <v>326708.092</v>
      </c>
      <c r="G120" s="4">
        <v>326708.86700000003</v>
      </c>
      <c r="H120" s="5">
        <f>199 / 86400</f>
        <v>2.3032407407407407E-3</v>
      </c>
      <c r="I120" t="s">
        <v>135</v>
      </c>
      <c r="J120" t="s">
        <v>76</v>
      </c>
      <c r="K120" s="5">
        <f>394 / 86400</f>
        <v>4.5601851851851853E-3</v>
      </c>
      <c r="L120" s="5">
        <f>37 / 86400</f>
        <v>4.2824074074074075E-4</v>
      </c>
    </row>
    <row r="121" spans="1:12" x14ac:dyDescent="0.25">
      <c r="A121" s="3">
        <v>45691.663356481484</v>
      </c>
      <c r="B121" t="s">
        <v>145</v>
      </c>
      <c r="C121" s="3">
        <v>45691.867268518516</v>
      </c>
      <c r="D121" t="s">
        <v>146</v>
      </c>
      <c r="E121" s="4">
        <v>74.262</v>
      </c>
      <c r="F121" s="4">
        <v>326708.86700000003</v>
      </c>
      <c r="G121" s="4">
        <v>326783.12900000002</v>
      </c>
      <c r="H121" s="5">
        <f>6981 / 86400</f>
        <v>8.0798611111111113E-2</v>
      </c>
      <c r="I121" t="s">
        <v>27</v>
      </c>
      <c r="J121" t="s">
        <v>30</v>
      </c>
      <c r="K121" s="5">
        <f>17617 / 86400</f>
        <v>0.20390046296296296</v>
      </c>
      <c r="L121" s="5">
        <f>332 / 86400</f>
        <v>3.8425925925925928E-3</v>
      </c>
    </row>
    <row r="122" spans="1:12" x14ac:dyDescent="0.25">
      <c r="A122" s="3">
        <v>45691.871111111112</v>
      </c>
      <c r="B122" t="s">
        <v>146</v>
      </c>
      <c r="C122" s="3">
        <v>45691.871400462958</v>
      </c>
      <c r="D122" t="s">
        <v>146</v>
      </c>
      <c r="E122" s="4">
        <v>4.7E-2</v>
      </c>
      <c r="F122" s="4">
        <v>326783.12900000002</v>
      </c>
      <c r="G122" s="4">
        <v>326783.17599999998</v>
      </c>
      <c r="H122" s="5">
        <f>0 / 86400</f>
        <v>0</v>
      </c>
      <c r="I122" t="s">
        <v>79</v>
      </c>
      <c r="J122" t="s">
        <v>76</v>
      </c>
      <c r="K122" s="5">
        <f>25 / 86400</f>
        <v>2.8935185185185184E-4</v>
      </c>
      <c r="L122" s="5">
        <f>413 / 86400</f>
        <v>4.7800925925925927E-3</v>
      </c>
    </row>
    <row r="123" spans="1:12" x14ac:dyDescent="0.25">
      <c r="A123" s="3">
        <v>45691.876180555555</v>
      </c>
      <c r="B123" t="s">
        <v>146</v>
      </c>
      <c r="C123" s="3">
        <v>45691.880416666667</v>
      </c>
      <c r="D123" t="s">
        <v>26</v>
      </c>
      <c r="E123" s="4">
        <v>1.327</v>
      </c>
      <c r="F123" s="4">
        <v>326783.17599999998</v>
      </c>
      <c r="G123" s="4">
        <v>326784.50300000003</v>
      </c>
      <c r="H123" s="5">
        <f>120 / 86400</f>
        <v>1.3888888888888889E-3</v>
      </c>
      <c r="I123" t="s">
        <v>147</v>
      </c>
      <c r="J123" t="s">
        <v>59</v>
      </c>
      <c r="K123" s="5">
        <f>366 / 86400</f>
        <v>4.2361111111111115E-3</v>
      </c>
      <c r="L123" s="5">
        <f>1744 / 86400</f>
        <v>2.0185185185185184E-2</v>
      </c>
    </row>
    <row r="124" spans="1:12" x14ac:dyDescent="0.25">
      <c r="A124" s="3">
        <v>45691.900601851856</v>
      </c>
      <c r="B124" t="s">
        <v>26</v>
      </c>
      <c r="C124" s="3">
        <v>45691.911956018521</v>
      </c>
      <c r="D124" t="s">
        <v>148</v>
      </c>
      <c r="E124" s="4">
        <v>7.4720000000000004</v>
      </c>
      <c r="F124" s="4">
        <v>326784.50300000003</v>
      </c>
      <c r="G124" s="4">
        <v>326791.97499999998</v>
      </c>
      <c r="H124" s="5">
        <f>200 / 86400</f>
        <v>2.3148148148148147E-3</v>
      </c>
      <c r="I124" t="s">
        <v>149</v>
      </c>
      <c r="J124" t="s">
        <v>131</v>
      </c>
      <c r="K124" s="5">
        <f>981 / 86400</f>
        <v>1.1354166666666667E-2</v>
      </c>
      <c r="L124" s="5">
        <f>506 / 86400</f>
        <v>5.8564814814814816E-3</v>
      </c>
    </row>
    <row r="125" spans="1:12" x14ac:dyDescent="0.25">
      <c r="A125" s="3">
        <v>45691.917812500003</v>
      </c>
      <c r="B125" t="s">
        <v>148</v>
      </c>
      <c r="C125" s="3">
        <v>45691.932835648149</v>
      </c>
      <c r="D125" t="s">
        <v>85</v>
      </c>
      <c r="E125" s="4">
        <v>7.7770000000000001</v>
      </c>
      <c r="F125" s="4">
        <v>326791.97499999998</v>
      </c>
      <c r="G125" s="4">
        <v>326799.75199999998</v>
      </c>
      <c r="H125" s="5">
        <f>260 / 86400</f>
        <v>3.0092592592592593E-3</v>
      </c>
      <c r="I125" t="s">
        <v>56</v>
      </c>
      <c r="J125" t="s">
        <v>24</v>
      </c>
      <c r="K125" s="5">
        <f>1297 / 86400</f>
        <v>1.5011574074074075E-2</v>
      </c>
      <c r="L125" s="5">
        <f>38 / 86400</f>
        <v>4.3981481481481481E-4</v>
      </c>
    </row>
    <row r="126" spans="1:12" x14ac:dyDescent="0.25">
      <c r="A126" s="3">
        <v>45691.933275462958</v>
      </c>
      <c r="B126" t="s">
        <v>150</v>
      </c>
      <c r="C126" s="3">
        <v>45691.93372685185</v>
      </c>
      <c r="D126" t="s">
        <v>26</v>
      </c>
      <c r="E126" s="4">
        <v>8.8999999999999996E-2</v>
      </c>
      <c r="F126" s="4">
        <v>326799.75199999998</v>
      </c>
      <c r="G126" s="4">
        <v>326799.84100000001</v>
      </c>
      <c r="H126" s="5">
        <f>0 / 86400</f>
        <v>0</v>
      </c>
      <c r="I126" t="s">
        <v>40</v>
      </c>
      <c r="J126" t="s">
        <v>151</v>
      </c>
      <c r="K126" s="5">
        <f>38 / 86400</f>
        <v>4.3981481481481481E-4</v>
      </c>
      <c r="L126" s="5">
        <f>17 / 86400</f>
        <v>1.9675925925925926E-4</v>
      </c>
    </row>
    <row r="127" spans="1:12" x14ac:dyDescent="0.25">
      <c r="A127" s="3">
        <v>45691.933923611112</v>
      </c>
      <c r="B127" t="s">
        <v>26</v>
      </c>
      <c r="C127" s="3">
        <v>45691.934212962966</v>
      </c>
      <c r="D127" t="s">
        <v>26</v>
      </c>
      <c r="E127" s="4">
        <v>4.0000000000000001E-3</v>
      </c>
      <c r="F127" s="4">
        <v>326799.84100000001</v>
      </c>
      <c r="G127" s="4">
        <v>326799.84499999997</v>
      </c>
      <c r="H127" s="5">
        <f>19 / 86400</f>
        <v>2.199074074074074E-4</v>
      </c>
      <c r="I127" t="s">
        <v>33</v>
      </c>
      <c r="J127" t="s">
        <v>62</v>
      </c>
      <c r="K127" s="5">
        <f>25 / 86400</f>
        <v>2.8935185185185184E-4</v>
      </c>
      <c r="L127" s="5">
        <f>5683 / 86400</f>
        <v>6.5775462962962966E-2</v>
      </c>
    </row>
    <row r="128" spans="1:12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</row>
    <row r="129" spans="1:12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</row>
    <row r="130" spans="1:12" s="10" customFormat="1" ht="20.100000000000001" customHeight="1" x14ac:dyDescent="0.35">
      <c r="A130" s="12" t="s">
        <v>415</v>
      </c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1:12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</row>
    <row r="132" spans="1:12" ht="30" x14ac:dyDescent="0.25">
      <c r="A132" s="2" t="s">
        <v>6</v>
      </c>
      <c r="B132" s="2" t="s">
        <v>7</v>
      </c>
      <c r="C132" s="2" t="s">
        <v>8</v>
      </c>
      <c r="D132" s="2" t="s">
        <v>9</v>
      </c>
      <c r="E132" s="2" t="s">
        <v>10</v>
      </c>
      <c r="F132" s="2" t="s">
        <v>11</v>
      </c>
      <c r="G132" s="2" t="s">
        <v>12</v>
      </c>
      <c r="H132" s="2" t="s">
        <v>13</v>
      </c>
      <c r="I132" s="2" t="s">
        <v>14</v>
      </c>
      <c r="J132" s="2" t="s">
        <v>15</v>
      </c>
      <c r="K132" s="2" t="s">
        <v>16</v>
      </c>
      <c r="L132" s="2" t="s">
        <v>17</v>
      </c>
    </row>
    <row r="133" spans="1:12" x14ac:dyDescent="0.25">
      <c r="A133" s="3">
        <v>45691.27988425926</v>
      </c>
      <c r="B133" t="s">
        <v>28</v>
      </c>
      <c r="C133" s="3">
        <v>45691.34373842593</v>
      </c>
      <c r="D133" t="s">
        <v>152</v>
      </c>
      <c r="E133" s="4">
        <v>28.169</v>
      </c>
      <c r="F133" s="4">
        <v>19691.391</v>
      </c>
      <c r="G133" s="4">
        <v>19719.560000000001</v>
      </c>
      <c r="H133" s="5">
        <f>1479 / 86400</f>
        <v>1.7118055555555556E-2</v>
      </c>
      <c r="I133" t="s">
        <v>149</v>
      </c>
      <c r="J133" t="s">
        <v>20</v>
      </c>
      <c r="K133" s="5">
        <f>5516 / 86400</f>
        <v>6.384259259259259E-2</v>
      </c>
      <c r="L133" s="5">
        <f>25256 / 86400</f>
        <v>0.29231481481481481</v>
      </c>
    </row>
    <row r="134" spans="1:12" x14ac:dyDescent="0.25">
      <c r="A134" s="3">
        <v>45691.356168981481</v>
      </c>
      <c r="B134" t="s">
        <v>152</v>
      </c>
      <c r="C134" s="3">
        <v>45691.47592592593</v>
      </c>
      <c r="D134" t="s">
        <v>153</v>
      </c>
      <c r="E134" s="4">
        <v>50.683999999999997</v>
      </c>
      <c r="F134" s="4">
        <v>19719.560000000001</v>
      </c>
      <c r="G134" s="4">
        <v>19770.243999999999</v>
      </c>
      <c r="H134" s="5">
        <f>2994 / 86400</f>
        <v>3.4652777777777775E-2</v>
      </c>
      <c r="I134" t="s">
        <v>139</v>
      </c>
      <c r="J134" t="s">
        <v>20</v>
      </c>
      <c r="K134" s="5">
        <f>10347 / 86400</f>
        <v>0.11975694444444444</v>
      </c>
      <c r="L134" s="5">
        <f>4302 / 86400</f>
        <v>4.9791666666666665E-2</v>
      </c>
    </row>
    <row r="135" spans="1:12" x14ac:dyDescent="0.25">
      <c r="A135" s="3">
        <v>45691.525717592594</v>
      </c>
      <c r="B135" t="s">
        <v>153</v>
      </c>
      <c r="C135" s="3">
        <v>45691.658020833333</v>
      </c>
      <c r="D135" t="s">
        <v>127</v>
      </c>
      <c r="E135" s="4">
        <v>50.296999999999997</v>
      </c>
      <c r="F135" s="4">
        <v>19770.243999999999</v>
      </c>
      <c r="G135" s="4">
        <v>19820.541000000001</v>
      </c>
      <c r="H135" s="5">
        <f>3920 / 86400</f>
        <v>4.5370370370370373E-2</v>
      </c>
      <c r="I135" t="s">
        <v>66</v>
      </c>
      <c r="J135" t="s">
        <v>40</v>
      </c>
      <c r="K135" s="5">
        <f>11431 / 86400</f>
        <v>0.13230324074074074</v>
      </c>
      <c r="L135" s="5">
        <f>233 / 86400</f>
        <v>2.6967592592592594E-3</v>
      </c>
    </row>
    <row r="136" spans="1:12" x14ac:dyDescent="0.25">
      <c r="A136" s="3">
        <v>45691.660717592589</v>
      </c>
      <c r="B136" t="s">
        <v>154</v>
      </c>
      <c r="C136" s="3">
        <v>45691.660960648151</v>
      </c>
      <c r="D136" t="s">
        <v>154</v>
      </c>
      <c r="E136" s="4">
        <v>0</v>
      </c>
      <c r="F136" s="4">
        <v>19820.541000000001</v>
      </c>
      <c r="G136" s="4">
        <v>19820.541000000001</v>
      </c>
      <c r="H136" s="5">
        <f>19 / 86400</f>
        <v>2.199074074074074E-4</v>
      </c>
      <c r="I136" t="s">
        <v>33</v>
      </c>
      <c r="J136" t="s">
        <v>33</v>
      </c>
      <c r="K136" s="5">
        <f>21 / 86400</f>
        <v>2.4305555555555555E-4</v>
      </c>
      <c r="L136" s="5">
        <f>585 / 86400</f>
        <v>6.7708333333333336E-3</v>
      </c>
    </row>
    <row r="137" spans="1:12" x14ac:dyDescent="0.25">
      <c r="A137" s="3">
        <v>45691.667731481481</v>
      </c>
      <c r="B137" t="s">
        <v>127</v>
      </c>
      <c r="C137" s="3">
        <v>45691.669918981483</v>
      </c>
      <c r="D137" t="s">
        <v>21</v>
      </c>
      <c r="E137" s="4">
        <v>0.47399999999999998</v>
      </c>
      <c r="F137" s="4">
        <v>19820.541000000001</v>
      </c>
      <c r="G137" s="4">
        <v>19821.014999999999</v>
      </c>
      <c r="H137" s="5">
        <f>59 / 86400</f>
        <v>6.8287037037037036E-4</v>
      </c>
      <c r="I137" t="s">
        <v>70</v>
      </c>
      <c r="J137" t="s">
        <v>79</v>
      </c>
      <c r="K137" s="5">
        <f>188 / 86400</f>
        <v>2.1759259259259258E-3</v>
      </c>
      <c r="L137" s="5">
        <f>640 / 86400</f>
        <v>7.4074074074074077E-3</v>
      </c>
    </row>
    <row r="138" spans="1:12" x14ac:dyDescent="0.25">
      <c r="A138" s="3">
        <v>45691.67732638889</v>
      </c>
      <c r="B138" t="s">
        <v>21</v>
      </c>
      <c r="C138" s="3">
        <v>45691.692835648151</v>
      </c>
      <c r="D138" t="s">
        <v>21</v>
      </c>
      <c r="E138" s="4">
        <v>0.19600000000000001</v>
      </c>
      <c r="F138" s="4">
        <v>19821.014999999999</v>
      </c>
      <c r="G138" s="4">
        <v>19821.210999999999</v>
      </c>
      <c r="H138" s="5">
        <f>1239 / 86400</f>
        <v>1.4340277777777778E-2</v>
      </c>
      <c r="I138" t="s">
        <v>155</v>
      </c>
      <c r="J138" t="s">
        <v>62</v>
      </c>
      <c r="K138" s="5">
        <f>1340 / 86400</f>
        <v>1.5509259259259259E-2</v>
      </c>
      <c r="L138" s="5">
        <f>1124 / 86400</f>
        <v>1.3009259259259259E-2</v>
      </c>
    </row>
    <row r="139" spans="1:12" x14ac:dyDescent="0.25">
      <c r="A139" s="3">
        <v>45691.70584490741</v>
      </c>
      <c r="B139" t="s">
        <v>21</v>
      </c>
      <c r="C139" s="3">
        <v>45691.70758101852</v>
      </c>
      <c r="D139" t="s">
        <v>127</v>
      </c>
      <c r="E139" s="4">
        <v>0.43099999999999999</v>
      </c>
      <c r="F139" s="4">
        <v>19821.210999999999</v>
      </c>
      <c r="G139" s="4">
        <v>19821.642</v>
      </c>
      <c r="H139" s="5">
        <f>20 / 86400</f>
        <v>2.3148148148148149E-4</v>
      </c>
      <c r="I139" t="s">
        <v>61</v>
      </c>
      <c r="J139" t="s">
        <v>156</v>
      </c>
      <c r="K139" s="5">
        <f>150 / 86400</f>
        <v>1.736111111111111E-3</v>
      </c>
      <c r="L139" s="5">
        <f>775 / 86400</f>
        <v>8.9699074074074073E-3</v>
      </c>
    </row>
    <row r="140" spans="1:12" x14ac:dyDescent="0.25">
      <c r="A140" s="3">
        <v>45691.716550925921</v>
      </c>
      <c r="B140" t="s">
        <v>127</v>
      </c>
      <c r="C140" s="3">
        <v>45691.718854166669</v>
      </c>
      <c r="D140" t="s">
        <v>157</v>
      </c>
      <c r="E140" s="4">
        <v>0.84</v>
      </c>
      <c r="F140" s="4">
        <v>19821.642</v>
      </c>
      <c r="G140" s="4">
        <v>19822.482</v>
      </c>
      <c r="H140" s="5">
        <f>0 / 86400</f>
        <v>0</v>
      </c>
      <c r="I140" t="s">
        <v>158</v>
      </c>
      <c r="J140" t="s">
        <v>30</v>
      </c>
      <c r="K140" s="5">
        <f>198 / 86400</f>
        <v>2.2916666666666667E-3</v>
      </c>
      <c r="L140" s="5">
        <f>318 / 86400</f>
        <v>3.6805555555555554E-3</v>
      </c>
    </row>
    <row r="141" spans="1:12" x14ac:dyDescent="0.25">
      <c r="A141" s="3">
        <v>45691.722534722227</v>
      </c>
      <c r="B141" t="s">
        <v>157</v>
      </c>
      <c r="C141" s="3">
        <v>45691.723136574074</v>
      </c>
      <c r="D141" t="s">
        <v>157</v>
      </c>
      <c r="E141" s="4">
        <v>1.2E-2</v>
      </c>
      <c r="F141" s="4">
        <v>19822.482</v>
      </c>
      <c r="G141" s="4">
        <v>19822.493999999999</v>
      </c>
      <c r="H141" s="5">
        <f>19 / 86400</f>
        <v>2.199074074074074E-4</v>
      </c>
      <c r="I141" t="s">
        <v>132</v>
      </c>
      <c r="J141" t="s">
        <v>62</v>
      </c>
      <c r="K141" s="5">
        <f>52 / 86400</f>
        <v>6.018518518518519E-4</v>
      </c>
      <c r="L141" s="5">
        <f>424 / 86400</f>
        <v>4.9074074074074072E-3</v>
      </c>
    </row>
    <row r="142" spans="1:12" x14ac:dyDescent="0.25">
      <c r="A142" s="3">
        <v>45691.728043981479</v>
      </c>
      <c r="B142" t="s">
        <v>157</v>
      </c>
      <c r="C142" s="3">
        <v>45691.729247685187</v>
      </c>
      <c r="D142" t="s">
        <v>157</v>
      </c>
      <c r="E142" s="4">
        <v>7.0000000000000001E-3</v>
      </c>
      <c r="F142" s="4">
        <v>19822.493999999999</v>
      </c>
      <c r="G142" s="4">
        <v>19822.501</v>
      </c>
      <c r="H142" s="5">
        <f>100 / 86400</f>
        <v>1.1574074074074073E-3</v>
      </c>
      <c r="I142" t="s">
        <v>33</v>
      </c>
      <c r="J142" t="s">
        <v>33</v>
      </c>
      <c r="K142" s="5">
        <f>104 / 86400</f>
        <v>1.2037037037037038E-3</v>
      </c>
      <c r="L142" s="5">
        <f>185 / 86400</f>
        <v>2.1412037037037038E-3</v>
      </c>
    </row>
    <row r="143" spans="1:12" x14ac:dyDescent="0.25">
      <c r="A143" s="3">
        <v>45691.731388888889</v>
      </c>
      <c r="B143" t="s">
        <v>157</v>
      </c>
      <c r="C143" s="3">
        <v>45691.731585648144</v>
      </c>
      <c r="D143" t="s">
        <v>157</v>
      </c>
      <c r="E143" s="4">
        <v>7.0000000000000001E-3</v>
      </c>
      <c r="F143" s="4">
        <v>19822.501</v>
      </c>
      <c r="G143" s="4">
        <v>19822.508000000002</v>
      </c>
      <c r="H143" s="5">
        <f>0 / 86400</f>
        <v>0</v>
      </c>
      <c r="I143" t="s">
        <v>33</v>
      </c>
      <c r="J143" t="s">
        <v>137</v>
      </c>
      <c r="K143" s="5">
        <f>16 / 86400</f>
        <v>1.8518518518518518E-4</v>
      </c>
      <c r="L143" s="5">
        <f>130 / 86400</f>
        <v>1.5046296296296296E-3</v>
      </c>
    </row>
    <row r="144" spans="1:12" x14ac:dyDescent="0.25">
      <c r="A144" s="3">
        <v>45691.733090277776</v>
      </c>
      <c r="B144" t="s">
        <v>157</v>
      </c>
      <c r="C144" s="3">
        <v>45691.880000000005</v>
      </c>
      <c r="D144" t="s">
        <v>150</v>
      </c>
      <c r="E144" s="4">
        <v>50.37</v>
      </c>
      <c r="F144" s="4">
        <v>19822.508000000002</v>
      </c>
      <c r="G144" s="4">
        <v>19872.878000000001</v>
      </c>
      <c r="H144" s="5">
        <f>4558 / 86400</f>
        <v>5.275462962962963E-2</v>
      </c>
      <c r="I144" t="s">
        <v>29</v>
      </c>
      <c r="J144" t="s">
        <v>45</v>
      </c>
      <c r="K144" s="5">
        <f>12692 / 86400</f>
        <v>0.14689814814814814</v>
      </c>
      <c r="L144" s="5">
        <f>488 / 86400</f>
        <v>5.6481481481481478E-3</v>
      </c>
    </row>
    <row r="145" spans="1:12" x14ac:dyDescent="0.25">
      <c r="A145" s="3">
        <v>45691.885648148149</v>
      </c>
      <c r="B145" t="s">
        <v>150</v>
      </c>
      <c r="C145" s="3">
        <v>45691.886504629627</v>
      </c>
      <c r="D145" t="s">
        <v>150</v>
      </c>
      <c r="E145" s="4">
        <v>0.192</v>
      </c>
      <c r="F145" s="4">
        <v>19872.878000000001</v>
      </c>
      <c r="G145" s="4">
        <v>19873.07</v>
      </c>
      <c r="H145" s="5">
        <f>19 / 86400</f>
        <v>2.199074074074074E-4</v>
      </c>
      <c r="I145" t="s">
        <v>20</v>
      </c>
      <c r="J145" t="s">
        <v>79</v>
      </c>
      <c r="K145" s="5">
        <f>73 / 86400</f>
        <v>8.4490740740740739E-4</v>
      </c>
      <c r="L145" s="5">
        <f>110 / 86400</f>
        <v>1.2731481481481483E-3</v>
      </c>
    </row>
    <row r="146" spans="1:12" x14ac:dyDescent="0.25">
      <c r="A146" s="3">
        <v>45691.887777777782</v>
      </c>
      <c r="B146" t="s">
        <v>150</v>
      </c>
      <c r="C146" s="3">
        <v>45691.891284722224</v>
      </c>
      <c r="D146" t="s">
        <v>28</v>
      </c>
      <c r="E146" s="4">
        <v>0.89500000000000002</v>
      </c>
      <c r="F146" s="4">
        <v>19873.07</v>
      </c>
      <c r="G146" s="4">
        <v>19873.965</v>
      </c>
      <c r="H146" s="5">
        <f>80 / 86400</f>
        <v>9.2592592592592596E-4</v>
      </c>
      <c r="I146" t="s">
        <v>159</v>
      </c>
      <c r="J146" t="s">
        <v>140</v>
      </c>
      <c r="K146" s="5">
        <f>303 / 86400</f>
        <v>3.5069444444444445E-3</v>
      </c>
      <c r="L146" s="5">
        <f>9392 / 86400</f>
        <v>0.10870370370370371</v>
      </c>
    </row>
    <row r="147" spans="1:12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2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2" s="10" customFormat="1" ht="20.100000000000001" customHeight="1" x14ac:dyDescent="0.35">
      <c r="A149" s="12" t="s">
        <v>418</v>
      </c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1:12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2" ht="30" x14ac:dyDescent="0.25">
      <c r="A151" s="2" t="s">
        <v>6</v>
      </c>
      <c r="B151" s="2" t="s">
        <v>7</v>
      </c>
      <c r="C151" s="2" t="s">
        <v>8</v>
      </c>
      <c r="D151" s="2" t="s">
        <v>9</v>
      </c>
      <c r="E151" s="2" t="s">
        <v>10</v>
      </c>
      <c r="F151" s="2" t="s">
        <v>11</v>
      </c>
      <c r="G151" s="2" t="s">
        <v>12</v>
      </c>
      <c r="H151" s="2" t="s">
        <v>13</v>
      </c>
      <c r="I151" s="2" t="s">
        <v>14</v>
      </c>
      <c r="J151" s="2" t="s">
        <v>15</v>
      </c>
      <c r="K151" s="2" t="s">
        <v>16</v>
      </c>
      <c r="L151" s="2" t="s">
        <v>17</v>
      </c>
    </row>
    <row r="152" spans="1:12" x14ac:dyDescent="0.25">
      <c r="A152" s="3">
        <v>45691.260868055557</v>
      </c>
      <c r="B152" t="s">
        <v>31</v>
      </c>
      <c r="C152" s="3">
        <v>45691.263495370367</v>
      </c>
      <c r="D152" t="s">
        <v>31</v>
      </c>
      <c r="E152" s="4">
        <v>0.04</v>
      </c>
      <c r="F152" s="4">
        <v>511654.41499999998</v>
      </c>
      <c r="G152" s="4">
        <v>511654.45500000002</v>
      </c>
      <c r="H152" s="5">
        <f>139 / 86400</f>
        <v>1.6087962962962963E-3</v>
      </c>
      <c r="I152" t="s">
        <v>137</v>
      </c>
      <c r="J152" t="s">
        <v>62</v>
      </c>
      <c r="K152" s="5">
        <f>227 / 86400</f>
        <v>2.627314814814815E-3</v>
      </c>
      <c r="L152" s="5">
        <f>26498 / 86400</f>
        <v>0.30668981481481483</v>
      </c>
    </row>
    <row r="153" spans="1:12" x14ac:dyDescent="0.25">
      <c r="A153" s="3">
        <v>45691.309317129635</v>
      </c>
      <c r="B153" t="s">
        <v>31</v>
      </c>
      <c r="C153" s="3">
        <v>45691.310162037036</v>
      </c>
      <c r="D153" t="s">
        <v>31</v>
      </c>
      <c r="E153" s="4">
        <v>2.1000000000000001E-2</v>
      </c>
      <c r="F153" s="4">
        <v>511654.45500000002</v>
      </c>
      <c r="G153" s="4">
        <v>511654.47600000002</v>
      </c>
      <c r="H153" s="5">
        <f>20 / 86400</f>
        <v>2.3148148148148149E-4</v>
      </c>
      <c r="I153" t="s">
        <v>136</v>
      </c>
      <c r="J153" t="s">
        <v>62</v>
      </c>
      <c r="K153" s="5">
        <f>72 / 86400</f>
        <v>8.3333333333333339E-4</v>
      </c>
      <c r="L153" s="5">
        <f>49 / 86400</f>
        <v>5.6712962962962967E-4</v>
      </c>
    </row>
    <row r="154" spans="1:12" x14ac:dyDescent="0.25">
      <c r="A154" s="3">
        <v>45691.310729166667</v>
      </c>
      <c r="B154" t="s">
        <v>31</v>
      </c>
      <c r="C154" s="3">
        <v>45691.311678240745</v>
      </c>
      <c r="D154" t="s">
        <v>31</v>
      </c>
      <c r="E154" s="4">
        <v>1.9E-2</v>
      </c>
      <c r="F154" s="4">
        <v>511654.47600000002</v>
      </c>
      <c r="G154" s="4">
        <v>511654.495</v>
      </c>
      <c r="H154" s="5">
        <f>59 / 86400</f>
        <v>6.8287037037037036E-4</v>
      </c>
      <c r="I154" t="s">
        <v>62</v>
      </c>
      <c r="J154" t="s">
        <v>62</v>
      </c>
      <c r="K154" s="5">
        <f>82 / 86400</f>
        <v>9.4907407407407408E-4</v>
      </c>
      <c r="L154" s="5">
        <f>13442 / 86400</f>
        <v>0.15557870370370369</v>
      </c>
    </row>
    <row r="155" spans="1:12" x14ac:dyDescent="0.25">
      <c r="A155" s="3">
        <v>45691.467256944445</v>
      </c>
      <c r="B155" t="s">
        <v>31</v>
      </c>
      <c r="C155" s="3">
        <v>45691.467476851853</v>
      </c>
      <c r="D155" t="s">
        <v>31</v>
      </c>
      <c r="E155" s="4">
        <v>0</v>
      </c>
      <c r="F155" s="4">
        <v>511654.495</v>
      </c>
      <c r="G155" s="4">
        <v>511654.495</v>
      </c>
      <c r="H155" s="5">
        <f>0 / 86400</f>
        <v>0</v>
      </c>
      <c r="I155" t="s">
        <v>33</v>
      </c>
      <c r="J155" t="s">
        <v>33</v>
      </c>
      <c r="K155" s="5">
        <f>18 / 86400</f>
        <v>2.0833333333333335E-4</v>
      </c>
      <c r="L155" s="5">
        <f>28867 / 86400</f>
        <v>0.33410879629629631</v>
      </c>
    </row>
    <row r="156" spans="1:12" x14ac:dyDescent="0.25">
      <c r="A156" s="3">
        <v>45691.801585648151</v>
      </c>
      <c r="B156" t="s">
        <v>31</v>
      </c>
      <c r="C156" s="3">
        <v>45691.805439814816</v>
      </c>
      <c r="D156" t="s">
        <v>31</v>
      </c>
      <c r="E156" s="4">
        <v>0.03</v>
      </c>
      <c r="F156" s="4">
        <v>511654.495</v>
      </c>
      <c r="G156" s="4">
        <v>511654.52500000002</v>
      </c>
      <c r="H156" s="5">
        <f>299 / 86400</f>
        <v>3.460648148148148E-3</v>
      </c>
      <c r="I156" t="s">
        <v>62</v>
      </c>
      <c r="J156" t="s">
        <v>33</v>
      </c>
      <c r="K156" s="5">
        <f>332 / 86400</f>
        <v>3.8425925925925928E-3</v>
      </c>
      <c r="L156" s="5">
        <f>9730 / 86400</f>
        <v>0.11261574074074074</v>
      </c>
    </row>
    <row r="157" spans="1:12" x14ac:dyDescent="0.25">
      <c r="A157" s="3">
        <v>45691.91805555555</v>
      </c>
      <c r="B157" t="s">
        <v>31</v>
      </c>
      <c r="C157" s="3">
        <v>45691.921493055561</v>
      </c>
      <c r="D157" t="s">
        <v>31</v>
      </c>
      <c r="E157" s="4">
        <v>2.3E-2</v>
      </c>
      <c r="F157" s="4">
        <v>511654.52500000002</v>
      </c>
      <c r="G157" s="4">
        <v>511654.54800000001</v>
      </c>
      <c r="H157" s="5">
        <f>199 / 86400</f>
        <v>2.3032407407407407E-3</v>
      </c>
      <c r="I157" t="s">
        <v>32</v>
      </c>
      <c r="J157" t="s">
        <v>33</v>
      </c>
      <c r="K157" s="5">
        <f>297 / 86400</f>
        <v>3.4375E-3</v>
      </c>
      <c r="L157" s="5">
        <f>6782 / 86400</f>
        <v>7.8495370370370368E-2</v>
      </c>
    </row>
    <row r="158" spans="1:12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2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2" s="10" customFormat="1" ht="20.100000000000001" customHeight="1" x14ac:dyDescent="0.35">
      <c r="A160" s="12" t="s">
        <v>419</v>
      </c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1:12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2" ht="30" x14ac:dyDescent="0.25">
      <c r="A162" s="2" t="s">
        <v>6</v>
      </c>
      <c r="B162" s="2" t="s">
        <v>7</v>
      </c>
      <c r="C162" s="2" t="s">
        <v>8</v>
      </c>
      <c r="D162" s="2" t="s">
        <v>9</v>
      </c>
      <c r="E162" s="2" t="s">
        <v>10</v>
      </c>
      <c r="F162" s="2" t="s">
        <v>11</v>
      </c>
      <c r="G162" s="2" t="s">
        <v>12</v>
      </c>
      <c r="H162" s="2" t="s">
        <v>13</v>
      </c>
      <c r="I162" s="2" t="s">
        <v>14</v>
      </c>
      <c r="J162" s="2" t="s">
        <v>15</v>
      </c>
      <c r="K162" s="2" t="s">
        <v>16</v>
      </c>
      <c r="L162" s="2" t="s">
        <v>17</v>
      </c>
    </row>
    <row r="163" spans="1:12" x14ac:dyDescent="0.25">
      <c r="A163" s="3">
        <v>45691.228113425925</v>
      </c>
      <c r="B163" t="s">
        <v>28</v>
      </c>
      <c r="C163" s="3">
        <v>45691.461157407408</v>
      </c>
      <c r="D163" t="s">
        <v>127</v>
      </c>
      <c r="E163" s="4">
        <v>83.879000000000005</v>
      </c>
      <c r="F163" s="4">
        <v>90715.680999999997</v>
      </c>
      <c r="G163" s="4">
        <v>90799.56</v>
      </c>
      <c r="H163" s="5">
        <f>6701 / 86400</f>
        <v>7.7557870370370374E-2</v>
      </c>
      <c r="I163" t="s">
        <v>23</v>
      </c>
      <c r="J163" t="s">
        <v>30</v>
      </c>
      <c r="K163" s="5">
        <f>20135 / 86400</f>
        <v>0.23304398148148148</v>
      </c>
      <c r="L163" s="5">
        <f>19970 / 86400</f>
        <v>0.23113425925925926</v>
      </c>
    </row>
    <row r="164" spans="1:12" x14ac:dyDescent="0.25">
      <c r="A164" s="3">
        <v>45691.464178240742</v>
      </c>
      <c r="B164" t="s">
        <v>127</v>
      </c>
      <c r="C164" s="3">
        <v>45691.466238425928</v>
      </c>
      <c r="D164" t="s">
        <v>160</v>
      </c>
      <c r="E164" s="4">
        <v>0.66</v>
      </c>
      <c r="F164" s="4">
        <v>90799.56</v>
      </c>
      <c r="G164" s="4">
        <v>90800.22</v>
      </c>
      <c r="H164" s="5">
        <f>0 / 86400</f>
        <v>0</v>
      </c>
      <c r="I164" t="s">
        <v>120</v>
      </c>
      <c r="J164" t="s">
        <v>59</v>
      </c>
      <c r="K164" s="5">
        <f>178 / 86400</f>
        <v>2.0601851851851853E-3</v>
      </c>
      <c r="L164" s="5">
        <f>2188 / 86400</f>
        <v>2.5324074074074075E-2</v>
      </c>
    </row>
    <row r="165" spans="1:12" x14ac:dyDescent="0.25">
      <c r="A165" s="3">
        <v>45691.491562499999</v>
      </c>
      <c r="B165" t="s">
        <v>160</v>
      </c>
      <c r="C165" s="3">
        <v>45691.494328703702</v>
      </c>
      <c r="D165" t="s">
        <v>142</v>
      </c>
      <c r="E165" s="4">
        <v>0.69599999999999995</v>
      </c>
      <c r="F165" s="4">
        <v>90800.22</v>
      </c>
      <c r="G165" s="4">
        <v>90800.915999999997</v>
      </c>
      <c r="H165" s="5">
        <f>0 / 86400</f>
        <v>0</v>
      </c>
      <c r="I165" t="s">
        <v>135</v>
      </c>
      <c r="J165" t="s">
        <v>156</v>
      </c>
      <c r="K165" s="5">
        <f>239 / 86400</f>
        <v>2.7662037037037039E-3</v>
      </c>
      <c r="L165" s="5">
        <f>985 / 86400</f>
        <v>1.1400462962962963E-2</v>
      </c>
    </row>
    <row r="166" spans="1:12" x14ac:dyDescent="0.25">
      <c r="A166" s="3">
        <v>45691.505729166667</v>
      </c>
      <c r="B166" t="s">
        <v>142</v>
      </c>
      <c r="C166" s="3">
        <v>45691.621666666666</v>
      </c>
      <c r="D166" t="s">
        <v>161</v>
      </c>
      <c r="E166" s="4">
        <v>50.408999999999999</v>
      </c>
      <c r="F166" s="4">
        <v>90800.915999999997</v>
      </c>
      <c r="G166" s="4">
        <v>90851.324999999997</v>
      </c>
      <c r="H166" s="5">
        <f>2501 / 86400</f>
        <v>2.8946759259259259E-2</v>
      </c>
      <c r="I166" t="s">
        <v>29</v>
      </c>
      <c r="J166" t="s">
        <v>20</v>
      </c>
      <c r="K166" s="5">
        <f>10016 / 86400</f>
        <v>0.11592592592592593</v>
      </c>
      <c r="L166" s="5">
        <f>288 / 86400</f>
        <v>3.3333333333333335E-3</v>
      </c>
    </row>
    <row r="167" spans="1:12" x14ac:dyDescent="0.25">
      <c r="A167" s="3">
        <v>45691.625</v>
      </c>
      <c r="B167" t="s">
        <v>161</v>
      </c>
      <c r="C167" s="3">
        <v>45691.62605324074</v>
      </c>
      <c r="D167" t="s">
        <v>162</v>
      </c>
      <c r="E167" s="4">
        <v>0.127</v>
      </c>
      <c r="F167" s="4">
        <v>90851.324999999997</v>
      </c>
      <c r="G167" s="4">
        <v>90851.452000000005</v>
      </c>
      <c r="H167" s="5">
        <f>20 / 86400</f>
        <v>2.3148148148148149E-4</v>
      </c>
      <c r="I167" t="s">
        <v>155</v>
      </c>
      <c r="J167" t="s">
        <v>136</v>
      </c>
      <c r="K167" s="5">
        <f>91 / 86400</f>
        <v>1.0532407407407407E-3</v>
      </c>
      <c r="L167" s="5">
        <f>259 / 86400</f>
        <v>2.9976851851851853E-3</v>
      </c>
    </row>
    <row r="168" spans="1:12" x14ac:dyDescent="0.25">
      <c r="A168" s="3">
        <v>45691.629050925927</v>
      </c>
      <c r="B168" t="s">
        <v>162</v>
      </c>
      <c r="C168" s="3">
        <v>45691.726898148147</v>
      </c>
      <c r="D168" t="s">
        <v>163</v>
      </c>
      <c r="E168" s="4">
        <v>33.274999999999999</v>
      </c>
      <c r="F168" s="4">
        <v>90851.452000000005</v>
      </c>
      <c r="G168" s="4">
        <v>90884.726999999999</v>
      </c>
      <c r="H168" s="5">
        <f>2642 / 86400</f>
        <v>3.0578703703703705E-2</v>
      </c>
      <c r="I168" t="s">
        <v>164</v>
      </c>
      <c r="J168" t="s">
        <v>45</v>
      </c>
      <c r="K168" s="5">
        <f>8453 / 86400</f>
        <v>9.7835648148148144E-2</v>
      </c>
      <c r="L168" s="5">
        <f>128 / 86400</f>
        <v>1.4814814814814814E-3</v>
      </c>
    </row>
    <row r="169" spans="1:12" x14ac:dyDescent="0.25">
      <c r="A169" s="3">
        <v>45691.728379629625</v>
      </c>
      <c r="B169" t="s">
        <v>163</v>
      </c>
      <c r="C169" s="3">
        <v>45691.730115740742</v>
      </c>
      <c r="D169" t="s">
        <v>163</v>
      </c>
      <c r="E169" s="4">
        <v>0.53400000000000003</v>
      </c>
      <c r="F169" s="4">
        <v>90884.726999999999</v>
      </c>
      <c r="G169" s="4">
        <v>90885.260999999999</v>
      </c>
      <c r="H169" s="5">
        <f>19 / 86400</f>
        <v>2.199074074074074E-4</v>
      </c>
      <c r="I169" t="s">
        <v>165</v>
      </c>
      <c r="J169" t="s">
        <v>59</v>
      </c>
      <c r="K169" s="5">
        <f>150 / 86400</f>
        <v>1.736111111111111E-3</v>
      </c>
      <c r="L169" s="5">
        <f>725 / 86400</f>
        <v>8.3912037037037045E-3</v>
      </c>
    </row>
    <row r="170" spans="1:12" x14ac:dyDescent="0.25">
      <c r="A170" s="3">
        <v>45691.738506944443</v>
      </c>
      <c r="B170" t="s">
        <v>163</v>
      </c>
      <c r="C170" s="3">
        <v>45691.739131944443</v>
      </c>
      <c r="D170" t="s">
        <v>163</v>
      </c>
      <c r="E170" s="4">
        <v>0.184</v>
      </c>
      <c r="F170" s="4">
        <v>90885.260999999999</v>
      </c>
      <c r="G170" s="4">
        <v>90885.445000000007</v>
      </c>
      <c r="H170" s="5">
        <f>0 / 86400</f>
        <v>0</v>
      </c>
      <c r="I170" t="s">
        <v>70</v>
      </c>
      <c r="J170" t="s">
        <v>155</v>
      </c>
      <c r="K170" s="5">
        <f>53 / 86400</f>
        <v>6.134259259259259E-4</v>
      </c>
      <c r="L170" s="5">
        <f>265 / 86400</f>
        <v>3.0671296296296297E-3</v>
      </c>
    </row>
    <row r="171" spans="1:12" x14ac:dyDescent="0.25">
      <c r="A171" s="3">
        <v>45691.74219907407</v>
      </c>
      <c r="B171" t="s">
        <v>163</v>
      </c>
      <c r="C171" s="3">
        <v>45691.748113425929</v>
      </c>
      <c r="D171" t="s">
        <v>28</v>
      </c>
      <c r="E171" s="4">
        <v>0.45400000000000001</v>
      </c>
      <c r="F171" s="4">
        <v>90885.445000000007</v>
      </c>
      <c r="G171" s="4">
        <v>90885.899000000005</v>
      </c>
      <c r="H171" s="5">
        <f>300 / 86400</f>
        <v>3.472222222222222E-3</v>
      </c>
      <c r="I171" t="s">
        <v>35</v>
      </c>
      <c r="J171" t="s">
        <v>128</v>
      </c>
      <c r="K171" s="5">
        <f>510 / 86400</f>
        <v>5.9027777777777776E-3</v>
      </c>
      <c r="L171" s="5">
        <f>12999 / 86400</f>
        <v>0.1504513888888889</v>
      </c>
    </row>
    <row r="172" spans="1:12" x14ac:dyDescent="0.25">
      <c r="A172" s="3">
        <v>45691.898564814815</v>
      </c>
      <c r="B172" t="s">
        <v>28</v>
      </c>
      <c r="C172" s="3">
        <v>45691.899155092593</v>
      </c>
      <c r="D172" t="s">
        <v>28</v>
      </c>
      <c r="E172" s="4">
        <v>0</v>
      </c>
      <c r="F172" s="4">
        <v>90885.899000000005</v>
      </c>
      <c r="G172" s="4">
        <v>90885.899000000005</v>
      </c>
      <c r="H172" s="5">
        <f>39 / 86400</f>
        <v>4.5138888888888887E-4</v>
      </c>
      <c r="I172" t="s">
        <v>33</v>
      </c>
      <c r="J172" t="s">
        <v>33</v>
      </c>
      <c r="K172" s="5">
        <f>51 / 86400</f>
        <v>5.9027777777777778E-4</v>
      </c>
      <c r="L172" s="5">
        <f>8712 / 86400</f>
        <v>0.10083333333333333</v>
      </c>
    </row>
    <row r="173" spans="1:12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</row>
    <row r="174" spans="1:12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</row>
    <row r="175" spans="1:12" s="10" customFormat="1" ht="20.100000000000001" customHeight="1" x14ac:dyDescent="0.35">
      <c r="A175" s="12" t="s">
        <v>420</v>
      </c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1:12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</row>
    <row r="177" spans="1:12" ht="30" x14ac:dyDescent="0.25">
      <c r="A177" s="2" t="s">
        <v>6</v>
      </c>
      <c r="B177" s="2" t="s">
        <v>7</v>
      </c>
      <c r="C177" s="2" t="s">
        <v>8</v>
      </c>
      <c r="D177" s="2" t="s">
        <v>9</v>
      </c>
      <c r="E177" s="2" t="s">
        <v>10</v>
      </c>
      <c r="F177" s="2" t="s">
        <v>11</v>
      </c>
      <c r="G177" s="2" t="s">
        <v>12</v>
      </c>
      <c r="H177" s="2" t="s">
        <v>13</v>
      </c>
      <c r="I177" s="2" t="s">
        <v>14</v>
      </c>
      <c r="J177" s="2" t="s">
        <v>15</v>
      </c>
      <c r="K177" s="2" t="s">
        <v>16</v>
      </c>
      <c r="L177" s="2" t="s">
        <v>17</v>
      </c>
    </row>
    <row r="178" spans="1:12" x14ac:dyDescent="0.25">
      <c r="A178" s="3">
        <v>45691.173576388886</v>
      </c>
      <c r="B178" t="s">
        <v>18</v>
      </c>
      <c r="C178" s="3">
        <v>45691.200324074074</v>
      </c>
      <c r="D178" t="s">
        <v>166</v>
      </c>
      <c r="E178" s="4">
        <v>11.33</v>
      </c>
      <c r="F178" s="4">
        <v>135422.78200000001</v>
      </c>
      <c r="G178" s="4">
        <v>135434.11199999999</v>
      </c>
      <c r="H178" s="5">
        <f>919 / 86400</f>
        <v>1.0636574074074074E-2</v>
      </c>
      <c r="I178" t="s">
        <v>167</v>
      </c>
      <c r="J178" t="s">
        <v>20</v>
      </c>
      <c r="K178" s="5">
        <f>2311 / 86400</f>
        <v>2.6747685185185187E-2</v>
      </c>
      <c r="L178" s="5">
        <f>15563 / 86400</f>
        <v>0.18012731481481481</v>
      </c>
    </row>
    <row r="179" spans="1:12" x14ac:dyDescent="0.25">
      <c r="A179" s="3">
        <v>45691.206875000003</v>
      </c>
      <c r="B179" t="s">
        <v>166</v>
      </c>
      <c r="C179" s="3">
        <v>45691.221331018518</v>
      </c>
      <c r="D179" t="s">
        <v>168</v>
      </c>
      <c r="E179" s="4">
        <v>4.87</v>
      </c>
      <c r="F179" s="4">
        <v>135434.11199999999</v>
      </c>
      <c r="G179" s="4">
        <v>135438.98199999999</v>
      </c>
      <c r="H179" s="5">
        <f>160 / 86400</f>
        <v>1.8518518518518519E-3</v>
      </c>
      <c r="I179" t="s">
        <v>35</v>
      </c>
      <c r="J179" t="s">
        <v>45</v>
      </c>
      <c r="K179" s="5">
        <f>1248 / 86400</f>
        <v>1.4444444444444444E-2</v>
      </c>
      <c r="L179" s="5">
        <f>2569 / 86400</f>
        <v>2.9733796296296296E-2</v>
      </c>
    </row>
    <row r="180" spans="1:12" x14ac:dyDescent="0.25">
      <c r="A180" s="3">
        <v>45691.251064814816</v>
      </c>
      <c r="B180" t="s">
        <v>168</v>
      </c>
      <c r="C180" s="3">
        <v>45691.253101851849</v>
      </c>
      <c r="D180" t="s">
        <v>168</v>
      </c>
      <c r="E180" s="4">
        <v>0</v>
      </c>
      <c r="F180" s="4">
        <v>135438.98199999999</v>
      </c>
      <c r="G180" s="4">
        <v>135438.98199999999</v>
      </c>
      <c r="H180" s="5">
        <f>159 / 86400</f>
        <v>1.8402777777777777E-3</v>
      </c>
      <c r="I180" t="s">
        <v>33</v>
      </c>
      <c r="J180" t="s">
        <v>33</v>
      </c>
      <c r="K180" s="5">
        <f>176 / 86400</f>
        <v>2.0370370370370369E-3</v>
      </c>
      <c r="L180" s="5">
        <f>295 / 86400</f>
        <v>3.414351851851852E-3</v>
      </c>
    </row>
    <row r="181" spans="1:12" x14ac:dyDescent="0.25">
      <c r="A181" s="3">
        <v>45691.256516203706</v>
      </c>
      <c r="B181" t="s">
        <v>168</v>
      </c>
      <c r="C181" s="3">
        <v>45691.32</v>
      </c>
      <c r="D181" t="s">
        <v>119</v>
      </c>
      <c r="E181" s="4">
        <v>35.378</v>
      </c>
      <c r="F181" s="4">
        <v>135438.98199999999</v>
      </c>
      <c r="G181" s="4">
        <v>135474.35999999999</v>
      </c>
      <c r="H181" s="5">
        <f>1440 / 86400</f>
        <v>1.6666666666666666E-2</v>
      </c>
      <c r="I181" t="s">
        <v>169</v>
      </c>
      <c r="J181" t="s">
        <v>170</v>
      </c>
      <c r="K181" s="5">
        <f>5485 / 86400</f>
        <v>6.3483796296296302E-2</v>
      </c>
      <c r="L181" s="5">
        <f>36 / 86400</f>
        <v>4.1666666666666669E-4</v>
      </c>
    </row>
    <row r="182" spans="1:12" x14ac:dyDescent="0.25">
      <c r="A182" s="3">
        <v>45691.320416666669</v>
      </c>
      <c r="B182" t="s">
        <v>119</v>
      </c>
      <c r="C182" s="3">
        <v>45691.322141203702</v>
      </c>
      <c r="D182" t="s">
        <v>142</v>
      </c>
      <c r="E182" s="4">
        <v>0.45200000000000001</v>
      </c>
      <c r="F182" s="4">
        <v>135474.35999999999</v>
      </c>
      <c r="G182" s="4">
        <v>135474.81200000001</v>
      </c>
      <c r="H182" s="5">
        <f>20 / 86400</f>
        <v>2.3148148148148149E-4</v>
      </c>
      <c r="I182" t="s">
        <v>170</v>
      </c>
      <c r="J182" t="s">
        <v>140</v>
      </c>
      <c r="K182" s="5">
        <f>148 / 86400</f>
        <v>1.712962962962963E-3</v>
      </c>
      <c r="L182" s="5">
        <f>267 / 86400</f>
        <v>3.0902777777777777E-3</v>
      </c>
    </row>
    <row r="183" spans="1:12" x14ac:dyDescent="0.25">
      <c r="A183" s="3">
        <v>45691.325231481482</v>
      </c>
      <c r="B183" t="s">
        <v>142</v>
      </c>
      <c r="C183" s="3">
        <v>45691.407384259262</v>
      </c>
      <c r="D183" t="s">
        <v>171</v>
      </c>
      <c r="E183" s="4">
        <v>40.052</v>
      </c>
      <c r="F183" s="4">
        <v>135474.81200000001</v>
      </c>
      <c r="G183" s="4">
        <v>135514.864</v>
      </c>
      <c r="H183" s="5">
        <f>2238 / 86400</f>
        <v>2.5902777777777778E-2</v>
      </c>
      <c r="I183" t="s">
        <v>169</v>
      </c>
      <c r="J183" t="s">
        <v>75</v>
      </c>
      <c r="K183" s="5">
        <f>7097 / 86400</f>
        <v>8.2141203703703702E-2</v>
      </c>
      <c r="L183" s="5">
        <f>123 / 86400</f>
        <v>1.4236111111111112E-3</v>
      </c>
    </row>
    <row r="184" spans="1:12" x14ac:dyDescent="0.25">
      <c r="A184" s="3">
        <v>45691.408807870372</v>
      </c>
      <c r="B184" t="s">
        <v>171</v>
      </c>
      <c r="C184" s="3">
        <v>45691.480416666665</v>
      </c>
      <c r="D184" t="s">
        <v>144</v>
      </c>
      <c r="E184" s="4">
        <v>34.929000000000002</v>
      </c>
      <c r="F184" s="4">
        <v>135514.864</v>
      </c>
      <c r="G184" s="4">
        <v>135549.79300000001</v>
      </c>
      <c r="H184" s="5">
        <f>1560 / 86400</f>
        <v>1.8055555555555554E-2</v>
      </c>
      <c r="I184" t="s">
        <v>169</v>
      </c>
      <c r="J184" t="s">
        <v>75</v>
      </c>
      <c r="K184" s="5">
        <f>6187 / 86400</f>
        <v>7.1608796296296295E-2</v>
      </c>
      <c r="L184" s="5">
        <f>1584 / 86400</f>
        <v>1.8333333333333333E-2</v>
      </c>
    </row>
    <row r="185" spans="1:12" x14ac:dyDescent="0.25">
      <c r="A185" s="3">
        <v>45691.498749999999</v>
      </c>
      <c r="B185" t="s">
        <v>144</v>
      </c>
      <c r="C185" s="3">
        <v>45691.568229166667</v>
      </c>
      <c r="D185" t="s">
        <v>171</v>
      </c>
      <c r="E185" s="4">
        <v>35.220999999999997</v>
      </c>
      <c r="F185" s="4">
        <v>135549.79300000001</v>
      </c>
      <c r="G185" s="4">
        <v>135585.014</v>
      </c>
      <c r="H185" s="5">
        <f>1960 / 86400</f>
        <v>2.2685185185185187E-2</v>
      </c>
      <c r="I185" t="s">
        <v>34</v>
      </c>
      <c r="J185" t="s">
        <v>70</v>
      </c>
      <c r="K185" s="5">
        <f>6002 / 86400</f>
        <v>6.9467592592592595E-2</v>
      </c>
      <c r="L185" s="5">
        <f>151 / 86400</f>
        <v>1.7476851851851852E-3</v>
      </c>
    </row>
    <row r="186" spans="1:12" x14ac:dyDescent="0.25">
      <c r="A186" s="3">
        <v>45691.569976851853</v>
      </c>
      <c r="B186" t="s">
        <v>171</v>
      </c>
      <c r="C186" s="3">
        <v>45691.644143518519</v>
      </c>
      <c r="D186" t="s">
        <v>144</v>
      </c>
      <c r="E186" s="4">
        <v>34.875</v>
      </c>
      <c r="F186" s="4">
        <v>135585.014</v>
      </c>
      <c r="G186" s="4">
        <v>135619.889</v>
      </c>
      <c r="H186" s="5">
        <f>1181 / 86400</f>
        <v>1.3668981481481482E-2</v>
      </c>
      <c r="I186" t="s">
        <v>139</v>
      </c>
      <c r="J186" t="s">
        <v>75</v>
      </c>
      <c r="K186" s="5">
        <f>6408 / 86400</f>
        <v>7.4166666666666672E-2</v>
      </c>
      <c r="L186" s="5">
        <f>70 / 86400</f>
        <v>8.1018518518518516E-4</v>
      </c>
    </row>
    <row r="187" spans="1:12" x14ac:dyDescent="0.25">
      <c r="A187" s="3">
        <v>45691.644953703704</v>
      </c>
      <c r="B187" t="s">
        <v>144</v>
      </c>
      <c r="C187" s="3">
        <v>45691.645208333328</v>
      </c>
      <c r="D187" t="s">
        <v>144</v>
      </c>
      <c r="E187" s="4">
        <v>7.0000000000000001E-3</v>
      </c>
      <c r="F187" s="4">
        <v>135619.889</v>
      </c>
      <c r="G187" s="4">
        <v>135619.89600000001</v>
      </c>
      <c r="H187" s="5">
        <f>0 / 86400</f>
        <v>0</v>
      </c>
      <c r="I187" t="s">
        <v>137</v>
      </c>
      <c r="J187" t="s">
        <v>62</v>
      </c>
      <c r="K187" s="5">
        <f>22 / 86400</f>
        <v>2.5462962962962961E-4</v>
      </c>
      <c r="L187" s="5">
        <f>1391 / 86400</f>
        <v>1.6099537037037037E-2</v>
      </c>
    </row>
    <row r="188" spans="1:12" x14ac:dyDescent="0.25">
      <c r="A188" s="3">
        <v>45691.661307870367</v>
      </c>
      <c r="B188" t="s">
        <v>144</v>
      </c>
      <c r="C188" s="3">
        <v>45691.78162037037</v>
      </c>
      <c r="D188" t="s">
        <v>124</v>
      </c>
      <c r="E188" s="4">
        <v>42.207000000000001</v>
      </c>
      <c r="F188" s="4">
        <v>135619.89600000001</v>
      </c>
      <c r="G188" s="4">
        <v>135662.103</v>
      </c>
      <c r="H188" s="5">
        <f>4521 / 86400</f>
        <v>5.2326388888888888E-2</v>
      </c>
      <c r="I188" t="s">
        <v>34</v>
      </c>
      <c r="J188" t="s">
        <v>30</v>
      </c>
      <c r="K188" s="5">
        <f>10395 / 86400</f>
        <v>0.1203125</v>
      </c>
      <c r="L188" s="5">
        <f>784 / 86400</f>
        <v>9.0740740740740747E-3</v>
      </c>
    </row>
    <row r="189" spans="1:12" x14ac:dyDescent="0.25">
      <c r="A189" s="3">
        <v>45691.79069444444</v>
      </c>
      <c r="B189" t="s">
        <v>124</v>
      </c>
      <c r="C189" s="3">
        <v>45691.794710648144</v>
      </c>
      <c r="D189" t="s">
        <v>122</v>
      </c>
      <c r="E189" s="4">
        <v>0.755</v>
      </c>
      <c r="F189" s="4">
        <v>135662.103</v>
      </c>
      <c r="G189" s="4">
        <v>135662.85800000001</v>
      </c>
      <c r="H189" s="5">
        <f>179 / 86400</f>
        <v>2.0717592592592593E-3</v>
      </c>
      <c r="I189" t="s">
        <v>172</v>
      </c>
      <c r="J189" t="s">
        <v>151</v>
      </c>
      <c r="K189" s="5">
        <f>346 / 86400</f>
        <v>4.0046296296296297E-3</v>
      </c>
      <c r="L189" s="5">
        <f>236 / 86400</f>
        <v>2.7314814814814814E-3</v>
      </c>
    </row>
    <row r="190" spans="1:12" x14ac:dyDescent="0.25">
      <c r="A190" s="3">
        <v>45691.797442129631</v>
      </c>
      <c r="B190" t="s">
        <v>107</v>
      </c>
      <c r="C190" s="3">
        <v>45691.799155092594</v>
      </c>
      <c r="D190" t="s">
        <v>18</v>
      </c>
      <c r="E190" s="4">
        <v>0.51200000000000001</v>
      </c>
      <c r="F190" s="4">
        <v>135662.85800000001</v>
      </c>
      <c r="G190" s="4">
        <v>135663.37</v>
      </c>
      <c r="H190" s="5">
        <f>0 / 86400</f>
        <v>0</v>
      </c>
      <c r="I190" t="s">
        <v>135</v>
      </c>
      <c r="J190" t="s">
        <v>59</v>
      </c>
      <c r="K190" s="5">
        <f>147 / 86400</f>
        <v>1.7013888888888888E-3</v>
      </c>
      <c r="L190" s="5">
        <f>55 / 86400</f>
        <v>6.3657407407407413E-4</v>
      </c>
    </row>
    <row r="191" spans="1:12" x14ac:dyDescent="0.25">
      <c r="A191" s="3">
        <v>45691.799791666665</v>
      </c>
      <c r="B191" t="s">
        <v>18</v>
      </c>
      <c r="C191" s="3">
        <v>45691.800104166672</v>
      </c>
      <c r="D191" t="s">
        <v>18</v>
      </c>
      <c r="E191" s="4">
        <v>1.0999999999999999E-2</v>
      </c>
      <c r="F191" s="4">
        <v>135663.37</v>
      </c>
      <c r="G191" s="4">
        <v>135663.38099999999</v>
      </c>
      <c r="H191" s="5">
        <f>19 / 86400</f>
        <v>2.199074074074074E-4</v>
      </c>
      <c r="I191" t="s">
        <v>33</v>
      </c>
      <c r="J191" t="s">
        <v>62</v>
      </c>
      <c r="K191" s="5">
        <f>27 / 86400</f>
        <v>3.1250000000000001E-4</v>
      </c>
      <c r="L191" s="5">
        <f>48 / 86400</f>
        <v>5.5555555555555556E-4</v>
      </c>
    </row>
    <row r="192" spans="1:12" x14ac:dyDescent="0.25">
      <c r="A192" s="3">
        <v>45691.800659722227</v>
      </c>
      <c r="B192" t="s">
        <v>18</v>
      </c>
      <c r="C192" s="3">
        <v>45691.802141203705</v>
      </c>
      <c r="D192" t="s">
        <v>18</v>
      </c>
      <c r="E192" s="4">
        <v>5.0999999999999997E-2</v>
      </c>
      <c r="F192" s="4">
        <v>135663.38099999999</v>
      </c>
      <c r="G192" s="4">
        <v>135663.432</v>
      </c>
      <c r="H192" s="5">
        <f>100 / 86400</f>
        <v>1.1574074074074073E-3</v>
      </c>
      <c r="I192" t="s">
        <v>136</v>
      </c>
      <c r="J192" t="s">
        <v>62</v>
      </c>
      <c r="K192" s="5">
        <f>127 / 86400</f>
        <v>1.4699074074074074E-3</v>
      </c>
      <c r="L192" s="5">
        <f>17094 / 86400</f>
        <v>0.19784722222222223</v>
      </c>
    </row>
    <row r="193" spans="1:12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</row>
    <row r="194" spans="1:12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</row>
    <row r="195" spans="1:12" s="10" customFormat="1" ht="20.100000000000001" customHeight="1" x14ac:dyDescent="0.35">
      <c r="A195" s="12" t="s">
        <v>421</v>
      </c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1:12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</row>
    <row r="197" spans="1:12" ht="30" x14ac:dyDescent="0.25">
      <c r="A197" s="2" t="s">
        <v>6</v>
      </c>
      <c r="B197" s="2" t="s">
        <v>7</v>
      </c>
      <c r="C197" s="2" t="s">
        <v>8</v>
      </c>
      <c r="D197" s="2" t="s">
        <v>9</v>
      </c>
      <c r="E197" s="2" t="s">
        <v>10</v>
      </c>
      <c r="F197" s="2" t="s">
        <v>11</v>
      </c>
      <c r="G197" s="2" t="s">
        <v>12</v>
      </c>
      <c r="H197" s="2" t="s">
        <v>13</v>
      </c>
      <c r="I197" s="2" t="s">
        <v>14</v>
      </c>
      <c r="J197" s="2" t="s">
        <v>15</v>
      </c>
      <c r="K197" s="2" t="s">
        <v>16</v>
      </c>
      <c r="L197" s="2" t="s">
        <v>17</v>
      </c>
    </row>
    <row r="198" spans="1:12" x14ac:dyDescent="0.25">
      <c r="A198" s="3">
        <v>45691.211111111115</v>
      </c>
      <c r="B198" t="s">
        <v>36</v>
      </c>
      <c r="C198" s="3">
        <v>45691.213576388887</v>
      </c>
      <c r="D198" t="s">
        <v>173</v>
      </c>
      <c r="E198" s="4">
        <v>1.3926985743045808</v>
      </c>
      <c r="F198" s="4">
        <v>346229.16139117983</v>
      </c>
      <c r="G198" s="4">
        <v>346230.55408975418</v>
      </c>
      <c r="H198" s="5">
        <f t="shared" ref="H198:H261" si="0">0 / 86400</f>
        <v>0</v>
      </c>
      <c r="I198" t="s">
        <v>143</v>
      </c>
      <c r="J198" t="s">
        <v>135</v>
      </c>
      <c r="K198" s="5">
        <f>213 / 86400</f>
        <v>2.4652777777777776E-3</v>
      </c>
      <c r="L198" s="5">
        <f>18705 / 86400</f>
        <v>0.21649305555555556</v>
      </c>
    </row>
    <row r="199" spans="1:12" x14ac:dyDescent="0.25">
      <c r="A199" s="3">
        <v>45691.218958333338</v>
      </c>
      <c r="B199" t="s">
        <v>173</v>
      </c>
      <c r="C199" s="3">
        <v>45691.239791666667</v>
      </c>
      <c r="D199" t="s">
        <v>173</v>
      </c>
      <c r="E199" s="4">
        <v>6.1199383139610292E-3</v>
      </c>
      <c r="F199" s="4">
        <v>346230.56025472895</v>
      </c>
      <c r="G199" s="4">
        <v>346230.56637466728</v>
      </c>
      <c r="H199" s="5">
        <f t="shared" si="0"/>
        <v>0</v>
      </c>
      <c r="I199" t="s">
        <v>32</v>
      </c>
      <c r="J199" t="s">
        <v>33</v>
      </c>
      <c r="K199" s="5">
        <f>1800 / 86400</f>
        <v>2.0833333333333332E-2</v>
      </c>
      <c r="L199" s="5">
        <f>395 / 86400</f>
        <v>4.5717592592592589E-3</v>
      </c>
    </row>
    <row r="200" spans="1:12" x14ac:dyDescent="0.25">
      <c r="A200" s="3">
        <v>45691.244363425925</v>
      </c>
      <c r="B200" t="s">
        <v>173</v>
      </c>
      <c r="C200" s="3">
        <v>45691.245752314819</v>
      </c>
      <c r="D200" t="s">
        <v>174</v>
      </c>
      <c r="E200" s="4">
        <v>0.87768585550785061</v>
      </c>
      <c r="F200" s="4">
        <v>346230.57768256153</v>
      </c>
      <c r="G200" s="4">
        <v>346231.45536841702</v>
      </c>
      <c r="H200" s="5">
        <f t="shared" si="0"/>
        <v>0</v>
      </c>
      <c r="I200" t="s">
        <v>164</v>
      </c>
      <c r="J200" t="s">
        <v>172</v>
      </c>
      <c r="K200" s="5">
        <f>120 / 86400</f>
        <v>1.3888888888888889E-3</v>
      </c>
      <c r="L200" s="5">
        <f>40 / 86400</f>
        <v>4.6296296296296298E-4</v>
      </c>
    </row>
    <row r="201" spans="1:12" x14ac:dyDescent="0.25">
      <c r="A201" s="3">
        <v>45691.246215277773</v>
      </c>
      <c r="B201" t="s">
        <v>173</v>
      </c>
      <c r="C201" s="3">
        <v>45691.247835648144</v>
      </c>
      <c r="D201" t="s">
        <v>38</v>
      </c>
      <c r="E201" s="4">
        <v>1.2384061730504037</v>
      </c>
      <c r="F201" s="4">
        <v>346231.50942460506</v>
      </c>
      <c r="G201" s="4">
        <v>346232.74783077813</v>
      </c>
      <c r="H201" s="5">
        <f t="shared" si="0"/>
        <v>0</v>
      </c>
      <c r="I201" t="s">
        <v>175</v>
      </c>
      <c r="J201" t="s">
        <v>176</v>
      </c>
      <c r="K201" s="5">
        <f>140 / 86400</f>
        <v>1.6203703703703703E-3</v>
      </c>
      <c r="L201" s="5">
        <f>40 / 86400</f>
        <v>4.6296296296296298E-4</v>
      </c>
    </row>
    <row r="202" spans="1:12" x14ac:dyDescent="0.25">
      <c r="A202" s="3">
        <v>45691.248298611114</v>
      </c>
      <c r="B202" t="s">
        <v>38</v>
      </c>
      <c r="C202" s="3">
        <v>45691.248530092591</v>
      </c>
      <c r="D202" t="s">
        <v>177</v>
      </c>
      <c r="E202" s="4">
        <v>2.1030995666980742E-2</v>
      </c>
      <c r="F202" s="4">
        <v>346232.75484573923</v>
      </c>
      <c r="G202" s="4">
        <v>346232.77587673493</v>
      </c>
      <c r="H202" s="5">
        <f t="shared" si="0"/>
        <v>0</v>
      </c>
      <c r="I202" t="s">
        <v>137</v>
      </c>
      <c r="J202" t="s">
        <v>132</v>
      </c>
      <c r="K202" s="5">
        <f>20 / 86400</f>
        <v>2.3148148148148149E-4</v>
      </c>
      <c r="L202" s="5">
        <f>20 / 86400</f>
        <v>2.3148148148148149E-4</v>
      </c>
    </row>
    <row r="203" spans="1:12" x14ac:dyDescent="0.25">
      <c r="A203" s="3">
        <v>45691.248761574076</v>
      </c>
      <c r="B203" t="s">
        <v>178</v>
      </c>
      <c r="C203" s="3">
        <v>45691.251307870371</v>
      </c>
      <c r="D203" t="s">
        <v>38</v>
      </c>
      <c r="E203" s="4">
        <v>2.3899617852568626</v>
      </c>
      <c r="F203" s="4">
        <v>346232.9711267816</v>
      </c>
      <c r="G203" s="4">
        <v>346235.36108856683</v>
      </c>
      <c r="H203" s="5">
        <f t="shared" si="0"/>
        <v>0</v>
      </c>
      <c r="I203" t="s">
        <v>66</v>
      </c>
      <c r="J203" t="s">
        <v>179</v>
      </c>
      <c r="K203" s="5">
        <f>220 / 86400</f>
        <v>2.5462962962962965E-3</v>
      </c>
      <c r="L203" s="5">
        <f>20 / 86400</f>
        <v>2.3148148148148149E-4</v>
      </c>
    </row>
    <row r="204" spans="1:12" x14ac:dyDescent="0.25">
      <c r="A204" s="3">
        <v>45691.251539351855</v>
      </c>
      <c r="B204" t="s">
        <v>38</v>
      </c>
      <c r="C204" s="3">
        <v>45691.254965277782</v>
      </c>
      <c r="D204" t="s">
        <v>180</v>
      </c>
      <c r="E204" s="4">
        <v>1.2326303834915162</v>
      </c>
      <c r="F204" s="4">
        <v>346235.47469243541</v>
      </c>
      <c r="G204" s="4">
        <v>346236.70732281887</v>
      </c>
      <c r="H204" s="5">
        <f t="shared" si="0"/>
        <v>0</v>
      </c>
      <c r="I204" t="s">
        <v>181</v>
      </c>
      <c r="J204" t="s">
        <v>30</v>
      </c>
      <c r="K204" s="5">
        <f>296 / 86400</f>
        <v>3.425925925925926E-3</v>
      </c>
      <c r="L204" s="5">
        <f>37 / 86400</f>
        <v>4.2824074074074075E-4</v>
      </c>
    </row>
    <row r="205" spans="1:12" x14ac:dyDescent="0.25">
      <c r="A205" s="3">
        <v>45691.255393518513</v>
      </c>
      <c r="B205" t="s">
        <v>138</v>
      </c>
      <c r="C205" s="3">
        <v>45691.255671296298</v>
      </c>
      <c r="D205" t="s">
        <v>138</v>
      </c>
      <c r="E205" s="4">
        <v>1.7516247451305391E-2</v>
      </c>
      <c r="F205" s="4">
        <v>346236.72837609559</v>
      </c>
      <c r="G205" s="4">
        <v>346236.74589234305</v>
      </c>
      <c r="H205" s="5">
        <f t="shared" si="0"/>
        <v>0</v>
      </c>
      <c r="I205" t="s">
        <v>76</v>
      </c>
      <c r="J205" t="s">
        <v>128</v>
      </c>
      <c r="K205" s="5">
        <f>24 / 86400</f>
        <v>2.7777777777777778E-4</v>
      </c>
      <c r="L205" s="5">
        <f>23 / 86400</f>
        <v>2.6620370370370372E-4</v>
      </c>
    </row>
    <row r="206" spans="1:12" x14ac:dyDescent="0.25">
      <c r="A206" s="3">
        <v>45691.255937499998</v>
      </c>
      <c r="B206" t="s">
        <v>138</v>
      </c>
      <c r="C206" s="3">
        <v>45691.256863425922</v>
      </c>
      <c r="D206" t="s">
        <v>182</v>
      </c>
      <c r="E206" s="4">
        <v>0.40628322088718416</v>
      </c>
      <c r="F206" s="4">
        <v>346236.74948553898</v>
      </c>
      <c r="G206" s="4">
        <v>346237.15576875984</v>
      </c>
      <c r="H206" s="5">
        <f t="shared" si="0"/>
        <v>0</v>
      </c>
      <c r="I206" t="s">
        <v>139</v>
      </c>
      <c r="J206" t="s">
        <v>20</v>
      </c>
      <c r="K206" s="5">
        <f>80 / 86400</f>
        <v>9.2592592592592596E-4</v>
      </c>
      <c r="L206" s="5">
        <f>60 / 86400</f>
        <v>6.9444444444444447E-4</v>
      </c>
    </row>
    <row r="207" spans="1:12" x14ac:dyDescent="0.25">
      <c r="A207" s="3">
        <v>45691.257557870369</v>
      </c>
      <c r="B207" t="s">
        <v>182</v>
      </c>
      <c r="C207" s="3">
        <v>45691.258020833338</v>
      </c>
      <c r="D207" t="s">
        <v>182</v>
      </c>
      <c r="E207" s="4">
        <v>0.34123805749416353</v>
      </c>
      <c r="F207" s="4">
        <v>346237.17344703176</v>
      </c>
      <c r="G207" s="4">
        <v>346237.51468508923</v>
      </c>
      <c r="H207" s="5">
        <f t="shared" si="0"/>
        <v>0</v>
      </c>
      <c r="I207" t="s">
        <v>183</v>
      </c>
      <c r="J207" t="s">
        <v>61</v>
      </c>
      <c r="K207" s="5">
        <f>40 / 86400</f>
        <v>4.6296296296296298E-4</v>
      </c>
      <c r="L207" s="5">
        <f>20 / 86400</f>
        <v>2.3148148148148149E-4</v>
      </c>
    </row>
    <row r="208" spans="1:12" x14ac:dyDescent="0.25">
      <c r="A208" s="3">
        <v>45691.258252314816</v>
      </c>
      <c r="B208" t="s">
        <v>182</v>
      </c>
      <c r="C208" s="3">
        <v>45691.259872685187</v>
      </c>
      <c r="D208" t="s">
        <v>184</v>
      </c>
      <c r="E208" s="4">
        <v>1.5123374626636505</v>
      </c>
      <c r="F208" s="4">
        <v>346237.71641613019</v>
      </c>
      <c r="G208" s="4">
        <v>346239.22875359288</v>
      </c>
      <c r="H208" s="5">
        <f t="shared" si="0"/>
        <v>0</v>
      </c>
      <c r="I208" t="s">
        <v>39</v>
      </c>
      <c r="J208" t="s">
        <v>179</v>
      </c>
      <c r="K208" s="5">
        <f>140 / 86400</f>
        <v>1.6203703703703703E-3</v>
      </c>
      <c r="L208" s="5">
        <f>20 / 86400</f>
        <v>2.3148148148148149E-4</v>
      </c>
    </row>
    <row r="209" spans="1:12" x14ac:dyDescent="0.25">
      <c r="A209" s="3">
        <v>45691.260104166664</v>
      </c>
      <c r="B209" t="s">
        <v>184</v>
      </c>
      <c r="C209" s="3">
        <v>45691.260798611111</v>
      </c>
      <c r="D209" t="s">
        <v>185</v>
      </c>
      <c r="E209" s="4">
        <v>0.68959427309036259</v>
      </c>
      <c r="F209" s="4">
        <v>346239.25695783674</v>
      </c>
      <c r="G209" s="4">
        <v>346239.94655210985</v>
      </c>
      <c r="H209" s="5">
        <f t="shared" si="0"/>
        <v>0</v>
      </c>
      <c r="I209" t="s">
        <v>39</v>
      </c>
      <c r="J209" t="s">
        <v>186</v>
      </c>
      <c r="K209" s="5">
        <f>60 / 86400</f>
        <v>6.9444444444444447E-4</v>
      </c>
      <c r="L209" s="5">
        <f>20 / 86400</f>
        <v>2.3148148148148149E-4</v>
      </c>
    </row>
    <row r="210" spans="1:12" x14ac:dyDescent="0.25">
      <c r="A210" s="3">
        <v>45691.261030092588</v>
      </c>
      <c r="B210" t="s">
        <v>185</v>
      </c>
      <c r="C210" s="3">
        <v>45691.261261574073</v>
      </c>
      <c r="D210" t="s">
        <v>185</v>
      </c>
      <c r="E210" s="4">
        <v>1.5523123741149902E-3</v>
      </c>
      <c r="F210" s="4">
        <v>346239.94836477702</v>
      </c>
      <c r="G210" s="4">
        <v>346239.94991708943</v>
      </c>
      <c r="H210" s="5">
        <f t="shared" si="0"/>
        <v>0</v>
      </c>
      <c r="I210" t="s">
        <v>62</v>
      </c>
      <c r="J210" t="s">
        <v>33</v>
      </c>
      <c r="K210" s="5">
        <f>20 / 86400</f>
        <v>2.3148148148148149E-4</v>
      </c>
      <c r="L210" s="5">
        <f>20 / 86400</f>
        <v>2.3148148148148149E-4</v>
      </c>
    </row>
    <row r="211" spans="1:12" x14ac:dyDescent="0.25">
      <c r="A211" s="3">
        <v>45691.261493055557</v>
      </c>
      <c r="B211" t="s">
        <v>185</v>
      </c>
      <c r="C211" s="3">
        <v>45691.262187500004</v>
      </c>
      <c r="D211" t="s">
        <v>185</v>
      </c>
      <c r="E211" s="4">
        <v>4.4993779540061951E-2</v>
      </c>
      <c r="F211" s="4">
        <v>346239.96791624575</v>
      </c>
      <c r="G211" s="4">
        <v>346240.01291002531</v>
      </c>
      <c r="H211" s="5">
        <f t="shared" si="0"/>
        <v>0</v>
      </c>
      <c r="I211" t="s">
        <v>32</v>
      </c>
      <c r="J211" t="s">
        <v>128</v>
      </c>
      <c r="K211" s="5">
        <f>60 / 86400</f>
        <v>6.9444444444444447E-4</v>
      </c>
      <c r="L211" s="5">
        <f>13 / 86400</f>
        <v>1.5046296296296297E-4</v>
      </c>
    </row>
    <row r="212" spans="1:12" x14ac:dyDescent="0.25">
      <c r="A212" s="3">
        <v>45691.262337962966</v>
      </c>
      <c r="B212" t="s">
        <v>185</v>
      </c>
      <c r="C212" s="3">
        <v>45691.263726851852</v>
      </c>
      <c r="D212" t="s">
        <v>185</v>
      </c>
      <c r="E212" s="4">
        <v>0.90135596328973766</v>
      </c>
      <c r="F212" s="4">
        <v>346240.0235850123</v>
      </c>
      <c r="G212" s="4">
        <v>346240.92494097562</v>
      </c>
      <c r="H212" s="5">
        <f t="shared" si="0"/>
        <v>0</v>
      </c>
      <c r="I212" t="s">
        <v>183</v>
      </c>
      <c r="J212" t="s">
        <v>131</v>
      </c>
      <c r="K212" s="5">
        <f>120 / 86400</f>
        <v>1.3888888888888889E-3</v>
      </c>
      <c r="L212" s="5">
        <f>20 / 86400</f>
        <v>2.3148148148148149E-4</v>
      </c>
    </row>
    <row r="213" spans="1:12" x14ac:dyDescent="0.25">
      <c r="A213" s="3">
        <v>45691.263958333337</v>
      </c>
      <c r="B213" t="s">
        <v>185</v>
      </c>
      <c r="C213" s="3">
        <v>45691.266041666662</v>
      </c>
      <c r="D213" t="s">
        <v>71</v>
      </c>
      <c r="E213" s="4">
        <v>1.9321462771892548</v>
      </c>
      <c r="F213" s="4">
        <v>346240.93427824695</v>
      </c>
      <c r="G213" s="4">
        <v>346242.86642452411</v>
      </c>
      <c r="H213" s="5">
        <f t="shared" si="0"/>
        <v>0</v>
      </c>
      <c r="I213" t="s">
        <v>187</v>
      </c>
      <c r="J213" t="s">
        <v>179</v>
      </c>
      <c r="K213" s="5">
        <f>180 / 86400</f>
        <v>2.0833333333333333E-3</v>
      </c>
      <c r="L213" s="5">
        <f>9 / 86400</f>
        <v>1.0416666666666667E-4</v>
      </c>
    </row>
    <row r="214" spans="1:12" x14ac:dyDescent="0.25">
      <c r="A214" s="3">
        <v>45691.266145833331</v>
      </c>
      <c r="B214" t="s">
        <v>71</v>
      </c>
      <c r="C214" s="3">
        <v>45691.266840277778</v>
      </c>
      <c r="D214" t="s">
        <v>71</v>
      </c>
      <c r="E214" s="4">
        <v>0.80307091176509859</v>
      </c>
      <c r="F214" s="4">
        <v>346242.87844517466</v>
      </c>
      <c r="G214" s="4">
        <v>346243.68151608639</v>
      </c>
      <c r="H214" s="5">
        <f t="shared" si="0"/>
        <v>0</v>
      </c>
      <c r="I214" t="s">
        <v>175</v>
      </c>
      <c r="J214" t="s">
        <v>188</v>
      </c>
      <c r="K214" s="5">
        <f>60 / 86400</f>
        <v>6.9444444444444447E-4</v>
      </c>
      <c r="L214" s="5">
        <f>20 / 86400</f>
        <v>2.3148148148148149E-4</v>
      </c>
    </row>
    <row r="215" spans="1:12" x14ac:dyDescent="0.25">
      <c r="A215" s="3">
        <v>45691.267071759255</v>
      </c>
      <c r="B215" t="s">
        <v>71</v>
      </c>
      <c r="C215" s="3">
        <v>45691.268229166672</v>
      </c>
      <c r="D215" t="s">
        <v>71</v>
      </c>
      <c r="E215" s="4">
        <v>0.42097717142105101</v>
      </c>
      <c r="F215" s="4">
        <v>346243.87151906756</v>
      </c>
      <c r="G215" s="4">
        <v>346244.29249623901</v>
      </c>
      <c r="H215" s="5">
        <f t="shared" si="0"/>
        <v>0</v>
      </c>
      <c r="I215" t="s">
        <v>189</v>
      </c>
      <c r="J215" t="s">
        <v>30</v>
      </c>
      <c r="K215" s="5">
        <f>100 / 86400</f>
        <v>1.1574074074074073E-3</v>
      </c>
      <c r="L215" s="5">
        <f>7 / 86400</f>
        <v>8.1018518518518516E-5</v>
      </c>
    </row>
    <row r="216" spans="1:12" x14ac:dyDescent="0.25">
      <c r="A216" s="3">
        <v>45691.268310185187</v>
      </c>
      <c r="B216" t="s">
        <v>71</v>
      </c>
      <c r="C216" s="3">
        <v>45691.268773148149</v>
      </c>
      <c r="D216" t="s">
        <v>71</v>
      </c>
      <c r="E216" s="4">
        <v>7.4246273756027228E-2</v>
      </c>
      <c r="F216" s="4">
        <v>346244.29615280201</v>
      </c>
      <c r="G216" s="4">
        <v>346244.37039907573</v>
      </c>
      <c r="H216" s="5">
        <f t="shared" si="0"/>
        <v>0</v>
      </c>
      <c r="I216" t="s">
        <v>140</v>
      </c>
      <c r="J216" t="s">
        <v>76</v>
      </c>
      <c r="K216" s="5">
        <f>40 / 86400</f>
        <v>4.6296296296296298E-4</v>
      </c>
      <c r="L216" s="5">
        <f>20 / 86400</f>
        <v>2.3148148148148149E-4</v>
      </c>
    </row>
    <row r="217" spans="1:12" x14ac:dyDescent="0.25">
      <c r="A217" s="3">
        <v>45691.269004629634</v>
      </c>
      <c r="B217" t="s">
        <v>71</v>
      </c>
      <c r="C217" s="3">
        <v>45691.269236111111</v>
      </c>
      <c r="D217" t="s">
        <v>71</v>
      </c>
      <c r="E217" s="4">
        <v>2.2471302211284638E-2</v>
      </c>
      <c r="F217" s="4">
        <v>346244.4115074735</v>
      </c>
      <c r="G217" s="4">
        <v>346244.43397877575</v>
      </c>
      <c r="H217" s="5">
        <f t="shared" si="0"/>
        <v>0</v>
      </c>
      <c r="I217" t="s">
        <v>32</v>
      </c>
      <c r="J217" t="s">
        <v>132</v>
      </c>
      <c r="K217" s="5">
        <f>20 / 86400</f>
        <v>2.3148148148148149E-4</v>
      </c>
      <c r="L217" s="5">
        <f>20 / 86400</f>
        <v>2.3148148148148149E-4</v>
      </c>
    </row>
    <row r="218" spans="1:12" x14ac:dyDescent="0.25">
      <c r="A218" s="3">
        <v>45691.269467592589</v>
      </c>
      <c r="B218" t="s">
        <v>71</v>
      </c>
      <c r="C218" s="3">
        <v>45691.269699074073</v>
      </c>
      <c r="D218" t="s">
        <v>71</v>
      </c>
      <c r="E218" s="4">
        <v>2.0566481351852418E-3</v>
      </c>
      <c r="F218" s="4">
        <v>346244.44065680174</v>
      </c>
      <c r="G218" s="4">
        <v>346244.44271344988</v>
      </c>
      <c r="H218" s="5">
        <f t="shared" si="0"/>
        <v>0</v>
      </c>
      <c r="I218" t="s">
        <v>137</v>
      </c>
      <c r="J218" t="s">
        <v>33</v>
      </c>
      <c r="K218" s="5">
        <f>20 / 86400</f>
        <v>2.3148148148148149E-4</v>
      </c>
      <c r="L218" s="5">
        <f>20 / 86400</f>
        <v>2.3148148148148149E-4</v>
      </c>
    </row>
    <row r="219" spans="1:12" x14ac:dyDescent="0.25">
      <c r="A219" s="3">
        <v>45691.269930555558</v>
      </c>
      <c r="B219" t="s">
        <v>71</v>
      </c>
      <c r="C219" s="3">
        <v>45691.270856481482</v>
      </c>
      <c r="D219" t="s">
        <v>190</v>
      </c>
      <c r="E219" s="4">
        <v>0.13445103389024735</v>
      </c>
      <c r="F219" s="4">
        <v>346244.45300204179</v>
      </c>
      <c r="G219" s="4">
        <v>346244.58745307568</v>
      </c>
      <c r="H219" s="5">
        <f t="shared" si="0"/>
        <v>0</v>
      </c>
      <c r="I219" t="s">
        <v>140</v>
      </c>
      <c r="J219" t="s">
        <v>32</v>
      </c>
      <c r="K219" s="5">
        <f>80 / 86400</f>
        <v>9.2592592592592596E-4</v>
      </c>
      <c r="L219" s="5">
        <f>43 / 86400</f>
        <v>4.9768518518518521E-4</v>
      </c>
    </row>
    <row r="220" spans="1:12" x14ac:dyDescent="0.25">
      <c r="A220" s="3">
        <v>45691.271354166667</v>
      </c>
      <c r="B220" t="s">
        <v>190</v>
      </c>
      <c r="C220" s="3">
        <v>45691.282858796301</v>
      </c>
      <c r="D220" t="s">
        <v>191</v>
      </c>
      <c r="E220" s="4">
        <v>6.7257216838598248</v>
      </c>
      <c r="F220" s="4">
        <v>346244.60074845899</v>
      </c>
      <c r="G220" s="4">
        <v>346251.32647014281</v>
      </c>
      <c r="H220" s="5">
        <f t="shared" si="0"/>
        <v>0</v>
      </c>
      <c r="I220" t="s">
        <v>95</v>
      </c>
      <c r="J220" t="s">
        <v>135</v>
      </c>
      <c r="K220" s="5">
        <f>994 / 86400</f>
        <v>1.150462962962963E-2</v>
      </c>
      <c r="L220" s="5">
        <f>20 / 86400</f>
        <v>2.3148148148148149E-4</v>
      </c>
    </row>
    <row r="221" spans="1:12" x14ac:dyDescent="0.25">
      <c r="A221" s="3">
        <v>45691.283090277779</v>
      </c>
      <c r="B221" t="s">
        <v>191</v>
      </c>
      <c r="C221" s="3">
        <v>45691.28633101852</v>
      </c>
      <c r="D221" t="s">
        <v>192</v>
      </c>
      <c r="E221" s="4">
        <v>1.8012861894965171</v>
      </c>
      <c r="F221" s="4">
        <v>346251.35097650421</v>
      </c>
      <c r="G221" s="4">
        <v>346253.15226269368</v>
      </c>
      <c r="H221" s="5">
        <f t="shared" si="0"/>
        <v>0</v>
      </c>
      <c r="I221" t="s">
        <v>188</v>
      </c>
      <c r="J221" t="s">
        <v>170</v>
      </c>
      <c r="K221" s="5">
        <f>280 / 86400</f>
        <v>3.2407407407407406E-3</v>
      </c>
      <c r="L221" s="5">
        <f>20 / 86400</f>
        <v>2.3148148148148149E-4</v>
      </c>
    </row>
    <row r="222" spans="1:12" x14ac:dyDescent="0.25">
      <c r="A222" s="3">
        <v>45691.286562499998</v>
      </c>
      <c r="B222" t="s">
        <v>192</v>
      </c>
      <c r="C222" s="3">
        <v>45691.287719907406</v>
      </c>
      <c r="D222" t="s">
        <v>193</v>
      </c>
      <c r="E222" s="4">
        <v>0.62431108421087267</v>
      </c>
      <c r="F222" s="4">
        <v>346253.31612601405</v>
      </c>
      <c r="G222" s="4">
        <v>346253.94043709827</v>
      </c>
      <c r="H222" s="5">
        <f t="shared" si="0"/>
        <v>0</v>
      </c>
      <c r="I222" t="s">
        <v>194</v>
      </c>
      <c r="J222" t="s">
        <v>24</v>
      </c>
      <c r="K222" s="5">
        <f>100 / 86400</f>
        <v>1.1574074074074073E-3</v>
      </c>
      <c r="L222" s="5">
        <f>40 / 86400</f>
        <v>4.6296296296296298E-4</v>
      </c>
    </row>
    <row r="223" spans="1:12" x14ac:dyDescent="0.25">
      <c r="A223" s="3">
        <v>45691.288182870368</v>
      </c>
      <c r="B223" t="s">
        <v>193</v>
      </c>
      <c r="C223" s="3">
        <v>45691.288645833338</v>
      </c>
      <c r="D223" t="s">
        <v>195</v>
      </c>
      <c r="E223" s="4">
        <v>0.31524389249086382</v>
      </c>
      <c r="F223" s="4">
        <v>346253.97007123288</v>
      </c>
      <c r="G223" s="4">
        <v>346254.28531512537</v>
      </c>
      <c r="H223" s="5">
        <f t="shared" si="0"/>
        <v>0</v>
      </c>
      <c r="I223" t="s">
        <v>158</v>
      </c>
      <c r="J223" t="s">
        <v>196</v>
      </c>
      <c r="K223" s="5">
        <f>40 / 86400</f>
        <v>4.6296296296296298E-4</v>
      </c>
      <c r="L223" s="5">
        <f>20 / 86400</f>
        <v>2.3148148148148149E-4</v>
      </c>
    </row>
    <row r="224" spans="1:12" x14ac:dyDescent="0.25">
      <c r="A224" s="3">
        <v>45691.288877314815</v>
      </c>
      <c r="B224" t="s">
        <v>195</v>
      </c>
      <c r="C224" s="3">
        <v>45691.289108796293</v>
      </c>
      <c r="D224" t="s">
        <v>195</v>
      </c>
      <c r="E224" s="4">
        <v>5.8378539502620695E-2</v>
      </c>
      <c r="F224" s="4">
        <v>346254.39456372388</v>
      </c>
      <c r="G224" s="4">
        <v>346254.45294226339</v>
      </c>
      <c r="H224" s="5">
        <f t="shared" si="0"/>
        <v>0</v>
      </c>
      <c r="I224" t="s">
        <v>88</v>
      </c>
      <c r="J224" t="s">
        <v>140</v>
      </c>
      <c r="K224" s="5">
        <f>20 / 86400</f>
        <v>2.3148148148148149E-4</v>
      </c>
      <c r="L224" s="5">
        <f>40 / 86400</f>
        <v>4.6296296296296298E-4</v>
      </c>
    </row>
    <row r="225" spans="1:12" x14ac:dyDescent="0.25">
      <c r="A225" s="3">
        <v>45691.289571759262</v>
      </c>
      <c r="B225" t="s">
        <v>195</v>
      </c>
      <c r="C225" s="3">
        <v>45691.291412037041</v>
      </c>
      <c r="D225" t="s">
        <v>166</v>
      </c>
      <c r="E225" s="4">
        <v>0.86505448430776599</v>
      </c>
      <c r="F225" s="4">
        <v>346254.59914851555</v>
      </c>
      <c r="G225" s="4">
        <v>346255.46420299989</v>
      </c>
      <c r="H225" s="5">
        <f t="shared" si="0"/>
        <v>0</v>
      </c>
      <c r="I225" t="s">
        <v>197</v>
      </c>
      <c r="J225" t="s">
        <v>75</v>
      </c>
      <c r="K225" s="5">
        <f>159 / 86400</f>
        <v>1.8402777777777777E-3</v>
      </c>
      <c r="L225" s="5">
        <f>16 / 86400</f>
        <v>1.8518518518518518E-4</v>
      </c>
    </row>
    <row r="226" spans="1:12" x14ac:dyDescent="0.25">
      <c r="A226" s="3">
        <v>45691.291597222225</v>
      </c>
      <c r="B226" t="s">
        <v>166</v>
      </c>
      <c r="C226" s="3">
        <v>45691.294930555552</v>
      </c>
      <c r="D226" t="s">
        <v>198</v>
      </c>
      <c r="E226" s="4">
        <v>1.6008077817559243</v>
      </c>
      <c r="F226" s="4">
        <v>346255.47575359466</v>
      </c>
      <c r="G226" s="4">
        <v>346257.07656137639</v>
      </c>
      <c r="H226" s="5">
        <f t="shared" si="0"/>
        <v>0</v>
      </c>
      <c r="I226" t="s">
        <v>199</v>
      </c>
      <c r="J226" t="s">
        <v>75</v>
      </c>
      <c r="K226" s="5">
        <f>288 / 86400</f>
        <v>3.3333333333333335E-3</v>
      </c>
      <c r="L226" s="5">
        <f>20 / 86400</f>
        <v>2.3148148148148149E-4</v>
      </c>
    </row>
    <row r="227" spans="1:12" x14ac:dyDescent="0.25">
      <c r="A227" s="3">
        <v>45691.295162037037</v>
      </c>
      <c r="B227" t="s">
        <v>200</v>
      </c>
      <c r="C227" s="3">
        <v>45691.295624999999</v>
      </c>
      <c r="D227" t="s">
        <v>198</v>
      </c>
      <c r="E227" s="4">
        <v>9.5212089180946355E-2</v>
      </c>
      <c r="F227" s="4">
        <v>346257.08983005193</v>
      </c>
      <c r="G227" s="4">
        <v>346257.18504214112</v>
      </c>
      <c r="H227" s="5">
        <f t="shared" si="0"/>
        <v>0</v>
      </c>
      <c r="I227" t="s">
        <v>140</v>
      </c>
      <c r="J227" t="s">
        <v>79</v>
      </c>
      <c r="K227" s="5">
        <f>40 / 86400</f>
        <v>4.6296296296296298E-4</v>
      </c>
      <c r="L227" s="5">
        <f>10 / 86400</f>
        <v>1.1574074074074075E-4</v>
      </c>
    </row>
    <row r="228" spans="1:12" x14ac:dyDescent="0.25">
      <c r="A228" s="3">
        <v>45691.295740740738</v>
      </c>
      <c r="B228" t="s">
        <v>198</v>
      </c>
      <c r="C228" s="3">
        <v>45691.296168981484</v>
      </c>
      <c r="D228" t="s">
        <v>201</v>
      </c>
      <c r="E228" s="4">
        <v>9.3361967802047738E-3</v>
      </c>
      <c r="F228" s="4">
        <v>346257.19215949171</v>
      </c>
      <c r="G228" s="4">
        <v>346257.20149568853</v>
      </c>
      <c r="H228" s="5">
        <f t="shared" si="0"/>
        <v>0</v>
      </c>
      <c r="I228" t="s">
        <v>76</v>
      </c>
      <c r="J228" t="s">
        <v>62</v>
      </c>
      <c r="K228" s="5">
        <f>37 / 86400</f>
        <v>4.2824074074074075E-4</v>
      </c>
      <c r="L228" s="5">
        <f>42 / 86400</f>
        <v>4.861111111111111E-4</v>
      </c>
    </row>
    <row r="229" spans="1:12" x14ac:dyDescent="0.25">
      <c r="A229" s="3">
        <v>45691.296655092592</v>
      </c>
      <c r="B229" t="s">
        <v>202</v>
      </c>
      <c r="C229" s="3">
        <v>45691.298379629632</v>
      </c>
      <c r="D229" t="s">
        <v>171</v>
      </c>
      <c r="E229" s="4">
        <v>0.84583451169729229</v>
      </c>
      <c r="F229" s="4">
        <v>346257.22477259755</v>
      </c>
      <c r="G229" s="4">
        <v>346258.07060710923</v>
      </c>
      <c r="H229" s="5">
        <f t="shared" si="0"/>
        <v>0</v>
      </c>
      <c r="I229" t="s">
        <v>203</v>
      </c>
      <c r="J229" t="s">
        <v>75</v>
      </c>
      <c r="K229" s="5">
        <f>149 / 86400</f>
        <v>1.724537037037037E-3</v>
      </c>
      <c r="L229" s="5">
        <f>20 / 86400</f>
        <v>2.3148148148148149E-4</v>
      </c>
    </row>
    <row r="230" spans="1:12" x14ac:dyDescent="0.25">
      <c r="A230" s="3">
        <v>45691.298611111109</v>
      </c>
      <c r="B230" t="s">
        <v>171</v>
      </c>
      <c r="C230" s="3">
        <v>45691.301354166666</v>
      </c>
      <c r="D230" t="s">
        <v>204</v>
      </c>
      <c r="E230" s="4">
        <v>1.6193532155156136</v>
      </c>
      <c r="F230" s="4">
        <v>346258.29309114756</v>
      </c>
      <c r="G230" s="4">
        <v>346259.91244436306</v>
      </c>
      <c r="H230" s="5">
        <f t="shared" si="0"/>
        <v>0</v>
      </c>
      <c r="I230" t="s">
        <v>164</v>
      </c>
      <c r="J230" t="s">
        <v>120</v>
      </c>
      <c r="K230" s="5">
        <f>237 / 86400</f>
        <v>2.7430555555555554E-3</v>
      </c>
      <c r="L230" s="5">
        <f>3 / 86400</f>
        <v>3.4722222222222222E-5</v>
      </c>
    </row>
    <row r="231" spans="1:12" x14ac:dyDescent="0.25">
      <c r="A231" s="3">
        <v>45691.301388888889</v>
      </c>
      <c r="B231" t="s">
        <v>204</v>
      </c>
      <c r="C231" s="3">
        <v>45691.30804398148</v>
      </c>
      <c r="D231" t="s">
        <v>205</v>
      </c>
      <c r="E231" s="4">
        <v>2.5059018518924714</v>
      </c>
      <c r="F231" s="4">
        <v>346260.01486858306</v>
      </c>
      <c r="G231" s="4">
        <v>346262.52077043499</v>
      </c>
      <c r="H231" s="5">
        <f t="shared" si="0"/>
        <v>0</v>
      </c>
      <c r="I231" t="s">
        <v>194</v>
      </c>
      <c r="J231" t="s">
        <v>40</v>
      </c>
      <c r="K231" s="5">
        <f>575 / 86400</f>
        <v>6.6550925925925927E-3</v>
      </c>
      <c r="L231" s="5">
        <f>20 / 86400</f>
        <v>2.3148148148148149E-4</v>
      </c>
    </row>
    <row r="232" spans="1:12" x14ac:dyDescent="0.25">
      <c r="A232" s="3">
        <v>45691.308275462958</v>
      </c>
      <c r="B232" t="s">
        <v>205</v>
      </c>
      <c r="C232" s="3">
        <v>45691.309733796297</v>
      </c>
      <c r="D232" t="s">
        <v>206</v>
      </c>
      <c r="E232" s="4">
        <v>0.70304156851768496</v>
      </c>
      <c r="F232" s="4">
        <v>346262.52135369735</v>
      </c>
      <c r="G232" s="4">
        <v>346263.22439526586</v>
      </c>
      <c r="H232" s="5">
        <f t="shared" si="0"/>
        <v>0</v>
      </c>
      <c r="I232" t="s">
        <v>194</v>
      </c>
      <c r="J232" t="s">
        <v>75</v>
      </c>
      <c r="K232" s="5">
        <f>126 / 86400</f>
        <v>1.4583333333333334E-3</v>
      </c>
      <c r="L232" s="5">
        <f>20 / 86400</f>
        <v>2.3148148148148149E-4</v>
      </c>
    </row>
    <row r="233" spans="1:12" x14ac:dyDescent="0.25">
      <c r="A233" s="3">
        <v>45691.309965277775</v>
      </c>
      <c r="B233" t="s">
        <v>207</v>
      </c>
      <c r="C233" s="3">
        <v>45691.310196759259</v>
      </c>
      <c r="D233" t="s">
        <v>207</v>
      </c>
      <c r="E233" s="4">
        <v>0</v>
      </c>
      <c r="F233" s="4">
        <v>346263.27041800367</v>
      </c>
      <c r="G233" s="4">
        <v>346263.27041800367</v>
      </c>
      <c r="H233" s="5">
        <f t="shared" si="0"/>
        <v>0</v>
      </c>
      <c r="I233" t="s">
        <v>76</v>
      </c>
      <c r="J233" t="s">
        <v>33</v>
      </c>
      <c r="K233" s="5">
        <f>20 / 86400</f>
        <v>2.3148148148148149E-4</v>
      </c>
      <c r="L233" s="5">
        <f>84 / 86400</f>
        <v>9.7222222222222219E-4</v>
      </c>
    </row>
    <row r="234" spans="1:12" x14ac:dyDescent="0.25">
      <c r="A234" s="3">
        <v>45691.311168981483</v>
      </c>
      <c r="B234" t="s">
        <v>208</v>
      </c>
      <c r="C234" s="3">
        <v>45691.313460648147</v>
      </c>
      <c r="D234" t="s">
        <v>209</v>
      </c>
      <c r="E234" s="4">
        <v>0.58543907880783086</v>
      </c>
      <c r="F234" s="4">
        <v>346263.32538266142</v>
      </c>
      <c r="G234" s="4">
        <v>346263.91082174022</v>
      </c>
      <c r="H234" s="5">
        <f t="shared" si="0"/>
        <v>0</v>
      </c>
      <c r="I234" t="s">
        <v>176</v>
      </c>
      <c r="J234" t="s">
        <v>140</v>
      </c>
      <c r="K234" s="5">
        <f>198 / 86400</f>
        <v>2.2916666666666667E-3</v>
      </c>
      <c r="L234" s="5">
        <f>56 / 86400</f>
        <v>6.4814814814814813E-4</v>
      </c>
    </row>
    <row r="235" spans="1:12" x14ac:dyDescent="0.25">
      <c r="A235" s="3">
        <v>45691.314108796301</v>
      </c>
      <c r="B235" t="s">
        <v>209</v>
      </c>
      <c r="C235" s="3">
        <v>45691.317511574074</v>
      </c>
      <c r="D235" t="s">
        <v>210</v>
      </c>
      <c r="E235" s="4">
        <v>1.9994857082366944</v>
      </c>
      <c r="F235" s="4">
        <v>346263.91485516139</v>
      </c>
      <c r="G235" s="4">
        <v>346265.91434086958</v>
      </c>
      <c r="H235" s="5">
        <f t="shared" si="0"/>
        <v>0</v>
      </c>
      <c r="I235" t="s">
        <v>211</v>
      </c>
      <c r="J235" t="s">
        <v>135</v>
      </c>
      <c r="K235" s="5">
        <f>294 / 86400</f>
        <v>3.4027777777777776E-3</v>
      </c>
      <c r="L235" s="5">
        <f>29 / 86400</f>
        <v>3.3564814814814812E-4</v>
      </c>
    </row>
    <row r="236" spans="1:12" x14ac:dyDescent="0.25">
      <c r="A236" s="3">
        <v>45691.317847222221</v>
      </c>
      <c r="B236" t="s">
        <v>212</v>
      </c>
      <c r="C236" s="3">
        <v>45691.320115740746</v>
      </c>
      <c r="D236" t="s">
        <v>213</v>
      </c>
      <c r="E236" s="4">
        <v>0.66144108402729029</v>
      </c>
      <c r="F236" s="4">
        <v>346266.06906723022</v>
      </c>
      <c r="G236" s="4">
        <v>346266.73050831427</v>
      </c>
      <c r="H236" s="5">
        <f t="shared" si="0"/>
        <v>0</v>
      </c>
      <c r="I236" t="s">
        <v>61</v>
      </c>
      <c r="J236" t="s">
        <v>155</v>
      </c>
      <c r="K236" s="5">
        <f>196 / 86400</f>
        <v>2.2685185185185187E-3</v>
      </c>
      <c r="L236" s="5">
        <f>52 / 86400</f>
        <v>6.018518518518519E-4</v>
      </c>
    </row>
    <row r="237" spans="1:12" x14ac:dyDescent="0.25">
      <c r="A237" s="3">
        <v>45691.320717592593</v>
      </c>
      <c r="B237" t="s">
        <v>214</v>
      </c>
      <c r="C237" s="3">
        <v>45691.32094907407</v>
      </c>
      <c r="D237" t="s">
        <v>214</v>
      </c>
      <c r="E237" s="4">
        <v>4.1521571695804595E-2</v>
      </c>
      <c r="F237" s="4">
        <v>346266.76805960672</v>
      </c>
      <c r="G237" s="4">
        <v>346266.80958117842</v>
      </c>
      <c r="H237" s="5">
        <f t="shared" si="0"/>
        <v>0</v>
      </c>
      <c r="I237" t="s">
        <v>140</v>
      </c>
      <c r="J237" t="s">
        <v>76</v>
      </c>
      <c r="K237" s="5">
        <f>20 / 86400</f>
        <v>2.3148148148148149E-4</v>
      </c>
      <c r="L237" s="5">
        <f>74 / 86400</f>
        <v>8.564814814814815E-4</v>
      </c>
    </row>
    <row r="238" spans="1:12" x14ac:dyDescent="0.25">
      <c r="A238" s="3">
        <v>45691.321805555555</v>
      </c>
      <c r="B238" t="s">
        <v>214</v>
      </c>
      <c r="C238" s="3">
        <v>45691.323738425926</v>
      </c>
      <c r="D238" t="s">
        <v>215</v>
      </c>
      <c r="E238" s="4">
        <v>0.32106526523828505</v>
      </c>
      <c r="F238" s="4">
        <v>346266.82698823966</v>
      </c>
      <c r="G238" s="4">
        <v>346267.14805350488</v>
      </c>
      <c r="H238" s="5">
        <f t="shared" si="0"/>
        <v>0</v>
      </c>
      <c r="I238" t="s">
        <v>120</v>
      </c>
      <c r="J238" t="s">
        <v>76</v>
      </c>
      <c r="K238" s="5">
        <f>167 / 86400</f>
        <v>1.9328703703703704E-3</v>
      </c>
      <c r="L238" s="5">
        <f>12 / 86400</f>
        <v>1.3888888888888889E-4</v>
      </c>
    </row>
    <row r="239" spans="1:12" x14ac:dyDescent="0.25">
      <c r="A239" s="3">
        <v>45691.323877314819</v>
      </c>
      <c r="B239" t="s">
        <v>215</v>
      </c>
      <c r="C239" s="3">
        <v>45691.324537037042</v>
      </c>
      <c r="D239" t="s">
        <v>216</v>
      </c>
      <c r="E239" s="4">
        <v>0.27875318664312365</v>
      </c>
      <c r="F239" s="4">
        <v>346267.14960567059</v>
      </c>
      <c r="G239" s="4">
        <v>346267.42835885723</v>
      </c>
      <c r="H239" s="5">
        <f t="shared" si="0"/>
        <v>0</v>
      </c>
      <c r="I239" t="s">
        <v>170</v>
      </c>
      <c r="J239" t="s">
        <v>20</v>
      </c>
      <c r="K239" s="5">
        <f>57 / 86400</f>
        <v>6.5972222222222224E-4</v>
      </c>
      <c r="L239" s="5">
        <f>39 / 86400</f>
        <v>4.5138888888888887E-4</v>
      </c>
    </row>
    <row r="240" spans="1:12" x14ac:dyDescent="0.25">
      <c r="A240" s="3">
        <v>45691.324988425928</v>
      </c>
      <c r="B240" t="s">
        <v>216</v>
      </c>
      <c r="C240" s="3">
        <v>45691.327002314814</v>
      </c>
      <c r="D240" t="s">
        <v>217</v>
      </c>
      <c r="E240" s="4">
        <v>0.53972120642662047</v>
      </c>
      <c r="F240" s="4">
        <v>346267.44834761886</v>
      </c>
      <c r="G240" s="4">
        <v>346267.98806882533</v>
      </c>
      <c r="H240" s="5">
        <f t="shared" si="0"/>
        <v>0</v>
      </c>
      <c r="I240" t="s">
        <v>179</v>
      </c>
      <c r="J240" t="s">
        <v>140</v>
      </c>
      <c r="K240" s="5">
        <f>174 / 86400</f>
        <v>2.0138888888888888E-3</v>
      </c>
      <c r="L240" s="5">
        <f>17 / 86400</f>
        <v>1.9675925925925926E-4</v>
      </c>
    </row>
    <row r="241" spans="1:12" x14ac:dyDescent="0.25">
      <c r="A241" s="3">
        <v>45691.327199074076</v>
      </c>
      <c r="B241" t="s">
        <v>218</v>
      </c>
      <c r="C241" s="3">
        <v>45691.327685185184</v>
      </c>
      <c r="D241" t="s">
        <v>218</v>
      </c>
      <c r="E241" s="4">
        <v>2.5369599461555481E-2</v>
      </c>
      <c r="F241" s="4">
        <v>346268.00443234638</v>
      </c>
      <c r="G241" s="4">
        <v>346268.02980194584</v>
      </c>
      <c r="H241" s="5">
        <f t="shared" si="0"/>
        <v>0</v>
      </c>
      <c r="I241" t="s">
        <v>40</v>
      </c>
      <c r="J241" t="s">
        <v>137</v>
      </c>
      <c r="K241" s="5">
        <f>42 / 86400</f>
        <v>4.861111111111111E-4</v>
      </c>
      <c r="L241" s="5">
        <f>11 / 86400</f>
        <v>1.273148148148148E-4</v>
      </c>
    </row>
    <row r="242" spans="1:12" x14ac:dyDescent="0.25">
      <c r="A242" s="3">
        <v>45691.3278125</v>
      </c>
      <c r="B242" t="s">
        <v>219</v>
      </c>
      <c r="C242" s="3">
        <v>45691.32885416667</v>
      </c>
      <c r="D242" t="s">
        <v>220</v>
      </c>
      <c r="E242" s="4">
        <v>0.32324830424785617</v>
      </c>
      <c r="F242" s="4">
        <v>346268.42245703592</v>
      </c>
      <c r="G242" s="4">
        <v>346268.74570534017</v>
      </c>
      <c r="H242" s="5">
        <f t="shared" si="0"/>
        <v>0</v>
      </c>
      <c r="I242" t="s">
        <v>20</v>
      </c>
      <c r="J242" t="s">
        <v>59</v>
      </c>
      <c r="K242" s="5">
        <f>90 / 86400</f>
        <v>1.0416666666666667E-3</v>
      </c>
      <c r="L242" s="5">
        <f>60 / 86400</f>
        <v>6.9444444444444447E-4</v>
      </c>
    </row>
    <row r="243" spans="1:12" x14ac:dyDescent="0.25">
      <c r="A243" s="3">
        <v>45691.329548611116</v>
      </c>
      <c r="B243" t="s">
        <v>220</v>
      </c>
      <c r="C243" s="3">
        <v>45691.330011574071</v>
      </c>
      <c r="D243" t="s">
        <v>221</v>
      </c>
      <c r="E243" s="4">
        <v>5.9168729782104494E-3</v>
      </c>
      <c r="F243" s="4">
        <v>346268.75449008303</v>
      </c>
      <c r="G243" s="4">
        <v>346268.76040695602</v>
      </c>
      <c r="H243" s="5">
        <f t="shared" si="0"/>
        <v>0</v>
      </c>
      <c r="I243" t="s">
        <v>137</v>
      </c>
      <c r="J243" t="s">
        <v>62</v>
      </c>
      <c r="K243" s="5">
        <f>40 / 86400</f>
        <v>4.6296296296296298E-4</v>
      </c>
      <c r="L243" s="5">
        <f>160 / 86400</f>
        <v>1.8518518518518519E-3</v>
      </c>
    </row>
    <row r="244" spans="1:12" x14ac:dyDescent="0.25">
      <c r="A244" s="3">
        <v>45691.331863425927</v>
      </c>
      <c r="B244" t="s">
        <v>222</v>
      </c>
      <c r="C244" s="3">
        <v>45691.332094907411</v>
      </c>
      <c r="D244" t="s">
        <v>222</v>
      </c>
      <c r="E244" s="4">
        <v>1.8710060000419616E-2</v>
      </c>
      <c r="F244" s="4">
        <v>346268.80512345722</v>
      </c>
      <c r="G244" s="4">
        <v>346268.82383351721</v>
      </c>
      <c r="H244" s="5">
        <f t="shared" si="0"/>
        <v>0</v>
      </c>
      <c r="I244" t="s">
        <v>128</v>
      </c>
      <c r="J244" t="s">
        <v>128</v>
      </c>
      <c r="K244" s="5">
        <f>20 / 86400</f>
        <v>2.3148148148148149E-4</v>
      </c>
      <c r="L244" s="5">
        <f>140 / 86400</f>
        <v>1.6203703703703703E-3</v>
      </c>
    </row>
    <row r="245" spans="1:12" x14ac:dyDescent="0.25">
      <c r="A245" s="3">
        <v>45691.333715277782</v>
      </c>
      <c r="B245" t="s">
        <v>222</v>
      </c>
      <c r="C245" s="3">
        <v>45691.33394675926</v>
      </c>
      <c r="D245" t="s">
        <v>222</v>
      </c>
      <c r="E245" s="4">
        <v>3.7132970690727232E-3</v>
      </c>
      <c r="F245" s="4">
        <v>346268.87753120682</v>
      </c>
      <c r="G245" s="4">
        <v>346268.88124450389</v>
      </c>
      <c r="H245" s="5">
        <f t="shared" si="0"/>
        <v>0</v>
      </c>
      <c r="I245" t="s">
        <v>62</v>
      </c>
      <c r="J245" t="s">
        <v>62</v>
      </c>
      <c r="K245" s="5">
        <f>20 / 86400</f>
        <v>2.3148148148148149E-4</v>
      </c>
      <c r="L245" s="5">
        <f>20 / 86400</f>
        <v>2.3148148148148149E-4</v>
      </c>
    </row>
    <row r="246" spans="1:12" x14ac:dyDescent="0.25">
      <c r="A246" s="3">
        <v>45691.334178240737</v>
      </c>
      <c r="B246" t="s">
        <v>222</v>
      </c>
      <c r="C246" s="3">
        <v>45691.335972222223</v>
      </c>
      <c r="D246" t="s">
        <v>223</v>
      </c>
      <c r="E246" s="4">
        <v>0.22914450454711915</v>
      </c>
      <c r="F246" s="4">
        <v>346268.88655642909</v>
      </c>
      <c r="G246" s="4">
        <v>346269.11570093362</v>
      </c>
      <c r="H246" s="5">
        <f t="shared" si="0"/>
        <v>0</v>
      </c>
      <c r="I246" t="s">
        <v>155</v>
      </c>
      <c r="J246" t="s">
        <v>136</v>
      </c>
      <c r="K246" s="5">
        <f>155 / 86400</f>
        <v>1.7939814814814815E-3</v>
      </c>
      <c r="L246" s="5">
        <f>6 / 86400</f>
        <v>6.9444444444444444E-5</v>
      </c>
    </row>
    <row r="247" spans="1:12" x14ac:dyDescent="0.25">
      <c r="A247" s="3">
        <v>45691.336041666669</v>
      </c>
      <c r="B247" t="s">
        <v>224</v>
      </c>
      <c r="C247" s="3">
        <v>45691.336655092593</v>
      </c>
      <c r="D247" t="s">
        <v>121</v>
      </c>
      <c r="E247" s="4">
        <v>0.10918112075328827</v>
      </c>
      <c r="F247" s="4">
        <v>346269.12973364303</v>
      </c>
      <c r="G247" s="4">
        <v>346269.23891476379</v>
      </c>
      <c r="H247" s="5">
        <f t="shared" si="0"/>
        <v>0</v>
      </c>
      <c r="I247" t="s">
        <v>151</v>
      </c>
      <c r="J247" t="s">
        <v>76</v>
      </c>
      <c r="K247" s="5">
        <f>53 / 86400</f>
        <v>6.134259259259259E-4</v>
      </c>
      <c r="L247" s="5">
        <f>6 / 86400</f>
        <v>6.9444444444444444E-5</v>
      </c>
    </row>
    <row r="248" spans="1:12" x14ac:dyDescent="0.25">
      <c r="A248" s="3">
        <v>45691.336724537032</v>
      </c>
      <c r="B248" t="s">
        <v>225</v>
      </c>
      <c r="C248" s="3">
        <v>45691.337650462963</v>
      </c>
      <c r="D248" t="s">
        <v>226</v>
      </c>
      <c r="E248" s="4">
        <v>0.19602693760395051</v>
      </c>
      <c r="F248" s="4">
        <v>346269.25950164982</v>
      </c>
      <c r="G248" s="4">
        <v>346269.45552858739</v>
      </c>
      <c r="H248" s="5">
        <f t="shared" si="0"/>
        <v>0</v>
      </c>
      <c r="I248" t="s">
        <v>120</v>
      </c>
      <c r="J248" t="s">
        <v>79</v>
      </c>
      <c r="K248" s="5">
        <f>80 / 86400</f>
        <v>9.2592592592592596E-4</v>
      </c>
      <c r="L248" s="5">
        <f>60 / 86400</f>
        <v>6.9444444444444447E-4</v>
      </c>
    </row>
    <row r="249" spans="1:12" x14ac:dyDescent="0.25">
      <c r="A249" s="3">
        <v>45691.338344907403</v>
      </c>
      <c r="B249" t="s">
        <v>227</v>
      </c>
      <c r="C249" s="3">
        <v>45691.339745370366</v>
      </c>
      <c r="D249" t="s">
        <v>228</v>
      </c>
      <c r="E249" s="4">
        <v>0.33076518708467484</v>
      </c>
      <c r="F249" s="4">
        <v>346269.54528728616</v>
      </c>
      <c r="G249" s="4">
        <v>346269.87605247326</v>
      </c>
      <c r="H249" s="5">
        <f t="shared" si="0"/>
        <v>0</v>
      </c>
      <c r="I249" t="s">
        <v>30</v>
      </c>
      <c r="J249" t="s">
        <v>156</v>
      </c>
      <c r="K249" s="5">
        <f>121 / 86400</f>
        <v>1.4004629629629629E-3</v>
      </c>
      <c r="L249" s="5">
        <f>2 / 86400</f>
        <v>2.3148148148148147E-5</v>
      </c>
    </row>
    <row r="250" spans="1:12" x14ac:dyDescent="0.25">
      <c r="A250" s="3">
        <v>45691.339768518519</v>
      </c>
      <c r="B250" t="s">
        <v>229</v>
      </c>
      <c r="C250" s="3">
        <v>45691.34101851852</v>
      </c>
      <c r="D250" t="s">
        <v>230</v>
      </c>
      <c r="E250" s="4">
        <v>0.32167695426940918</v>
      </c>
      <c r="F250" s="4">
        <v>346269.88032415608</v>
      </c>
      <c r="G250" s="4">
        <v>346270.20200111036</v>
      </c>
      <c r="H250" s="5">
        <f t="shared" si="0"/>
        <v>0</v>
      </c>
      <c r="I250" t="s">
        <v>47</v>
      </c>
      <c r="J250" t="s">
        <v>140</v>
      </c>
      <c r="K250" s="5">
        <f>108 / 86400</f>
        <v>1.25E-3</v>
      </c>
      <c r="L250" s="5">
        <f>6 / 86400</f>
        <v>6.9444444444444444E-5</v>
      </c>
    </row>
    <row r="251" spans="1:12" x14ac:dyDescent="0.25">
      <c r="A251" s="3">
        <v>45691.341087962966</v>
      </c>
      <c r="B251" t="s">
        <v>230</v>
      </c>
      <c r="C251" s="3">
        <v>45691.343159722222</v>
      </c>
      <c r="D251" t="s">
        <v>231</v>
      </c>
      <c r="E251" s="4">
        <v>0.74539619660377499</v>
      </c>
      <c r="F251" s="4">
        <v>346270.20500597253</v>
      </c>
      <c r="G251" s="4">
        <v>346270.95040216908</v>
      </c>
      <c r="H251" s="5">
        <f t="shared" si="0"/>
        <v>0</v>
      </c>
      <c r="I251" t="s">
        <v>120</v>
      </c>
      <c r="J251" t="s">
        <v>30</v>
      </c>
      <c r="K251" s="5">
        <f>179 / 86400</f>
        <v>2.0717592592592593E-3</v>
      </c>
      <c r="L251" s="5">
        <f>60 / 86400</f>
        <v>6.9444444444444447E-4</v>
      </c>
    </row>
    <row r="252" spans="1:12" x14ac:dyDescent="0.25">
      <c r="A252" s="3">
        <v>45691.343854166669</v>
      </c>
      <c r="B252" t="s">
        <v>232</v>
      </c>
      <c r="C252" s="3">
        <v>45691.344085648147</v>
      </c>
      <c r="D252" t="s">
        <v>232</v>
      </c>
      <c r="E252" s="4">
        <v>0</v>
      </c>
      <c r="F252" s="4">
        <v>346271.05337842263</v>
      </c>
      <c r="G252" s="4">
        <v>346271.05337842263</v>
      </c>
      <c r="H252" s="5">
        <f t="shared" si="0"/>
        <v>0</v>
      </c>
      <c r="I252" t="s">
        <v>35</v>
      </c>
      <c r="J252" t="s">
        <v>33</v>
      </c>
      <c r="K252" s="5">
        <f>20 / 86400</f>
        <v>2.3148148148148149E-4</v>
      </c>
      <c r="L252" s="5">
        <f>270 / 86400</f>
        <v>3.1250000000000002E-3</v>
      </c>
    </row>
    <row r="253" spans="1:12" x14ac:dyDescent="0.25">
      <c r="A253" s="3">
        <v>45691.347210648149</v>
      </c>
      <c r="B253" t="s">
        <v>233</v>
      </c>
      <c r="C253" s="3">
        <v>45691.348136574074</v>
      </c>
      <c r="D253" t="s">
        <v>234</v>
      </c>
      <c r="E253" s="4">
        <v>0.23212319946289062</v>
      </c>
      <c r="F253" s="4">
        <v>346271.30845928751</v>
      </c>
      <c r="G253" s="4">
        <v>346271.54058248701</v>
      </c>
      <c r="H253" s="5">
        <f t="shared" si="0"/>
        <v>0</v>
      </c>
      <c r="I253" t="s">
        <v>47</v>
      </c>
      <c r="J253" t="s">
        <v>156</v>
      </c>
      <c r="K253" s="5">
        <f>80 / 86400</f>
        <v>9.2592592592592596E-4</v>
      </c>
      <c r="L253" s="5">
        <f>36 / 86400</f>
        <v>4.1666666666666669E-4</v>
      </c>
    </row>
    <row r="254" spans="1:12" x14ac:dyDescent="0.25">
      <c r="A254" s="3">
        <v>45691.348553240736</v>
      </c>
      <c r="B254" t="s">
        <v>234</v>
      </c>
      <c r="C254" s="3">
        <v>45691.349942129629</v>
      </c>
      <c r="D254" t="s">
        <v>235</v>
      </c>
      <c r="E254" s="4">
        <v>0.23473125559091568</v>
      </c>
      <c r="F254" s="4">
        <v>346271.61515162024</v>
      </c>
      <c r="G254" s="4">
        <v>346271.8498828758</v>
      </c>
      <c r="H254" s="5">
        <f t="shared" si="0"/>
        <v>0</v>
      </c>
      <c r="I254" t="s">
        <v>35</v>
      </c>
      <c r="J254" t="s">
        <v>76</v>
      </c>
      <c r="K254" s="5">
        <f>120 / 86400</f>
        <v>1.3888888888888889E-3</v>
      </c>
      <c r="L254" s="5">
        <f>16 / 86400</f>
        <v>1.8518518518518518E-4</v>
      </c>
    </row>
    <row r="255" spans="1:12" x14ac:dyDescent="0.25">
      <c r="A255" s="3">
        <v>45691.350127314814</v>
      </c>
      <c r="B255" t="s">
        <v>235</v>
      </c>
      <c r="C255" s="3">
        <v>45691.350590277776</v>
      </c>
      <c r="D255" t="s">
        <v>236</v>
      </c>
      <c r="E255" s="4">
        <v>6.4429375171661377E-2</v>
      </c>
      <c r="F255" s="4">
        <v>346271.86316680489</v>
      </c>
      <c r="G255" s="4">
        <v>346271.92759618006</v>
      </c>
      <c r="H255" s="5">
        <f t="shared" si="0"/>
        <v>0</v>
      </c>
      <c r="I255" t="s">
        <v>136</v>
      </c>
      <c r="J255" t="s">
        <v>32</v>
      </c>
      <c r="K255" s="5">
        <f>40 / 86400</f>
        <v>4.6296296296296298E-4</v>
      </c>
      <c r="L255" s="5">
        <f>40 / 86400</f>
        <v>4.6296296296296298E-4</v>
      </c>
    </row>
    <row r="256" spans="1:12" x14ac:dyDescent="0.25">
      <c r="A256" s="3">
        <v>45691.351053240738</v>
      </c>
      <c r="B256" t="s">
        <v>236</v>
      </c>
      <c r="C256" s="3">
        <v>45691.3518287037</v>
      </c>
      <c r="D256" t="s">
        <v>237</v>
      </c>
      <c r="E256" s="4">
        <v>0.43961918520927429</v>
      </c>
      <c r="F256" s="4">
        <v>346271.95374183269</v>
      </c>
      <c r="G256" s="4">
        <v>346272.39336101786</v>
      </c>
      <c r="H256" s="5">
        <f t="shared" si="0"/>
        <v>0</v>
      </c>
      <c r="I256" t="s">
        <v>181</v>
      </c>
      <c r="J256" t="s">
        <v>135</v>
      </c>
      <c r="K256" s="5">
        <f>67 / 86400</f>
        <v>7.7546296296296293E-4</v>
      </c>
      <c r="L256" s="5">
        <f>47 / 86400</f>
        <v>5.4398148148148144E-4</v>
      </c>
    </row>
    <row r="257" spans="1:12" x14ac:dyDescent="0.25">
      <c r="A257" s="3">
        <v>45691.352372685185</v>
      </c>
      <c r="B257" t="s">
        <v>238</v>
      </c>
      <c r="C257" s="3">
        <v>45691.354421296295</v>
      </c>
      <c r="D257" t="s">
        <v>239</v>
      </c>
      <c r="E257" s="4">
        <v>1.2744733501672745</v>
      </c>
      <c r="F257" s="4">
        <v>346272.44958822714</v>
      </c>
      <c r="G257" s="4">
        <v>346273.72406157735</v>
      </c>
      <c r="H257" s="5">
        <f t="shared" si="0"/>
        <v>0</v>
      </c>
      <c r="I257" t="s">
        <v>240</v>
      </c>
      <c r="J257" t="s">
        <v>172</v>
      </c>
      <c r="K257" s="5">
        <f>177 / 86400</f>
        <v>2.0486111111111113E-3</v>
      </c>
      <c r="L257" s="5">
        <f>20 / 86400</f>
        <v>2.3148148148148149E-4</v>
      </c>
    </row>
    <row r="258" spans="1:12" x14ac:dyDescent="0.25">
      <c r="A258" s="3">
        <v>45691.35465277778</v>
      </c>
      <c r="B258" t="s">
        <v>241</v>
      </c>
      <c r="C258" s="3">
        <v>45691.355358796296</v>
      </c>
      <c r="D258" t="s">
        <v>242</v>
      </c>
      <c r="E258" s="4">
        <v>0.25820919978618623</v>
      </c>
      <c r="F258" s="4">
        <v>346273.84816677123</v>
      </c>
      <c r="G258" s="4">
        <v>346274.10637597099</v>
      </c>
      <c r="H258" s="5">
        <f t="shared" si="0"/>
        <v>0</v>
      </c>
      <c r="I258" t="s">
        <v>120</v>
      </c>
      <c r="J258" t="s">
        <v>30</v>
      </c>
      <c r="K258" s="5">
        <f>61 / 86400</f>
        <v>7.0601851851851847E-4</v>
      </c>
      <c r="L258" s="5">
        <f>19 / 86400</f>
        <v>2.199074074074074E-4</v>
      </c>
    </row>
    <row r="259" spans="1:12" x14ac:dyDescent="0.25">
      <c r="A259" s="3">
        <v>45691.355578703704</v>
      </c>
      <c r="B259" t="s">
        <v>243</v>
      </c>
      <c r="C259" s="3">
        <v>45691.357361111106</v>
      </c>
      <c r="D259" t="s">
        <v>244</v>
      </c>
      <c r="E259" s="4">
        <v>0.5988535065054893</v>
      </c>
      <c r="F259" s="4">
        <v>346274.11879003921</v>
      </c>
      <c r="G259" s="4">
        <v>346274.71764354571</v>
      </c>
      <c r="H259" s="5">
        <f t="shared" si="0"/>
        <v>0</v>
      </c>
      <c r="I259" t="s">
        <v>245</v>
      </c>
      <c r="J259" t="s">
        <v>45</v>
      </c>
      <c r="K259" s="5">
        <f>154 / 86400</f>
        <v>1.7824074074074075E-3</v>
      </c>
      <c r="L259" s="5">
        <f>20 / 86400</f>
        <v>2.3148148148148149E-4</v>
      </c>
    </row>
    <row r="260" spans="1:12" x14ac:dyDescent="0.25">
      <c r="A260" s="3">
        <v>45691.357592592598</v>
      </c>
      <c r="B260" t="s">
        <v>246</v>
      </c>
      <c r="C260" s="3">
        <v>45691.357824074075</v>
      </c>
      <c r="D260" t="s">
        <v>244</v>
      </c>
      <c r="E260" s="4">
        <v>1.3066929340362549E-2</v>
      </c>
      <c r="F260" s="4">
        <v>346274.73697493022</v>
      </c>
      <c r="G260" s="4">
        <v>346274.75004185957</v>
      </c>
      <c r="H260" s="5">
        <f t="shared" si="0"/>
        <v>0</v>
      </c>
      <c r="I260" t="s">
        <v>62</v>
      </c>
      <c r="J260" t="s">
        <v>137</v>
      </c>
      <c r="K260" s="5">
        <f>20 / 86400</f>
        <v>2.3148148148148149E-4</v>
      </c>
      <c r="L260" s="5">
        <f>17 / 86400</f>
        <v>1.9675925925925926E-4</v>
      </c>
    </row>
    <row r="261" spans="1:12" x14ac:dyDescent="0.25">
      <c r="A261" s="3">
        <v>45691.35802083333</v>
      </c>
      <c r="B261" t="s">
        <v>244</v>
      </c>
      <c r="C261" s="3">
        <v>45691.36005787037</v>
      </c>
      <c r="D261" t="s">
        <v>247</v>
      </c>
      <c r="E261" s="4">
        <v>0.93948947936296467</v>
      </c>
      <c r="F261" s="4">
        <v>346274.76174227119</v>
      </c>
      <c r="G261" s="4">
        <v>346275.70123175054</v>
      </c>
      <c r="H261" s="5">
        <f t="shared" si="0"/>
        <v>0</v>
      </c>
      <c r="I261" t="s">
        <v>248</v>
      </c>
      <c r="J261" t="s">
        <v>35</v>
      </c>
      <c r="K261" s="5">
        <f>176 / 86400</f>
        <v>2.0370370370370369E-3</v>
      </c>
      <c r="L261" s="5">
        <f>25 / 86400</f>
        <v>2.8935185185185184E-4</v>
      </c>
    </row>
    <row r="262" spans="1:12" x14ac:dyDescent="0.25">
      <c r="A262" s="3">
        <v>45691.360347222224</v>
      </c>
      <c r="B262" t="s">
        <v>247</v>
      </c>
      <c r="C262" s="3">
        <v>45691.36074074074</v>
      </c>
      <c r="D262" t="s">
        <v>249</v>
      </c>
      <c r="E262" s="4">
        <v>0.11416852217912674</v>
      </c>
      <c r="F262" s="4">
        <v>346275.70665561024</v>
      </c>
      <c r="G262" s="4">
        <v>346275.82082413242</v>
      </c>
      <c r="H262" s="5">
        <f t="shared" ref="H262:H325" si="1">0 / 86400</f>
        <v>0</v>
      </c>
      <c r="I262" t="s">
        <v>70</v>
      </c>
      <c r="J262" t="s">
        <v>155</v>
      </c>
      <c r="K262" s="5">
        <f>34 / 86400</f>
        <v>3.9351851851851852E-4</v>
      </c>
      <c r="L262" s="5">
        <f>38 / 86400</f>
        <v>4.3981481481481481E-4</v>
      </c>
    </row>
    <row r="263" spans="1:12" x14ac:dyDescent="0.25">
      <c r="A263" s="3">
        <v>45691.361180555556</v>
      </c>
      <c r="B263" t="s">
        <v>250</v>
      </c>
      <c r="C263" s="3">
        <v>45691.363032407404</v>
      </c>
      <c r="D263" t="s">
        <v>251</v>
      </c>
      <c r="E263" s="4">
        <v>0.40807520782947543</v>
      </c>
      <c r="F263" s="4">
        <v>346275.85494650685</v>
      </c>
      <c r="G263" s="4">
        <v>346276.26302171469</v>
      </c>
      <c r="H263" s="5">
        <f t="shared" si="1"/>
        <v>0</v>
      </c>
      <c r="I263" t="s">
        <v>75</v>
      </c>
      <c r="J263" t="s">
        <v>79</v>
      </c>
      <c r="K263" s="5">
        <f>160 / 86400</f>
        <v>1.8518518518518519E-3</v>
      </c>
      <c r="L263" s="5">
        <f>5 / 86400</f>
        <v>5.7870370370370373E-5</v>
      </c>
    </row>
    <row r="264" spans="1:12" x14ac:dyDescent="0.25">
      <c r="A264" s="3">
        <v>45691.36309027778</v>
      </c>
      <c r="B264" t="s">
        <v>251</v>
      </c>
      <c r="C264" s="3">
        <v>45691.364942129629</v>
      </c>
      <c r="D264" t="s">
        <v>252</v>
      </c>
      <c r="E264" s="4">
        <v>0.58086698651313784</v>
      </c>
      <c r="F264" s="4">
        <v>346276.26814056764</v>
      </c>
      <c r="G264" s="4">
        <v>346276.84900755418</v>
      </c>
      <c r="H264" s="5">
        <f t="shared" si="1"/>
        <v>0</v>
      </c>
      <c r="I264" t="s">
        <v>131</v>
      </c>
      <c r="J264" t="s">
        <v>59</v>
      </c>
      <c r="K264" s="5">
        <f>160 / 86400</f>
        <v>1.8518518518518519E-3</v>
      </c>
      <c r="L264" s="5">
        <f>20 / 86400</f>
        <v>2.3148148148148149E-4</v>
      </c>
    </row>
    <row r="265" spans="1:12" x14ac:dyDescent="0.25">
      <c r="A265" s="3">
        <v>45691.365173611106</v>
      </c>
      <c r="B265" t="s">
        <v>252</v>
      </c>
      <c r="C265" s="3">
        <v>45691.365405092598</v>
      </c>
      <c r="D265" t="s">
        <v>252</v>
      </c>
      <c r="E265" s="4">
        <v>5.7551335930824281E-2</v>
      </c>
      <c r="F265" s="4">
        <v>346276.8604319513</v>
      </c>
      <c r="G265" s="4">
        <v>346276.91798328719</v>
      </c>
      <c r="H265" s="5">
        <f t="shared" si="1"/>
        <v>0</v>
      </c>
      <c r="I265" t="s">
        <v>140</v>
      </c>
      <c r="J265" t="s">
        <v>156</v>
      </c>
      <c r="K265" s="5">
        <f>20 / 86400</f>
        <v>2.3148148148148149E-4</v>
      </c>
      <c r="L265" s="5">
        <f>19 / 86400</f>
        <v>2.199074074074074E-4</v>
      </c>
    </row>
    <row r="266" spans="1:12" x14ac:dyDescent="0.25">
      <c r="A266" s="3">
        <v>45691.365624999999</v>
      </c>
      <c r="B266" t="s">
        <v>96</v>
      </c>
      <c r="C266" s="3">
        <v>45691.366712962961</v>
      </c>
      <c r="D266" t="s">
        <v>253</v>
      </c>
      <c r="E266" s="4">
        <v>0.49503851193189619</v>
      </c>
      <c r="F266" s="4">
        <v>346276.96348418109</v>
      </c>
      <c r="G266" s="4">
        <v>346277.45852269302</v>
      </c>
      <c r="H266" s="5">
        <f t="shared" si="1"/>
        <v>0</v>
      </c>
      <c r="I266" t="s">
        <v>254</v>
      </c>
      <c r="J266" t="s">
        <v>35</v>
      </c>
      <c r="K266" s="5">
        <f>94 / 86400</f>
        <v>1.0879629629629629E-3</v>
      </c>
      <c r="L266" s="5">
        <f>100 / 86400</f>
        <v>1.1574074074074073E-3</v>
      </c>
    </row>
    <row r="267" spans="1:12" x14ac:dyDescent="0.25">
      <c r="A267" s="3">
        <v>45691.36787037037</v>
      </c>
      <c r="B267" t="s">
        <v>255</v>
      </c>
      <c r="C267" s="3">
        <v>45691.369456018518</v>
      </c>
      <c r="D267" t="s">
        <v>256</v>
      </c>
      <c r="E267" s="4">
        <v>1.1480984218716621</v>
      </c>
      <c r="F267" s="4">
        <v>346277.49911843502</v>
      </c>
      <c r="G267" s="4">
        <v>346278.64721685689</v>
      </c>
      <c r="H267" s="5">
        <f t="shared" si="1"/>
        <v>0</v>
      </c>
      <c r="I267" t="s">
        <v>66</v>
      </c>
      <c r="J267" t="s">
        <v>257</v>
      </c>
      <c r="K267" s="5">
        <f>137 / 86400</f>
        <v>1.5856481481481481E-3</v>
      </c>
      <c r="L267" s="5">
        <f>40 / 86400</f>
        <v>4.6296296296296298E-4</v>
      </c>
    </row>
    <row r="268" spans="1:12" x14ac:dyDescent="0.25">
      <c r="A268" s="3">
        <v>45691.36991898148</v>
      </c>
      <c r="B268" t="s">
        <v>256</v>
      </c>
      <c r="C268" s="3">
        <v>45691.371539351851</v>
      </c>
      <c r="D268" t="s">
        <v>171</v>
      </c>
      <c r="E268" s="4">
        <v>1.3926711134314538</v>
      </c>
      <c r="F268" s="4">
        <v>346278.68016954546</v>
      </c>
      <c r="G268" s="4">
        <v>346280.07284065889</v>
      </c>
      <c r="H268" s="5">
        <f t="shared" si="1"/>
        <v>0</v>
      </c>
      <c r="I268" t="s">
        <v>258</v>
      </c>
      <c r="J268" t="s">
        <v>259</v>
      </c>
      <c r="K268" s="5">
        <f>140 / 86400</f>
        <v>1.6203703703703703E-3</v>
      </c>
      <c r="L268" s="5">
        <f>20 / 86400</f>
        <v>2.3148148148148149E-4</v>
      </c>
    </row>
    <row r="269" spans="1:12" x14ac:dyDescent="0.25">
      <c r="A269" s="3">
        <v>45691.371770833328</v>
      </c>
      <c r="B269" t="s">
        <v>171</v>
      </c>
      <c r="C269" s="3">
        <v>45691.372465277775</v>
      </c>
      <c r="D269" t="s">
        <v>202</v>
      </c>
      <c r="E269" s="4">
        <v>0.40732297241687776</v>
      </c>
      <c r="F269" s="4">
        <v>346280.2042346673</v>
      </c>
      <c r="G269" s="4">
        <v>346280.61155763973</v>
      </c>
      <c r="H269" s="5">
        <f t="shared" si="1"/>
        <v>0</v>
      </c>
      <c r="I269" t="s">
        <v>126</v>
      </c>
      <c r="J269" t="s">
        <v>135</v>
      </c>
      <c r="K269" s="5">
        <f>60 / 86400</f>
        <v>6.9444444444444447E-4</v>
      </c>
      <c r="L269" s="5">
        <f>40 / 86400</f>
        <v>4.6296296296296298E-4</v>
      </c>
    </row>
    <row r="270" spans="1:12" x14ac:dyDescent="0.25">
      <c r="A270" s="3">
        <v>45691.372928240744</v>
      </c>
      <c r="B270" t="s">
        <v>260</v>
      </c>
      <c r="C270" s="3">
        <v>45691.373622685191</v>
      </c>
      <c r="D270" t="s">
        <v>261</v>
      </c>
      <c r="E270" s="4">
        <v>0.31261988371610644</v>
      </c>
      <c r="F270" s="4">
        <v>346280.75397049054</v>
      </c>
      <c r="G270" s="4">
        <v>346281.06659037422</v>
      </c>
      <c r="H270" s="5">
        <f t="shared" si="1"/>
        <v>0</v>
      </c>
      <c r="I270" t="s">
        <v>262</v>
      </c>
      <c r="J270" t="s">
        <v>35</v>
      </c>
      <c r="K270" s="5">
        <f>60 / 86400</f>
        <v>6.9444444444444447E-4</v>
      </c>
      <c r="L270" s="5">
        <f>40 / 86400</f>
        <v>4.6296296296296298E-4</v>
      </c>
    </row>
    <row r="271" spans="1:12" x14ac:dyDescent="0.25">
      <c r="A271" s="3">
        <v>45691.374085648145</v>
      </c>
      <c r="B271" t="s">
        <v>261</v>
      </c>
      <c r="C271" s="3">
        <v>45691.375578703708</v>
      </c>
      <c r="D271" t="s">
        <v>263</v>
      </c>
      <c r="E271" s="4">
        <v>0.52049203395843502</v>
      </c>
      <c r="F271" s="4">
        <v>346281.07255708554</v>
      </c>
      <c r="G271" s="4">
        <v>346281.59304911946</v>
      </c>
      <c r="H271" s="5">
        <f t="shared" si="1"/>
        <v>0</v>
      </c>
      <c r="I271" t="s">
        <v>264</v>
      </c>
      <c r="J271" t="s">
        <v>30</v>
      </c>
      <c r="K271" s="5">
        <f>129 / 86400</f>
        <v>1.4930555555555556E-3</v>
      </c>
      <c r="L271" s="5">
        <f>98 / 86400</f>
        <v>1.1342592592592593E-3</v>
      </c>
    </row>
    <row r="272" spans="1:12" x14ac:dyDescent="0.25">
      <c r="A272" s="3">
        <v>45691.376712962963</v>
      </c>
      <c r="B272" t="s">
        <v>265</v>
      </c>
      <c r="C272" s="3">
        <v>45691.379027777773</v>
      </c>
      <c r="D272" t="s">
        <v>266</v>
      </c>
      <c r="E272" s="4">
        <v>1.9996257614493369</v>
      </c>
      <c r="F272" s="4">
        <v>346281.63010459562</v>
      </c>
      <c r="G272" s="4">
        <v>346283.62973035703</v>
      </c>
      <c r="H272" s="5">
        <f t="shared" si="1"/>
        <v>0</v>
      </c>
      <c r="I272" t="s">
        <v>189</v>
      </c>
      <c r="J272" t="s">
        <v>259</v>
      </c>
      <c r="K272" s="5">
        <f>200 / 86400</f>
        <v>2.3148148148148147E-3</v>
      </c>
      <c r="L272" s="5">
        <f>20 / 86400</f>
        <v>2.3148148148148149E-4</v>
      </c>
    </row>
    <row r="273" spans="1:12" x14ac:dyDescent="0.25">
      <c r="A273" s="3">
        <v>45691.379259259258</v>
      </c>
      <c r="B273" t="s">
        <v>266</v>
      </c>
      <c r="C273" s="3">
        <v>45691.37972222222</v>
      </c>
      <c r="D273" t="s">
        <v>266</v>
      </c>
      <c r="E273" s="4">
        <v>0.26862383466959</v>
      </c>
      <c r="F273" s="4">
        <v>346283.67226970411</v>
      </c>
      <c r="G273" s="4">
        <v>346283.94089353876</v>
      </c>
      <c r="H273" s="5">
        <f t="shared" si="1"/>
        <v>0</v>
      </c>
      <c r="I273" t="s">
        <v>176</v>
      </c>
      <c r="J273" t="s">
        <v>135</v>
      </c>
      <c r="K273" s="5">
        <f>40 / 86400</f>
        <v>4.6296296296296298E-4</v>
      </c>
      <c r="L273" s="5">
        <f>20 / 86400</f>
        <v>2.3148148148148149E-4</v>
      </c>
    </row>
    <row r="274" spans="1:12" x14ac:dyDescent="0.25">
      <c r="A274" s="3">
        <v>45691.379953703705</v>
      </c>
      <c r="B274" t="s">
        <v>266</v>
      </c>
      <c r="C274" s="3">
        <v>45691.380416666667</v>
      </c>
      <c r="D274" t="s">
        <v>267</v>
      </c>
      <c r="E274" s="4">
        <v>7.8122378170490267E-2</v>
      </c>
      <c r="F274" s="4">
        <v>346283.94324542728</v>
      </c>
      <c r="G274" s="4">
        <v>346284.02136780543</v>
      </c>
      <c r="H274" s="5">
        <f t="shared" si="1"/>
        <v>0</v>
      </c>
      <c r="I274" t="s">
        <v>30</v>
      </c>
      <c r="J274" t="s">
        <v>76</v>
      </c>
      <c r="K274" s="5">
        <f>40 / 86400</f>
        <v>4.6296296296296298E-4</v>
      </c>
      <c r="L274" s="5">
        <f>80 / 86400</f>
        <v>9.2592592592592596E-4</v>
      </c>
    </row>
    <row r="275" spans="1:12" x14ac:dyDescent="0.25">
      <c r="A275" s="3">
        <v>45691.381342592591</v>
      </c>
      <c r="B275" t="s">
        <v>268</v>
      </c>
      <c r="C275" s="3">
        <v>45691.383425925931</v>
      </c>
      <c r="D275" t="s">
        <v>269</v>
      </c>
      <c r="E275" s="4">
        <v>1.5530956625342369</v>
      </c>
      <c r="F275" s="4">
        <v>346284.06973393197</v>
      </c>
      <c r="G275" s="4">
        <v>346285.62282959447</v>
      </c>
      <c r="H275" s="5">
        <f t="shared" si="1"/>
        <v>0</v>
      </c>
      <c r="I275" t="s">
        <v>149</v>
      </c>
      <c r="J275" t="s">
        <v>61</v>
      </c>
      <c r="K275" s="5">
        <f>180 / 86400</f>
        <v>2.0833333333333333E-3</v>
      </c>
      <c r="L275" s="5">
        <f>40 / 86400</f>
        <v>4.6296296296296298E-4</v>
      </c>
    </row>
    <row r="276" spans="1:12" x14ac:dyDescent="0.25">
      <c r="A276" s="3">
        <v>45691.383888888886</v>
      </c>
      <c r="B276" t="s">
        <v>270</v>
      </c>
      <c r="C276" s="3">
        <v>45691.384583333333</v>
      </c>
      <c r="D276" t="s">
        <v>271</v>
      </c>
      <c r="E276" s="4">
        <v>0.16966972708702088</v>
      </c>
      <c r="F276" s="4">
        <v>346285.64877786406</v>
      </c>
      <c r="G276" s="4">
        <v>346285.81844759115</v>
      </c>
      <c r="H276" s="5">
        <f t="shared" si="1"/>
        <v>0</v>
      </c>
      <c r="I276" t="s">
        <v>264</v>
      </c>
      <c r="J276" t="s">
        <v>156</v>
      </c>
      <c r="K276" s="5">
        <f>60 / 86400</f>
        <v>6.9444444444444447E-4</v>
      </c>
      <c r="L276" s="5">
        <f>20 / 86400</f>
        <v>2.3148148148148149E-4</v>
      </c>
    </row>
    <row r="277" spans="1:12" x14ac:dyDescent="0.25">
      <c r="A277" s="3">
        <v>45691.38481481481</v>
      </c>
      <c r="B277" t="s">
        <v>269</v>
      </c>
      <c r="C277" s="3">
        <v>45691.385277777779</v>
      </c>
      <c r="D277" t="s">
        <v>106</v>
      </c>
      <c r="E277" s="4">
        <v>0.10611149531602859</v>
      </c>
      <c r="F277" s="4">
        <v>346285.86123802984</v>
      </c>
      <c r="G277" s="4">
        <v>346285.96734952513</v>
      </c>
      <c r="H277" s="5">
        <f t="shared" si="1"/>
        <v>0</v>
      </c>
      <c r="I277" t="s">
        <v>257</v>
      </c>
      <c r="J277" t="s">
        <v>156</v>
      </c>
      <c r="K277" s="5">
        <f>40 / 86400</f>
        <v>4.6296296296296298E-4</v>
      </c>
      <c r="L277" s="5">
        <f>5 / 86400</f>
        <v>5.7870370370370373E-5</v>
      </c>
    </row>
    <row r="278" spans="1:12" x14ac:dyDescent="0.25">
      <c r="A278" s="3">
        <v>45691.385335648149</v>
      </c>
      <c r="B278" t="s">
        <v>106</v>
      </c>
      <c r="C278" s="3">
        <v>45691.385567129633</v>
      </c>
      <c r="D278" t="s">
        <v>106</v>
      </c>
      <c r="E278" s="4">
        <v>8.1258331298828118E-2</v>
      </c>
      <c r="F278" s="4">
        <v>346285.96994260099</v>
      </c>
      <c r="G278" s="4">
        <v>346286.05120093224</v>
      </c>
      <c r="H278" s="5">
        <f t="shared" si="1"/>
        <v>0</v>
      </c>
      <c r="I278" t="s">
        <v>79</v>
      </c>
      <c r="J278" t="s">
        <v>30</v>
      </c>
      <c r="K278" s="5">
        <f>20 / 86400</f>
        <v>2.3148148148148149E-4</v>
      </c>
      <c r="L278" s="5">
        <f>20 / 86400</f>
        <v>2.3148148148148149E-4</v>
      </c>
    </row>
    <row r="279" spans="1:12" x14ac:dyDescent="0.25">
      <c r="A279" s="3">
        <v>45691.385798611111</v>
      </c>
      <c r="B279" t="s">
        <v>106</v>
      </c>
      <c r="C279" s="3">
        <v>45691.386956018519</v>
      </c>
      <c r="D279" t="s">
        <v>269</v>
      </c>
      <c r="E279" s="4">
        <v>0.94608741939067842</v>
      </c>
      <c r="F279" s="4">
        <v>346286.11584540369</v>
      </c>
      <c r="G279" s="4">
        <v>346287.06193282304</v>
      </c>
      <c r="H279" s="5">
        <f t="shared" si="1"/>
        <v>0</v>
      </c>
      <c r="I279" t="s">
        <v>129</v>
      </c>
      <c r="J279" t="s">
        <v>165</v>
      </c>
      <c r="K279" s="5">
        <f>100 / 86400</f>
        <v>1.1574074074074073E-3</v>
      </c>
      <c r="L279" s="5">
        <f>20 / 86400</f>
        <v>2.3148148148148149E-4</v>
      </c>
    </row>
    <row r="280" spans="1:12" x14ac:dyDescent="0.25">
      <c r="A280" s="3">
        <v>45691.387187500004</v>
      </c>
      <c r="B280" t="s">
        <v>269</v>
      </c>
      <c r="C280" s="3">
        <v>45691.387662037036</v>
      </c>
      <c r="D280" t="s">
        <v>272</v>
      </c>
      <c r="E280" s="4">
        <v>0.11489326620101929</v>
      </c>
      <c r="F280" s="4">
        <v>346287.07149720396</v>
      </c>
      <c r="G280" s="4">
        <v>346287.18639047013</v>
      </c>
      <c r="H280" s="5">
        <f t="shared" si="1"/>
        <v>0</v>
      </c>
      <c r="I280" t="s">
        <v>155</v>
      </c>
      <c r="J280" t="s">
        <v>156</v>
      </c>
      <c r="K280" s="5">
        <f>41 / 86400</f>
        <v>4.7453703703703704E-4</v>
      </c>
      <c r="L280" s="5">
        <f>20 / 86400</f>
        <v>2.3148148148148149E-4</v>
      </c>
    </row>
    <row r="281" spans="1:12" x14ac:dyDescent="0.25">
      <c r="A281" s="3">
        <v>45691.38789351852</v>
      </c>
      <c r="B281" t="s">
        <v>272</v>
      </c>
      <c r="C281" s="3">
        <v>45691.388124999998</v>
      </c>
      <c r="D281" t="s">
        <v>272</v>
      </c>
      <c r="E281" s="4">
        <v>5.3764212727546688E-3</v>
      </c>
      <c r="F281" s="4">
        <v>346287.19315568608</v>
      </c>
      <c r="G281" s="4">
        <v>346287.19853210734</v>
      </c>
      <c r="H281" s="5">
        <f t="shared" si="1"/>
        <v>0</v>
      </c>
      <c r="I281" t="s">
        <v>62</v>
      </c>
      <c r="J281" t="s">
        <v>62</v>
      </c>
      <c r="K281" s="5">
        <f>20 / 86400</f>
        <v>2.3148148148148149E-4</v>
      </c>
      <c r="L281" s="5">
        <f>20 / 86400</f>
        <v>2.3148148148148149E-4</v>
      </c>
    </row>
    <row r="282" spans="1:12" x14ac:dyDescent="0.25">
      <c r="A282" s="3">
        <v>45691.388356481482</v>
      </c>
      <c r="B282" t="s">
        <v>273</v>
      </c>
      <c r="C282" s="3">
        <v>45691.389282407406</v>
      </c>
      <c r="D282" t="s">
        <v>274</v>
      </c>
      <c r="E282" s="4">
        <v>0.28043292135000231</v>
      </c>
      <c r="F282" s="4">
        <v>346287.30615995888</v>
      </c>
      <c r="G282" s="4">
        <v>346287.58659288025</v>
      </c>
      <c r="H282" s="5">
        <f t="shared" si="1"/>
        <v>0</v>
      </c>
      <c r="I282" t="s">
        <v>172</v>
      </c>
      <c r="J282" t="s">
        <v>59</v>
      </c>
      <c r="K282" s="5">
        <f>80 / 86400</f>
        <v>9.2592592592592596E-4</v>
      </c>
      <c r="L282" s="5">
        <f>20 / 86400</f>
        <v>2.3148148148148149E-4</v>
      </c>
    </row>
    <row r="283" spans="1:12" x14ac:dyDescent="0.25">
      <c r="A283" s="3">
        <v>45691.389513888891</v>
      </c>
      <c r="B283" t="s">
        <v>274</v>
      </c>
      <c r="C283" s="3">
        <v>45691.390208333338</v>
      </c>
      <c r="D283" t="s">
        <v>275</v>
      </c>
      <c r="E283" s="4">
        <v>0.2148298961520195</v>
      </c>
      <c r="F283" s="4">
        <v>346287.60397142591</v>
      </c>
      <c r="G283" s="4">
        <v>346287.81880132202</v>
      </c>
      <c r="H283" s="5">
        <f t="shared" si="1"/>
        <v>0</v>
      </c>
      <c r="I283" t="s">
        <v>131</v>
      </c>
      <c r="J283" t="s">
        <v>59</v>
      </c>
      <c r="K283" s="5">
        <f>60 / 86400</f>
        <v>6.9444444444444447E-4</v>
      </c>
      <c r="L283" s="5">
        <f>13 / 86400</f>
        <v>1.5046296296296297E-4</v>
      </c>
    </row>
    <row r="284" spans="1:12" x14ac:dyDescent="0.25">
      <c r="A284" s="3">
        <v>45691.3903587963</v>
      </c>
      <c r="B284" t="s">
        <v>275</v>
      </c>
      <c r="C284" s="3">
        <v>45691.391284722224</v>
      </c>
      <c r="D284" t="s">
        <v>276</v>
      </c>
      <c r="E284" s="4">
        <v>0.44765080183744432</v>
      </c>
      <c r="F284" s="4">
        <v>346287.82079405128</v>
      </c>
      <c r="G284" s="4">
        <v>346288.26844485314</v>
      </c>
      <c r="H284" s="5">
        <f t="shared" si="1"/>
        <v>0</v>
      </c>
      <c r="I284" t="s">
        <v>159</v>
      </c>
      <c r="J284" t="s">
        <v>75</v>
      </c>
      <c r="K284" s="5">
        <f>80 / 86400</f>
        <v>9.2592592592592596E-4</v>
      </c>
      <c r="L284" s="5">
        <f>20 / 86400</f>
        <v>2.3148148148148149E-4</v>
      </c>
    </row>
    <row r="285" spans="1:12" x14ac:dyDescent="0.25">
      <c r="A285" s="3">
        <v>45691.391516203701</v>
      </c>
      <c r="B285" t="s">
        <v>277</v>
      </c>
      <c r="C285" s="3">
        <v>45691.392916666664</v>
      </c>
      <c r="D285" t="s">
        <v>108</v>
      </c>
      <c r="E285" s="4">
        <v>0.84038333165645596</v>
      </c>
      <c r="F285" s="4">
        <v>346288.29699441144</v>
      </c>
      <c r="G285" s="4">
        <v>346289.13737774314</v>
      </c>
      <c r="H285" s="5">
        <f t="shared" si="1"/>
        <v>0</v>
      </c>
      <c r="I285" t="s">
        <v>245</v>
      </c>
      <c r="J285" t="s">
        <v>120</v>
      </c>
      <c r="K285" s="5">
        <f>121 / 86400</f>
        <v>1.4004629629629629E-3</v>
      </c>
      <c r="L285" s="5">
        <f>5 / 86400</f>
        <v>5.7870370370370373E-5</v>
      </c>
    </row>
    <row r="286" spans="1:12" x14ac:dyDescent="0.25">
      <c r="A286" s="3">
        <v>45691.392974537041</v>
      </c>
      <c r="B286" t="s">
        <v>108</v>
      </c>
      <c r="C286" s="3">
        <v>45691.393217592587</v>
      </c>
      <c r="D286" t="s">
        <v>278</v>
      </c>
      <c r="E286" s="4">
        <v>5.794572997093201E-2</v>
      </c>
      <c r="F286" s="4">
        <v>346289.14015571005</v>
      </c>
      <c r="G286" s="4">
        <v>346289.19810144004</v>
      </c>
      <c r="H286" s="5">
        <f t="shared" si="1"/>
        <v>0</v>
      </c>
      <c r="I286" t="s">
        <v>79</v>
      </c>
      <c r="J286" t="s">
        <v>156</v>
      </c>
      <c r="K286" s="5">
        <f>21 / 86400</f>
        <v>2.4305555555555555E-4</v>
      </c>
      <c r="L286" s="5">
        <f>1 / 86400</f>
        <v>1.1574074074074073E-5</v>
      </c>
    </row>
    <row r="287" spans="1:12" x14ac:dyDescent="0.25">
      <c r="A287" s="3">
        <v>45691.393229166672</v>
      </c>
      <c r="B287" t="s">
        <v>278</v>
      </c>
      <c r="C287" s="3">
        <v>45691.394699074073</v>
      </c>
      <c r="D287" t="s">
        <v>108</v>
      </c>
      <c r="E287" s="4">
        <v>0.70416545200347902</v>
      </c>
      <c r="F287" s="4">
        <v>346289.20089953078</v>
      </c>
      <c r="G287" s="4">
        <v>346289.90506498277</v>
      </c>
      <c r="H287" s="5">
        <f t="shared" si="1"/>
        <v>0</v>
      </c>
      <c r="I287" t="s">
        <v>279</v>
      </c>
      <c r="J287" t="s">
        <v>75</v>
      </c>
      <c r="K287" s="5">
        <f>127 / 86400</f>
        <v>1.4699074074074074E-3</v>
      </c>
      <c r="L287" s="5">
        <f>60 / 86400</f>
        <v>6.9444444444444447E-4</v>
      </c>
    </row>
    <row r="288" spans="1:12" x14ac:dyDescent="0.25">
      <c r="A288" s="3">
        <v>45691.39539351852</v>
      </c>
      <c r="B288" t="s">
        <v>108</v>
      </c>
      <c r="C288" s="3">
        <v>45691.396087962959</v>
      </c>
      <c r="D288" t="s">
        <v>108</v>
      </c>
      <c r="E288" s="4">
        <v>0.36701822268962858</v>
      </c>
      <c r="F288" s="4">
        <v>346290.00793760532</v>
      </c>
      <c r="G288" s="4">
        <v>346290.37495582801</v>
      </c>
      <c r="H288" s="5">
        <f t="shared" si="1"/>
        <v>0</v>
      </c>
      <c r="I288" t="s">
        <v>186</v>
      </c>
      <c r="J288" t="s">
        <v>24</v>
      </c>
      <c r="K288" s="5">
        <f>60 / 86400</f>
        <v>6.9444444444444447E-4</v>
      </c>
      <c r="L288" s="5">
        <f>150 / 86400</f>
        <v>1.736111111111111E-3</v>
      </c>
    </row>
    <row r="289" spans="1:12" x14ac:dyDescent="0.25">
      <c r="A289" s="3">
        <v>45691.397824074069</v>
      </c>
      <c r="B289" t="s">
        <v>108</v>
      </c>
      <c r="C289" s="3">
        <v>45691.398055555561</v>
      </c>
      <c r="D289" t="s">
        <v>71</v>
      </c>
      <c r="E289" s="4">
        <v>9.360191184282303E-2</v>
      </c>
      <c r="F289" s="4">
        <v>346290.38514819631</v>
      </c>
      <c r="G289" s="4">
        <v>346290.4787501081</v>
      </c>
      <c r="H289" s="5">
        <f t="shared" si="1"/>
        <v>0</v>
      </c>
      <c r="I289" t="s">
        <v>136</v>
      </c>
      <c r="J289" t="s">
        <v>47</v>
      </c>
      <c r="K289" s="5">
        <f>20 / 86400</f>
        <v>2.3148148148148149E-4</v>
      </c>
      <c r="L289" s="5">
        <f>27 / 86400</f>
        <v>3.1250000000000001E-4</v>
      </c>
    </row>
    <row r="290" spans="1:12" x14ac:dyDescent="0.25">
      <c r="A290" s="3">
        <v>45691.398368055554</v>
      </c>
      <c r="B290" t="s">
        <v>71</v>
      </c>
      <c r="C290" s="3">
        <v>45691.399525462963</v>
      </c>
      <c r="D290" t="s">
        <v>71</v>
      </c>
      <c r="E290" s="4">
        <v>0.69173771136999129</v>
      </c>
      <c r="F290" s="4">
        <v>346290.48330839141</v>
      </c>
      <c r="G290" s="4">
        <v>346291.17504610278</v>
      </c>
      <c r="H290" s="5">
        <f t="shared" si="1"/>
        <v>0</v>
      </c>
      <c r="I290" t="s">
        <v>203</v>
      </c>
      <c r="J290" t="s">
        <v>120</v>
      </c>
      <c r="K290" s="5">
        <f>100 / 86400</f>
        <v>1.1574074074074073E-3</v>
      </c>
      <c r="L290" s="5">
        <f>20 / 86400</f>
        <v>2.3148148148148149E-4</v>
      </c>
    </row>
    <row r="291" spans="1:12" x14ac:dyDescent="0.25">
      <c r="A291" s="3">
        <v>45691.399756944447</v>
      </c>
      <c r="B291" t="s">
        <v>71</v>
      </c>
      <c r="C291" s="3">
        <v>45691.400451388894</v>
      </c>
      <c r="D291" t="s">
        <v>71</v>
      </c>
      <c r="E291" s="4">
        <v>0.50799711370468137</v>
      </c>
      <c r="F291" s="4">
        <v>346291.18231190107</v>
      </c>
      <c r="G291" s="4">
        <v>346291.69030901481</v>
      </c>
      <c r="H291" s="5">
        <f t="shared" si="1"/>
        <v>0</v>
      </c>
      <c r="I291" t="s">
        <v>88</v>
      </c>
      <c r="J291" t="s">
        <v>257</v>
      </c>
      <c r="K291" s="5">
        <f>60 / 86400</f>
        <v>6.9444444444444447E-4</v>
      </c>
      <c r="L291" s="5">
        <f>20 / 86400</f>
        <v>2.3148148148148149E-4</v>
      </c>
    </row>
    <row r="292" spans="1:12" x14ac:dyDescent="0.25">
      <c r="A292" s="3">
        <v>45691.400682870371</v>
      </c>
      <c r="B292" t="s">
        <v>190</v>
      </c>
      <c r="C292" s="3">
        <v>45691.402766203704</v>
      </c>
      <c r="D292" t="s">
        <v>71</v>
      </c>
      <c r="E292" s="4">
        <v>1.5467260981798172</v>
      </c>
      <c r="F292" s="4">
        <v>346291.7668214037</v>
      </c>
      <c r="G292" s="4">
        <v>346293.31354750186</v>
      </c>
      <c r="H292" s="5">
        <f t="shared" si="1"/>
        <v>0</v>
      </c>
      <c r="I292" t="s">
        <v>126</v>
      </c>
      <c r="J292" t="s">
        <v>61</v>
      </c>
      <c r="K292" s="5">
        <f>180 / 86400</f>
        <v>2.0833333333333333E-3</v>
      </c>
      <c r="L292" s="5">
        <f>20 / 86400</f>
        <v>2.3148148148148149E-4</v>
      </c>
    </row>
    <row r="293" spans="1:12" x14ac:dyDescent="0.25">
      <c r="A293" s="3">
        <v>45691.402997685189</v>
      </c>
      <c r="B293" t="s">
        <v>71</v>
      </c>
      <c r="C293" s="3">
        <v>45691.40693287037</v>
      </c>
      <c r="D293" t="s">
        <v>185</v>
      </c>
      <c r="E293" s="4">
        <v>2.8005778220295907</v>
      </c>
      <c r="F293" s="4">
        <v>346293.39001615049</v>
      </c>
      <c r="G293" s="4">
        <v>346296.19059397251</v>
      </c>
      <c r="H293" s="5">
        <f t="shared" si="1"/>
        <v>0</v>
      </c>
      <c r="I293" t="s">
        <v>240</v>
      </c>
      <c r="J293" t="s">
        <v>257</v>
      </c>
      <c r="K293" s="5">
        <f>340 / 86400</f>
        <v>3.9351851851851848E-3</v>
      </c>
      <c r="L293" s="5">
        <f>20 / 86400</f>
        <v>2.3148148148148149E-4</v>
      </c>
    </row>
    <row r="294" spans="1:12" x14ac:dyDescent="0.25">
      <c r="A294" s="3">
        <v>45691.407164351855</v>
      </c>
      <c r="B294" t="s">
        <v>280</v>
      </c>
      <c r="C294" s="3">
        <v>45691.407395833332</v>
      </c>
      <c r="D294" t="s">
        <v>281</v>
      </c>
      <c r="E294" s="4">
        <v>5.7040399491786957E-2</v>
      </c>
      <c r="F294" s="4">
        <v>346296.2108575473</v>
      </c>
      <c r="G294" s="4">
        <v>346296.26789794676</v>
      </c>
      <c r="H294" s="5">
        <f t="shared" si="1"/>
        <v>0</v>
      </c>
      <c r="I294" t="s">
        <v>59</v>
      </c>
      <c r="J294" t="s">
        <v>156</v>
      </c>
      <c r="K294" s="5">
        <f>20 / 86400</f>
        <v>2.3148148148148149E-4</v>
      </c>
      <c r="L294" s="5">
        <f>40 / 86400</f>
        <v>4.6296296296296298E-4</v>
      </c>
    </row>
    <row r="295" spans="1:12" x14ac:dyDescent="0.25">
      <c r="A295" s="3">
        <v>45691.407858796301</v>
      </c>
      <c r="B295" t="s">
        <v>185</v>
      </c>
      <c r="C295" s="3">
        <v>45691.408553240741</v>
      </c>
      <c r="D295" t="s">
        <v>146</v>
      </c>
      <c r="E295" s="4">
        <v>0.56932656407356264</v>
      </c>
      <c r="F295" s="4">
        <v>346296.46076123609</v>
      </c>
      <c r="G295" s="4">
        <v>346297.03008780017</v>
      </c>
      <c r="H295" s="5">
        <f t="shared" si="1"/>
        <v>0</v>
      </c>
      <c r="I295" t="s">
        <v>282</v>
      </c>
      <c r="J295" t="s">
        <v>165</v>
      </c>
      <c r="K295" s="5">
        <f>60 / 86400</f>
        <v>6.9444444444444447E-4</v>
      </c>
      <c r="L295" s="5">
        <f>13 / 86400</f>
        <v>1.5046296296296297E-4</v>
      </c>
    </row>
    <row r="296" spans="1:12" x14ac:dyDescent="0.25">
      <c r="A296" s="3">
        <v>45691.408703703702</v>
      </c>
      <c r="B296" t="s">
        <v>185</v>
      </c>
      <c r="C296" s="3">
        <v>45691.409236111111</v>
      </c>
      <c r="D296" t="s">
        <v>82</v>
      </c>
      <c r="E296" s="4">
        <v>4.1355151474475861E-2</v>
      </c>
      <c r="F296" s="4">
        <v>346297.03365088208</v>
      </c>
      <c r="G296" s="4">
        <v>346297.07500603353</v>
      </c>
      <c r="H296" s="5">
        <f t="shared" si="1"/>
        <v>0</v>
      </c>
      <c r="I296" t="s">
        <v>140</v>
      </c>
      <c r="J296" t="s">
        <v>128</v>
      </c>
      <c r="K296" s="5">
        <f>46 / 86400</f>
        <v>5.3240740740740744E-4</v>
      </c>
      <c r="L296" s="5">
        <f>20 / 86400</f>
        <v>2.3148148148148149E-4</v>
      </c>
    </row>
    <row r="297" spans="1:12" x14ac:dyDescent="0.25">
      <c r="A297" s="3">
        <v>45691.409467592588</v>
      </c>
      <c r="B297" t="s">
        <v>82</v>
      </c>
      <c r="C297" s="3">
        <v>45691.410162037035</v>
      </c>
      <c r="D297" t="s">
        <v>185</v>
      </c>
      <c r="E297" s="4">
        <v>0.17192745286226271</v>
      </c>
      <c r="F297" s="4">
        <v>346297.09259946423</v>
      </c>
      <c r="G297" s="4">
        <v>346297.26452691708</v>
      </c>
      <c r="H297" s="5">
        <f t="shared" si="1"/>
        <v>0</v>
      </c>
      <c r="I297" t="s">
        <v>172</v>
      </c>
      <c r="J297" t="s">
        <v>156</v>
      </c>
      <c r="K297" s="5">
        <f>60 / 86400</f>
        <v>6.9444444444444447E-4</v>
      </c>
      <c r="L297" s="5">
        <f>20 / 86400</f>
        <v>2.3148148148148149E-4</v>
      </c>
    </row>
    <row r="298" spans="1:12" x14ac:dyDescent="0.25">
      <c r="A298" s="3">
        <v>45691.410393518519</v>
      </c>
      <c r="B298" t="s">
        <v>185</v>
      </c>
      <c r="C298" s="3">
        <v>45691.412245370375</v>
      </c>
      <c r="D298" t="s">
        <v>182</v>
      </c>
      <c r="E298" s="4">
        <v>1.1224653103947639</v>
      </c>
      <c r="F298" s="4">
        <v>346297.36113775283</v>
      </c>
      <c r="G298" s="4">
        <v>346298.48360306321</v>
      </c>
      <c r="H298" s="5">
        <f t="shared" si="1"/>
        <v>0</v>
      </c>
      <c r="I298" t="s">
        <v>211</v>
      </c>
      <c r="J298" t="s">
        <v>120</v>
      </c>
      <c r="K298" s="5">
        <f>160 / 86400</f>
        <v>1.8518518518518519E-3</v>
      </c>
      <c r="L298" s="5">
        <f>40 / 86400</f>
        <v>4.6296296296296298E-4</v>
      </c>
    </row>
    <row r="299" spans="1:12" x14ac:dyDescent="0.25">
      <c r="A299" s="3">
        <v>45691.41270833333</v>
      </c>
      <c r="B299" t="s">
        <v>182</v>
      </c>
      <c r="C299" s="3">
        <v>45691.4143287037</v>
      </c>
      <c r="D299" t="s">
        <v>138</v>
      </c>
      <c r="E299" s="4">
        <v>1.1052627165317535</v>
      </c>
      <c r="F299" s="4">
        <v>346298.48835445283</v>
      </c>
      <c r="G299" s="4">
        <v>346299.59361716936</v>
      </c>
      <c r="H299" s="5">
        <f t="shared" si="1"/>
        <v>0</v>
      </c>
      <c r="I299" t="s">
        <v>258</v>
      </c>
      <c r="J299" t="s">
        <v>196</v>
      </c>
      <c r="K299" s="5">
        <f>140 / 86400</f>
        <v>1.6203703703703703E-3</v>
      </c>
      <c r="L299" s="5">
        <f>38 / 86400</f>
        <v>4.3981481481481481E-4</v>
      </c>
    </row>
    <row r="300" spans="1:12" x14ac:dyDescent="0.25">
      <c r="A300" s="3">
        <v>45691.414768518516</v>
      </c>
      <c r="B300" t="s">
        <v>138</v>
      </c>
      <c r="C300" s="3">
        <v>45691.419398148151</v>
      </c>
      <c r="D300" t="s">
        <v>38</v>
      </c>
      <c r="E300" s="4">
        <v>3.9049934312105177</v>
      </c>
      <c r="F300" s="4">
        <v>346299.60544259055</v>
      </c>
      <c r="G300" s="4">
        <v>346303.51043602172</v>
      </c>
      <c r="H300" s="5">
        <f t="shared" si="1"/>
        <v>0</v>
      </c>
      <c r="I300" t="s">
        <v>175</v>
      </c>
      <c r="J300" t="s">
        <v>264</v>
      </c>
      <c r="K300" s="5">
        <f>400 / 86400</f>
        <v>4.6296296296296294E-3</v>
      </c>
      <c r="L300" s="5">
        <f>20 / 86400</f>
        <v>2.3148148148148149E-4</v>
      </c>
    </row>
    <row r="301" spans="1:12" x14ac:dyDescent="0.25">
      <c r="A301" s="3">
        <v>45691.419629629629</v>
      </c>
      <c r="B301" t="s">
        <v>112</v>
      </c>
      <c r="C301" s="3">
        <v>45691.420787037037</v>
      </c>
      <c r="D301" t="s">
        <v>283</v>
      </c>
      <c r="E301" s="4">
        <v>0.60572998780012133</v>
      </c>
      <c r="F301" s="4">
        <v>346303.59562022565</v>
      </c>
      <c r="G301" s="4">
        <v>346304.20135021349</v>
      </c>
      <c r="H301" s="5">
        <f t="shared" si="1"/>
        <v>0</v>
      </c>
      <c r="I301" t="s">
        <v>248</v>
      </c>
      <c r="J301" t="s">
        <v>24</v>
      </c>
      <c r="K301" s="5">
        <f>100 / 86400</f>
        <v>1.1574074074074073E-3</v>
      </c>
      <c r="L301" s="5">
        <f>20 / 86400</f>
        <v>2.3148148148148149E-4</v>
      </c>
    </row>
    <row r="302" spans="1:12" x14ac:dyDescent="0.25">
      <c r="A302" s="3">
        <v>45691.421018518522</v>
      </c>
      <c r="B302" t="s">
        <v>284</v>
      </c>
      <c r="C302" s="3">
        <v>45691.424027777779</v>
      </c>
      <c r="D302" t="s">
        <v>285</v>
      </c>
      <c r="E302" s="4">
        <v>1.875046867787838</v>
      </c>
      <c r="F302" s="4">
        <v>346304.28929175629</v>
      </c>
      <c r="G302" s="4">
        <v>346306.16433862405</v>
      </c>
      <c r="H302" s="5">
        <f t="shared" si="1"/>
        <v>0</v>
      </c>
      <c r="I302" t="s">
        <v>181</v>
      </c>
      <c r="J302" t="s">
        <v>172</v>
      </c>
      <c r="K302" s="5">
        <f>260 / 86400</f>
        <v>3.0092592592592593E-3</v>
      </c>
      <c r="L302" s="5">
        <f>40 / 86400</f>
        <v>4.6296296296296298E-4</v>
      </c>
    </row>
    <row r="303" spans="1:12" x14ac:dyDescent="0.25">
      <c r="A303" s="3">
        <v>45691.424490740741</v>
      </c>
      <c r="B303" t="s">
        <v>285</v>
      </c>
      <c r="C303" s="3">
        <v>45691.426342592589</v>
      </c>
      <c r="D303" t="s">
        <v>285</v>
      </c>
      <c r="E303" s="4">
        <v>1.3908722393512727</v>
      </c>
      <c r="F303" s="4">
        <v>346306.30478335568</v>
      </c>
      <c r="G303" s="4">
        <v>346307.69565559499</v>
      </c>
      <c r="H303" s="5">
        <f t="shared" si="1"/>
        <v>0</v>
      </c>
      <c r="I303" t="s">
        <v>245</v>
      </c>
      <c r="J303" t="s">
        <v>61</v>
      </c>
      <c r="K303" s="5">
        <f>160 / 86400</f>
        <v>1.8518518518518519E-3</v>
      </c>
      <c r="L303" s="5">
        <f>20 / 86400</f>
        <v>2.3148148148148149E-4</v>
      </c>
    </row>
    <row r="304" spans="1:12" x14ac:dyDescent="0.25">
      <c r="A304" s="3">
        <v>45691.426574074074</v>
      </c>
      <c r="B304" t="s">
        <v>285</v>
      </c>
      <c r="C304" s="3">
        <v>45691.429664351846</v>
      </c>
      <c r="D304" t="s">
        <v>286</v>
      </c>
      <c r="E304" s="4">
        <v>2.6128293701410295</v>
      </c>
      <c r="F304" s="4">
        <v>346307.70600843942</v>
      </c>
      <c r="G304" s="4">
        <v>346310.31883780955</v>
      </c>
      <c r="H304" s="5">
        <f t="shared" si="1"/>
        <v>0</v>
      </c>
      <c r="I304" t="s">
        <v>66</v>
      </c>
      <c r="J304" t="s">
        <v>264</v>
      </c>
      <c r="K304" s="5">
        <f>267 / 86400</f>
        <v>3.0902777777777777E-3</v>
      </c>
      <c r="L304" s="5">
        <f>20 / 86400</f>
        <v>2.3148148148148149E-4</v>
      </c>
    </row>
    <row r="305" spans="1:12" x14ac:dyDescent="0.25">
      <c r="A305" s="3">
        <v>45691.429895833338</v>
      </c>
      <c r="B305" t="s">
        <v>286</v>
      </c>
      <c r="C305" s="3">
        <v>45691.430821759262</v>
      </c>
      <c r="D305" t="s">
        <v>287</v>
      </c>
      <c r="E305" s="4">
        <v>0.92370816677808765</v>
      </c>
      <c r="F305" s="4">
        <v>346310.394898862</v>
      </c>
      <c r="G305" s="4">
        <v>346311.31860702881</v>
      </c>
      <c r="H305" s="5">
        <f t="shared" si="1"/>
        <v>0</v>
      </c>
      <c r="I305" t="s">
        <v>175</v>
      </c>
      <c r="J305" t="s">
        <v>88</v>
      </c>
      <c r="K305" s="5">
        <f>80 / 86400</f>
        <v>9.2592592592592596E-4</v>
      </c>
      <c r="L305" s="5">
        <f>15 / 86400</f>
        <v>1.7361111111111112E-4</v>
      </c>
    </row>
    <row r="306" spans="1:12" x14ac:dyDescent="0.25">
      <c r="A306" s="3">
        <v>45691.430995370371</v>
      </c>
      <c r="B306" t="s">
        <v>104</v>
      </c>
      <c r="C306" s="3">
        <v>45691.432696759264</v>
      </c>
      <c r="D306" t="s">
        <v>288</v>
      </c>
      <c r="E306" s="4">
        <v>1.4222383158206939</v>
      </c>
      <c r="F306" s="4">
        <v>346311.32138191606</v>
      </c>
      <c r="G306" s="4">
        <v>346312.74362023186</v>
      </c>
      <c r="H306" s="5">
        <f t="shared" si="1"/>
        <v>0</v>
      </c>
      <c r="I306" t="s">
        <v>183</v>
      </c>
      <c r="J306" t="s">
        <v>264</v>
      </c>
      <c r="K306" s="5">
        <f>147 / 86400</f>
        <v>1.7013888888888888E-3</v>
      </c>
      <c r="L306" s="5">
        <f>20 / 86400</f>
        <v>2.3148148148148149E-4</v>
      </c>
    </row>
    <row r="307" spans="1:12" x14ac:dyDescent="0.25">
      <c r="A307" s="3">
        <v>45691.432928240742</v>
      </c>
      <c r="B307" t="s">
        <v>49</v>
      </c>
      <c r="C307" s="3">
        <v>45691.434444444443</v>
      </c>
      <c r="D307" t="s">
        <v>289</v>
      </c>
      <c r="E307" s="4">
        <v>0.95672804224491115</v>
      </c>
      <c r="F307" s="4">
        <v>346312.75637462107</v>
      </c>
      <c r="G307" s="4">
        <v>346313.71310266334</v>
      </c>
      <c r="H307" s="5">
        <f t="shared" si="1"/>
        <v>0</v>
      </c>
      <c r="I307" t="s">
        <v>147</v>
      </c>
      <c r="J307" t="s">
        <v>172</v>
      </c>
      <c r="K307" s="5">
        <f>131 / 86400</f>
        <v>1.5162037037037036E-3</v>
      </c>
      <c r="L307" s="5">
        <f>20 / 86400</f>
        <v>2.3148148148148149E-4</v>
      </c>
    </row>
    <row r="308" spans="1:12" x14ac:dyDescent="0.25">
      <c r="A308" s="3">
        <v>45691.434675925921</v>
      </c>
      <c r="B308" t="s">
        <v>289</v>
      </c>
      <c r="C308" s="3">
        <v>45691.434907407413</v>
      </c>
      <c r="D308" t="s">
        <v>290</v>
      </c>
      <c r="E308" s="4">
        <v>0.14563900220394135</v>
      </c>
      <c r="F308" s="4">
        <v>346313.73454608489</v>
      </c>
      <c r="G308" s="4">
        <v>346313.8801850871</v>
      </c>
      <c r="H308" s="5">
        <f t="shared" si="1"/>
        <v>0</v>
      </c>
      <c r="I308" t="s">
        <v>24</v>
      </c>
      <c r="J308" t="s">
        <v>172</v>
      </c>
      <c r="K308" s="5">
        <f>20 / 86400</f>
        <v>2.3148148148148149E-4</v>
      </c>
      <c r="L308" s="5">
        <f>20 / 86400</f>
        <v>2.3148148148148149E-4</v>
      </c>
    </row>
    <row r="309" spans="1:12" x14ac:dyDescent="0.25">
      <c r="A309" s="3">
        <v>45691.43513888889</v>
      </c>
      <c r="B309" t="s">
        <v>290</v>
      </c>
      <c r="C309" s="3">
        <v>45691.435601851852</v>
      </c>
      <c r="D309" t="s">
        <v>291</v>
      </c>
      <c r="E309" s="4">
        <v>0.31033630657196043</v>
      </c>
      <c r="F309" s="4">
        <v>346313.9654858635</v>
      </c>
      <c r="G309" s="4">
        <v>346314.27582217008</v>
      </c>
      <c r="H309" s="5">
        <f t="shared" si="1"/>
        <v>0</v>
      </c>
      <c r="I309" t="s">
        <v>172</v>
      </c>
      <c r="J309" t="s">
        <v>196</v>
      </c>
      <c r="K309" s="5">
        <f>40 / 86400</f>
        <v>4.6296296296296298E-4</v>
      </c>
      <c r="L309" s="5">
        <f>20 / 86400</f>
        <v>2.3148148148148149E-4</v>
      </c>
    </row>
    <row r="310" spans="1:12" x14ac:dyDescent="0.25">
      <c r="A310" s="3">
        <v>45691.435833333337</v>
      </c>
      <c r="B310" t="s">
        <v>292</v>
      </c>
      <c r="C310" s="3">
        <v>45691.436064814814</v>
      </c>
      <c r="D310" t="s">
        <v>49</v>
      </c>
      <c r="E310" s="4">
        <v>5.4500248491764068E-2</v>
      </c>
      <c r="F310" s="4">
        <v>346314.29934387893</v>
      </c>
      <c r="G310" s="4">
        <v>346314.35384412744</v>
      </c>
      <c r="H310" s="5">
        <f t="shared" si="1"/>
        <v>0</v>
      </c>
      <c r="I310" t="s">
        <v>75</v>
      </c>
      <c r="J310" t="s">
        <v>156</v>
      </c>
      <c r="K310" s="5">
        <f>20 / 86400</f>
        <v>2.3148148148148149E-4</v>
      </c>
      <c r="L310" s="5">
        <f>20 / 86400</f>
        <v>2.3148148148148149E-4</v>
      </c>
    </row>
    <row r="311" spans="1:12" x14ac:dyDescent="0.25">
      <c r="A311" s="3">
        <v>45691.436296296291</v>
      </c>
      <c r="B311" t="s">
        <v>49</v>
      </c>
      <c r="C311" s="3">
        <v>45691.436527777776</v>
      </c>
      <c r="D311" t="s">
        <v>49</v>
      </c>
      <c r="E311" s="4">
        <v>1.3859672486782075E-2</v>
      </c>
      <c r="F311" s="4">
        <v>346314.38214905595</v>
      </c>
      <c r="G311" s="4">
        <v>346314.39600872842</v>
      </c>
      <c r="H311" s="5">
        <f t="shared" si="1"/>
        <v>0</v>
      </c>
      <c r="I311" t="s">
        <v>136</v>
      </c>
      <c r="J311" t="s">
        <v>137</v>
      </c>
      <c r="K311" s="5">
        <f>20 / 86400</f>
        <v>2.3148148148148149E-4</v>
      </c>
      <c r="L311" s="5">
        <f>60 / 86400</f>
        <v>6.9444444444444447E-4</v>
      </c>
    </row>
    <row r="312" spans="1:12" x14ac:dyDescent="0.25">
      <c r="A312" s="3">
        <v>45691.437222222223</v>
      </c>
      <c r="B312" t="s">
        <v>49</v>
      </c>
      <c r="C312" s="3">
        <v>45691.437453703707</v>
      </c>
      <c r="D312" t="s">
        <v>293</v>
      </c>
      <c r="E312" s="4">
        <v>0.12264688271284103</v>
      </c>
      <c r="F312" s="4">
        <v>346314.41089346132</v>
      </c>
      <c r="G312" s="4">
        <v>346314.53354034404</v>
      </c>
      <c r="H312" s="5">
        <f t="shared" si="1"/>
        <v>0</v>
      </c>
      <c r="I312" t="s">
        <v>32</v>
      </c>
      <c r="J312" t="s">
        <v>24</v>
      </c>
      <c r="K312" s="5">
        <f>20 / 86400</f>
        <v>2.3148148148148149E-4</v>
      </c>
      <c r="L312" s="5">
        <f>40 / 86400</f>
        <v>4.6296296296296298E-4</v>
      </c>
    </row>
    <row r="313" spans="1:12" x14ac:dyDescent="0.25">
      <c r="A313" s="3">
        <v>45691.437916666662</v>
      </c>
      <c r="B313" t="s">
        <v>293</v>
      </c>
      <c r="C313" s="3">
        <v>45691.438379629632</v>
      </c>
      <c r="D313" t="s">
        <v>293</v>
      </c>
      <c r="E313" s="4">
        <v>0.11997548300027848</v>
      </c>
      <c r="F313" s="4">
        <v>346314.58965942898</v>
      </c>
      <c r="G313" s="4">
        <v>346314.70963491197</v>
      </c>
      <c r="H313" s="5">
        <f t="shared" si="1"/>
        <v>0</v>
      </c>
      <c r="I313" t="s">
        <v>24</v>
      </c>
      <c r="J313" t="s">
        <v>140</v>
      </c>
      <c r="K313" s="5">
        <f>40 / 86400</f>
        <v>4.6296296296296298E-4</v>
      </c>
      <c r="L313" s="5">
        <f>20 / 86400</f>
        <v>2.3148148148148149E-4</v>
      </c>
    </row>
    <row r="314" spans="1:12" x14ac:dyDescent="0.25">
      <c r="A314" s="3">
        <v>45691.438611111109</v>
      </c>
      <c r="B314" t="s">
        <v>49</v>
      </c>
      <c r="C314" s="3">
        <v>45691.438842592594</v>
      </c>
      <c r="D314" t="s">
        <v>49</v>
      </c>
      <c r="E314" s="4">
        <v>2.1610417842864989E-2</v>
      </c>
      <c r="F314" s="4">
        <v>346314.75434423547</v>
      </c>
      <c r="G314" s="4">
        <v>346314.77595465333</v>
      </c>
      <c r="H314" s="5">
        <f t="shared" si="1"/>
        <v>0</v>
      </c>
      <c r="I314" t="s">
        <v>32</v>
      </c>
      <c r="J314" t="s">
        <v>132</v>
      </c>
      <c r="K314" s="5">
        <f>20 / 86400</f>
        <v>2.3148148148148149E-4</v>
      </c>
      <c r="L314" s="5">
        <f>40 / 86400</f>
        <v>4.6296296296296298E-4</v>
      </c>
    </row>
    <row r="315" spans="1:12" x14ac:dyDescent="0.25">
      <c r="A315" s="3">
        <v>45691.439305555556</v>
      </c>
      <c r="B315" t="s">
        <v>294</v>
      </c>
      <c r="C315" s="3">
        <v>45691.439768518518</v>
      </c>
      <c r="D315" t="s">
        <v>294</v>
      </c>
      <c r="E315" s="4">
        <v>3.5994784593582151E-2</v>
      </c>
      <c r="F315" s="4">
        <v>346314.83686132164</v>
      </c>
      <c r="G315" s="4">
        <v>346314.8728561062</v>
      </c>
      <c r="H315" s="5">
        <f t="shared" si="1"/>
        <v>0</v>
      </c>
      <c r="I315" t="s">
        <v>156</v>
      </c>
      <c r="J315" t="s">
        <v>128</v>
      </c>
      <c r="K315" s="5">
        <f>40 / 86400</f>
        <v>4.6296296296296298E-4</v>
      </c>
      <c r="L315" s="5">
        <f>40 / 86400</f>
        <v>4.6296296296296298E-4</v>
      </c>
    </row>
    <row r="316" spans="1:12" x14ac:dyDescent="0.25">
      <c r="A316" s="3">
        <v>45691.44023148148</v>
      </c>
      <c r="B316" t="s">
        <v>294</v>
      </c>
      <c r="C316" s="3">
        <v>45691.440462962964</v>
      </c>
      <c r="D316" t="s">
        <v>49</v>
      </c>
      <c r="E316" s="4">
        <v>7.2397919297218323E-3</v>
      </c>
      <c r="F316" s="4">
        <v>346314.90296901343</v>
      </c>
      <c r="G316" s="4">
        <v>346314.91020880541</v>
      </c>
      <c r="H316" s="5">
        <f t="shared" si="1"/>
        <v>0</v>
      </c>
      <c r="I316" t="s">
        <v>128</v>
      </c>
      <c r="J316" t="s">
        <v>62</v>
      </c>
      <c r="K316" s="5">
        <f>20 / 86400</f>
        <v>2.3148148148148149E-4</v>
      </c>
      <c r="L316" s="5">
        <f>80 / 86400</f>
        <v>9.2592592592592596E-4</v>
      </c>
    </row>
    <row r="317" spans="1:12" x14ac:dyDescent="0.25">
      <c r="A317" s="3">
        <v>45691.441388888888</v>
      </c>
      <c r="B317" t="s">
        <v>49</v>
      </c>
      <c r="C317" s="3">
        <v>45691.44231481482</v>
      </c>
      <c r="D317" t="s">
        <v>295</v>
      </c>
      <c r="E317" s="4">
        <v>0.49789572787284853</v>
      </c>
      <c r="F317" s="4">
        <v>346314.99370012415</v>
      </c>
      <c r="G317" s="4">
        <v>346315.49159585201</v>
      </c>
      <c r="H317" s="5">
        <f t="shared" si="1"/>
        <v>0</v>
      </c>
      <c r="I317" t="s">
        <v>88</v>
      </c>
      <c r="J317" t="s">
        <v>24</v>
      </c>
      <c r="K317" s="5">
        <f>80 / 86400</f>
        <v>9.2592592592592596E-4</v>
      </c>
      <c r="L317" s="5">
        <f>20 / 86400</f>
        <v>2.3148148148148149E-4</v>
      </c>
    </row>
    <row r="318" spans="1:12" x14ac:dyDescent="0.25">
      <c r="A318" s="3">
        <v>45691.442546296297</v>
      </c>
      <c r="B318" t="s">
        <v>296</v>
      </c>
      <c r="C318" s="3">
        <v>45691.445659722223</v>
      </c>
      <c r="D318" t="s">
        <v>114</v>
      </c>
      <c r="E318" s="4">
        <v>1.9193953024744987</v>
      </c>
      <c r="F318" s="4">
        <v>346315.54695933819</v>
      </c>
      <c r="G318" s="4">
        <v>346317.46635464067</v>
      </c>
      <c r="H318" s="5">
        <f t="shared" si="1"/>
        <v>0</v>
      </c>
      <c r="I318" t="s">
        <v>88</v>
      </c>
      <c r="J318" t="s">
        <v>172</v>
      </c>
      <c r="K318" s="5">
        <f>269 / 86400</f>
        <v>3.1134259259259257E-3</v>
      </c>
      <c r="L318" s="5">
        <f>60 / 86400</f>
        <v>6.9444444444444447E-4</v>
      </c>
    </row>
    <row r="319" spans="1:12" x14ac:dyDescent="0.25">
      <c r="A319" s="3">
        <v>45691.446354166663</v>
      </c>
      <c r="B319" t="s">
        <v>114</v>
      </c>
      <c r="C319" s="3">
        <v>45691.447511574079</v>
      </c>
      <c r="D319" t="s">
        <v>297</v>
      </c>
      <c r="E319" s="4">
        <v>0.61128304672241207</v>
      </c>
      <c r="F319" s="4">
        <v>346317.62713030324</v>
      </c>
      <c r="G319" s="4">
        <v>346318.23841334996</v>
      </c>
      <c r="H319" s="5">
        <f t="shared" si="1"/>
        <v>0</v>
      </c>
      <c r="I319" t="s">
        <v>165</v>
      </c>
      <c r="J319" t="s">
        <v>24</v>
      </c>
      <c r="K319" s="5">
        <f>100 / 86400</f>
        <v>1.1574074074074073E-3</v>
      </c>
      <c r="L319" s="5">
        <f>20 / 86400</f>
        <v>2.3148148148148149E-4</v>
      </c>
    </row>
    <row r="320" spans="1:12" x14ac:dyDescent="0.25">
      <c r="A320" s="3">
        <v>45691.447743055556</v>
      </c>
      <c r="B320" t="s">
        <v>134</v>
      </c>
      <c r="C320" s="3">
        <v>45691.450810185182</v>
      </c>
      <c r="D320" t="s">
        <v>298</v>
      </c>
      <c r="E320" s="4">
        <v>1.3263998591303825</v>
      </c>
      <c r="F320" s="4">
        <v>346318.30096381245</v>
      </c>
      <c r="G320" s="4">
        <v>346319.62736367161</v>
      </c>
      <c r="H320" s="5">
        <f t="shared" si="1"/>
        <v>0</v>
      </c>
      <c r="I320" t="s">
        <v>262</v>
      </c>
      <c r="J320" t="s">
        <v>20</v>
      </c>
      <c r="K320" s="5">
        <f>265 / 86400</f>
        <v>3.0671296296296297E-3</v>
      </c>
      <c r="L320" s="5">
        <f>9 / 86400</f>
        <v>1.0416666666666667E-4</v>
      </c>
    </row>
    <row r="321" spans="1:12" x14ac:dyDescent="0.25">
      <c r="A321" s="3">
        <v>45691.450914351852</v>
      </c>
      <c r="B321" t="s">
        <v>298</v>
      </c>
      <c r="C321" s="3">
        <v>45691.451145833329</v>
      </c>
      <c r="D321" t="s">
        <v>299</v>
      </c>
      <c r="E321" s="4">
        <v>1.0537477135658264E-2</v>
      </c>
      <c r="F321" s="4">
        <v>346319.63268181734</v>
      </c>
      <c r="G321" s="4">
        <v>346319.64321929449</v>
      </c>
      <c r="H321" s="5">
        <f t="shared" si="1"/>
        <v>0</v>
      </c>
      <c r="I321" t="s">
        <v>136</v>
      </c>
      <c r="J321" t="s">
        <v>137</v>
      </c>
      <c r="K321" s="5">
        <f>20 / 86400</f>
        <v>2.3148148148148149E-4</v>
      </c>
      <c r="L321" s="5">
        <f>14 / 86400</f>
        <v>1.6203703703703703E-4</v>
      </c>
    </row>
    <row r="322" spans="1:12" x14ac:dyDescent="0.25">
      <c r="A322" s="3">
        <v>45691.451307870375</v>
      </c>
      <c r="B322" t="s">
        <v>299</v>
      </c>
      <c r="C322" s="3">
        <v>45691.452245370368</v>
      </c>
      <c r="D322" t="s">
        <v>142</v>
      </c>
      <c r="E322" s="4">
        <v>0.23147333621978761</v>
      </c>
      <c r="F322" s="4">
        <v>346319.65743112506</v>
      </c>
      <c r="G322" s="4">
        <v>346319.88890446129</v>
      </c>
      <c r="H322" s="5">
        <f t="shared" si="1"/>
        <v>0</v>
      </c>
      <c r="I322" t="s">
        <v>40</v>
      </c>
      <c r="J322" t="s">
        <v>156</v>
      </c>
      <c r="K322" s="5">
        <f>81 / 86400</f>
        <v>9.3749999999999997E-4</v>
      </c>
      <c r="L322" s="5">
        <f>327 / 86400</f>
        <v>3.7847222222222223E-3</v>
      </c>
    </row>
    <row r="323" spans="1:12" x14ac:dyDescent="0.25">
      <c r="A323" s="3">
        <v>45691.456030092595</v>
      </c>
      <c r="B323" t="s">
        <v>142</v>
      </c>
      <c r="C323" s="3">
        <v>45691.459432870368</v>
      </c>
      <c r="D323" t="s">
        <v>127</v>
      </c>
      <c r="E323" s="4">
        <v>1.6428500188589097</v>
      </c>
      <c r="F323" s="4">
        <v>346319.9271970971</v>
      </c>
      <c r="G323" s="4">
        <v>346321.57004711597</v>
      </c>
      <c r="H323" s="5">
        <f t="shared" si="1"/>
        <v>0</v>
      </c>
      <c r="I323" t="s">
        <v>245</v>
      </c>
      <c r="J323" t="s">
        <v>75</v>
      </c>
      <c r="K323" s="5">
        <f>294 / 86400</f>
        <v>3.4027777777777776E-3</v>
      </c>
      <c r="L323" s="5">
        <f>490 / 86400</f>
        <v>5.6712962962962967E-3</v>
      </c>
    </row>
    <row r="324" spans="1:12" x14ac:dyDescent="0.25">
      <c r="A324" s="3">
        <v>45691.465104166666</v>
      </c>
      <c r="B324" t="s">
        <v>127</v>
      </c>
      <c r="C324" s="3">
        <v>45691.465578703705</v>
      </c>
      <c r="D324" t="s">
        <v>127</v>
      </c>
      <c r="E324" s="4">
        <v>1.162894082069397E-2</v>
      </c>
      <c r="F324" s="4">
        <v>346321.58924788062</v>
      </c>
      <c r="G324" s="4">
        <v>346321.60087682144</v>
      </c>
      <c r="H324" s="5">
        <f t="shared" si="1"/>
        <v>0</v>
      </c>
      <c r="I324" t="s">
        <v>132</v>
      </c>
      <c r="J324" t="s">
        <v>62</v>
      </c>
      <c r="K324" s="5">
        <f>41 / 86400</f>
        <v>4.7453703703703704E-4</v>
      </c>
      <c r="L324" s="5">
        <f>268 / 86400</f>
        <v>3.1018518518518517E-3</v>
      </c>
    </row>
    <row r="325" spans="1:12" x14ac:dyDescent="0.25">
      <c r="A325" s="3">
        <v>45691.468680555554</v>
      </c>
      <c r="B325" t="s">
        <v>127</v>
      </c>
      <c r="C325" s="3">
        <v>45691.468969907408</v>
      </c>
      <c r="D325" t="s">
        <v>154</v>
      </c>
      <c r="E325" s="4">
        <v>1.8259809613227845E-2</v>
      </c>
      <c r="F325" s="4">
        <v>346321.60840070556</v>
      </c>
      <c r="G325" s="4">
        <v>346321.62666051521</v>
      </c>
      <c r="H325" s="5">
        <f t="shared" si="1"/>
        <v>0</v>
      </c>
      <c r="I325" t="s">
        <v>76</v>
      </c>
      <c r="J325" t="s">
        <v>128</v>
      </c>
      <c r="K325" s="5">
        <f>25 / 86400</f>
        <v>2.8935185185185184E-4</v>
      </c>
      <c r="L325" s="5">
        <f>40 / 86400</f>
        <v>4.6296296296296298E-4</v>
      </c>
    </row>
    <row r="326" spans="1:12" x14ac:dyDescent="0.25">
      <c r="A326" s="3">
        <v>45691.46943287037</v>
      </c>
      <c r="B326" t="s">
        <v>154</v>
      </c>
      <c r="C326" s="3">
        <v>45691.469467592593</v>
      </c>
      <c r="D326" t="s">
        <v>154</v>
      </c>
      <c r="E326" s="4">
        <v>7.4116522073745729E-4</v>
      </c>
      <c r="F326" s="4">
        <v>346321.64354844834</v>
      </c>
      <c r="G326" s="4">
        <v>346321.64428961353</v>
      </c>
      <c r="H326" s="5">
        <f t="shared" ref="H326:H389" si="2">0 / 86400</f>
        <v>0</v>
      </c>
      <c r="I326" t="s">
        <v>128</v>
      </c>
      <c r="J326" t="s">
        <v>62</v>
      </c>
      <c r="K326" s="5">
        <f>3 / 86400</f>
        <v>3.4722222222222222E-5</v>
      </c>
      <c r="L326" s="5">
        <f>2309 / 86400</f>
        <v>2.6724537037037036E-2</v>
      </c>
    </row>
    <row r="327" spans="1:12" x14ac:dyDescent="0.25">
      <c r="A327" s="3">
        <v>45691.496192129634</v>
      </c>
      <c r="B327" t="s">
        <v>154</v>
      </c>
      <c r="C327" s="3">
        <v>45691.501319444447</v>
      </c>
      <c r="D327" t="s">
        <v>295</v>
      </c>
      <c r="E327" s="4">
        <v>2.6414766049981115</v>
      </c>
      <c r="F327" s="4">
        <v>346321.65360707697</v>
      </c>
      <c r="G327" s="4">
        <v>346324.29508368194</v>
      </c>
      <c r="H327" s="5">
        <f t="shared" si="2"/>
        <v>0</v>
      </c>
      <c r="I327" t="s">
        <v>259</v>
      </c>
      <c r="J327" t="s">
        <v>70</v>
      </c>
      <c r="K327" s="5">
        <f>443 / 86400</f>
        <v>5.1273148148148146E-3</v>
      </c>
      <c r="L327" s="5">
        <f>20 / 86400</f>
        <v>2.3148148148148149E-4</v>
      </c>
    </row>
    <row r="328" spans="1:12" x14ac:dyDescent="0.25">
      <c r="A328" s="3">
        <v>45691.501550925925</v>
      </c>
      <c r="B328" t="s">
        <v>295</v>
      </c>
      <c r="C328" s="3">
        <v>45691.504004629634</v>
      </c>
      <c r="D328" t="s">
        <v>300</v>
      </c>
      <c r="E328" s="4">
        <v>1.0677096858024597</v>
      </c>
      <c r="F328" s="4">
        <v>346324.33510667231</v>
      </c>
      <c r="G328" s="4">
        <v>346325.40281635808</v>
      </c>
      <c r="H328" s="5">
        <f t="shared" si="2"/>
        <v>0</v>
      </c>
      <c r="I328" t="s">
        <v>196</v>
      </c>
      <c r="J328" t="s">
        <v>20</v>
      </c>
      <c r="K328" s="5">
        <f>212 / 86400</f>
        <v>2.4537037037037036E-3</v>
      </c>
      <c r="L328" s="5">
        <f>11 / 86400</f>
        <v>1.273148148148148E-4</v>
      </c>
    </row>
    <row r="329" spans="1:12" x14ac:dyDescent="0.25">
      <c r="A329" s="3">
        <v>45691.504131944443</v>
      </c>
      <c r="B329" t="s">
        <v>300</v>
      </c>
      <c r="C329" s="3">
        <v>45691.50608796296</v>
      </c>
      <c r="D329" t="s">
        <v>145</v>
      </c>
      <c r="E329" s="4">
        <v>0.54444531995058054</v>
      </c>
      <c r="F329" s="4">
        <v>346325.40600530099</v>
      </c>
      <c r="G329" s="4">
        <v>346325.95045062096</v>
      </c>
      <c r="H329" s="5">
        <f t="shared" si="2"/>
        <v>0</v>
      </c>
      <c r="I329" t="s">
        <v>120</v>
      </c>
      <c r="J329" t="s">
        <v>155</v>
      </c>
      <c r="K329" s="5">
        <f>169 / 86400</f>
        <v>1.9560185185185184E-3</v>
      </c>
      <c r="L329" s="5">
        <f>20 / 86400</f>
        <v>2.3148148148148149E-4</v>
      </c>
    </row>
    <row r="330" spans="1:12" x14ac:dyDescent="0.25">
      <c r="A330" s="3">
        <v>45691.506319444445</v>
      </c>
      <c r="B330" t="s">
        <v>145</v>
      </c>
      <c r="C330" s="3">
        <v>45691.506550925929</v>
      </c>
      <c r="D330" t="s">
        <v>301</v>
      </c>
      <c r="E330" s="4">
        <v>6.3374275565147402E-3</v>
      </c>
      <c r="F330" s="4">
        <v>346325.95642661088</v>
      </c>
      <c r="G330" s="4">
        <v>346325.96276403847</v>
      </c>
      <c r="H330" s="5">
        <f t="shared" si="2"/>
        <v>0</v>
      </c>
      <c r="I330" t="s">
        <v>137</v>
      </c>
      <c r="J330" t="s">
        <v>62</v>
      </c>
      <c r="K330" s="5">
        <f>20 / 86400</f>
        <v>2.3148148148148149E-4</v>
      </c>
      <c r="L330" s="5">
        <f>87 / 86400</f>
        <v>1.0069444444444444E-3</v>
      </c>
    </row>
    <row r="331" spans="1:12" x14ac:dyDescent="0.25">
      <c r="A331" s="3">
        <v>45691.507557870369</v>
      </c>
      <c r="B331" t="s">
        <v>301</v>
      </c>
      <c r="C331" s="3">
        <v>45691.507789351846</v>
      </c>
      <c r="D331" t="s">
        <v>301</v>
      </c>
      <c r="E331" s="4">
        <v>2.8738116621971131E-3</v>
      </c>
      <c r="F331" s="4">
        <v>346325.97790428635</v>
      </c>
      <c r="G331" s="4">
        <v>346325.98077809799</v>
      </c>
      <c r="H331" s="5">
        <f t="shared" si="2"/>
        <v>0</v>
      </c>
      <c r="I331" t="s">
        <v>136</v>
      </c>
      <c r="J331" t="s">
        <v>62</v>
      </c>
      <c r="K331" s="5">
        <f>20 / 86400</f>
        <v>2.3148148148148149E-4</v>
      </c>
      <c r="L331" s="5">
        <f>180 / 86400</f>
        <v>2.0833333333333333E-3</v>
      </c>
    </row>
    <row r="332" spans="1:12" x14ac:dyDescent="0.25">
      <c r="A332" s="3">
        <v>45691.509872685187</v>
      </c>
      <c r="B332" t="s">
        <v>301</v>
      </c>
      <c r="C332" s="3">
        <v>45691.510104166664</v>
      </c>
      <c r="D332" t="s">
        <v>301</v>
      </c>
      <c r="E332" s="4">
        <v>1.8227885365486144E-3</v>
      </c>
      <c r="F332" s="4">
        <v>346326.01086526411</v>
      </c>
      <c r="G332" s="4">
        <v>346326.01268805267</v>
      </c>
      <c r="H332" s="5">
        <f t="shared" si="2"/>
        <v>0</v>
      </c>
      <c r="I332" t="s">
        <v>62</v>
      </c>
      <c r="J332" t="s">
        <v>33</v>
      </c>
      <c r="K332" s="5">
        <f>20 / 86400</f>
        <v>2.3148148148148149E-4</v>
      </c>
      <c r="L332" s="5">
        <f>40 / 86400</f>
        <v>4.6296296296296298E-4</v>
      </c>
    </row>
    <row r="333" spans="1:12" x14ac:dyDescent="0.25">
      <c r="A333" s="3">
        <v>45691.510567129633</v>
      </c>
      <c r="B333" t="s">
        <v>301</v>
      </c>
      <c r="C333" s="3">
        <v>45691.510798611111</v>
      </c>
      <c r="D333" t="s">
        <v>301</v>
      </c>
      <c r="E333" s="4">
        <v>4.6559994816780092E-3</v>
      </c>
      <c r="F333" s="4">
        <v>346326.01732262317</v>
      </c>
      <c r="G333" s="4">
        <v>346326.02197862265</v>
      </c>
      <c r="H333" s="5">
        <f t="shared" si="2"/>
        <v>0</v>
      </c>
      <c r="I333" t="s">
        <v>128</v>
      </c>
      <c r="J333" t="s">
        <v>62</v>
      </c>
      <c r="K333" s="5">
        <f>20 / 86400</f>
        <v>2.3148148148148149E-4</v>
      </c>
      <c r="L333" s="5">
        <f>20 / 86400</f>
        <v>2.3148148148148149E-4</v>
      </c>
    </row>
    <row r="334" spans="1:12" x14ac:dyDescent="0.25">
      <c r="A334" s="3">
        <v>45691.511030092588</v>
      </c>
      <c r="B334" t="s">
        <v>301</v>
      </c>
      <c r="C334" s="3">
        <v>45691.511261574073</v>
      </c>
      <c r="D334" t="s">
        <v>301</v>
      </c>
      <c r="E334" s="4">
        <v>2.4668126106262207E-3</v>
      </c>
      <c r="F334" s="4">
        <v>346326.02361253655</v>
      </c>
      <c r="G334" s="4">
        <v>346326.02607934916</v>
      </c>
      <c r="H334" s="5">
        <f t="shared" si="2"/>
        <v>0</v>
      </c>
      <c r="I334" t="s">
        <v>62</v>
      </c>
      <c r="J334" t="s">
        <v>33</v>
      </c>
      <c r="K334" s="5">
        <f>20 / 86400</f>
        <v>2.3148148148148149E-4</v>
      </c>
      <c r="L334" s="5">
        <f>80 / 86400</f>
        <v>9.2592592592592596E-4</v>
      </c>
    </row>
    <row r="335" spans="1:12" x14ac:dyDescent="0.25">
      <c r="A335" s="3">
        <v>45691.512187500004</v>
      </c>
      <c r="B335" t="s">
        <v>301</v>
      </c>
      <c r="C335" s="3">
        <v>45691.513009259259</v>
      </c>
      <c r="D335" t="s">
        <v>291</v>
      </c>
      <c r="E335" s="4">
        <v>9.1541025936603543E-2</v>
      </c>
      <c r="F335" s="4">
        <v>346326.02936153853</v>
      </c>
      <c r="G335" s="4">
        <v>346326.12090256449</v>
      </c>
      <c r="H335" s="5">
        <f t="shared" si="2"/>
        <v>0</v>
      </c>
      <c r="I335" t="s">
        <v>59</v>
      </c>
      <c r="J335" t="s">
        <v>136</v>
      </c>
      <c r="K335" s="5">
        <f>71 / 86400</f>
        <v>8.2175925925925927E-4</v>
      </c>
      <c r="L335" s="5">
        <f>20 / 86400</f>
        <v>2.3148148148148149E-4</v>
      </c>
    </row>
    <row r="336" spans="1:12" x14ac:dyDescent="0.25">
      <c r="A336" s="3">
        <v>45691.513240740736</v>
      </c>
      <c r="B336" t="s">
        <v>291</v>
      </c>
      <c r="C336" s="3">
        <v>45691.513703703706</v>
      </c>
      <c r="D336" t="s">
        <v>291</v>
      </c>
      <c r="E336" s="4">
        <v>0.10394108021259307</v>
      </c>
      <c r="F336" s="4">
        <v>346326.15745467466</v>
      </c>
      <c r="G336" s="4">
        <v>346326.26139575487</v>
      </c>
      <c r="H336" s="5">
        <f t="shared" si="2"/>
        <v>0</v>
      </c>
      <c r="I336" t="s">
        <v>35</v>
      </c>
      <c r="J336" t="s">
        <v>79</v>
      </c>
      <c r="K336" s="5">
        <f>40 / 86400</f>
        <v>4.6296296296296298E-4</v>
      </c>
      <c r="L336" s="5">
        <f>20 / 86400</f>
        <v>2.3148148148148149E-4</v>
      </c>
    </row>
    <row r="337" spans="1:12" x14ac:dyDescent="0.25">
      <c r="A337" s="3">
        <v>45691.513935185183</v>
      </c>
      <c r="B337" t="s">
        <v>302</v>
      </c>
      <c r="C337" s="3">
        <v>45691.515092592592</v>
      </c>
      <c r="D337" t="s">
        <v>49</v>
      </c>
      <c r="E337" s="4">
        <v>0.84690471613407137</v>
      </c>
      <c r="F337" s="4">
        <v>346326.35076397855</v>
      </c>
      <c r="G337" s="4">
        <v>346327.19766869466</v>
      </c>
      <c r="H337" s="5">
        <f t="shared" si="2"/>
        <v>0</v>
      </c>
      <c r="I337" t="s">
        <v>188</v>
      </c>
      <c r="J337" t="s">
        <v>257</v>
      </c>
      <c r="K337" s="5">
        <f>100 / 86400</f>
        <v>1.1574074074074073E-3</v>
      </c>
      <c r="L337" s="5">
        <f>20 / 86400</f>
        <v>2.3148148148148149E-4</v>
      </c>
    </row>
    <row r="338" spans="1:12" x14ac:dyDescent="0.25">
      <c r="A338" s="3">
        <v>45691.515324074076</v>
      </c>
      <c r="B338" t="s">
        <v>303</v>
      </c>
      <c r="C338" s="3">
        <v>45691.516250000001</v>
      </c>
      <c r="D338" t="s">
        <v>49</v>
      </c>
      <c r="E338" s="4">
        <v>0.35406753581762312</v>
      </c>
      <c r="F338" s="4">
        <v>346327.23810167308</v>
      </c>
      <c r="G338" s="4">
        <v>346327.59216920886</v>
      </c>
      <c r="H338" s="5">
        <f t="shared" si="2"/>
        <v>0</v>
      </c>
      <c r="I338" t="s">
        <v>176</v>
      </c>
      <c r="J338" t="s">
        <v>40</v>
      </c>
      <c r="K338" s="5">
        <f>80 / 86400</f>
        <v>9.2592592592592596E-4</v>
      </c>
      <c r="L338" s="5">
        <f>80 / 86400</f>
        <v>9.2592592592592596E-4</v>
      </c>
    </row>
    <row r="339" spans="1:12" x14ac:dyDescent="0.25">
      <c r="A339" s="3">
        <v>45691.517175925925</v>
      </c>
      <c r="B339" t="s">
        <v>49</v>
      </c>
      <c r="C339" s="3">
        <v>45691.519027777773</v>
      </c>
      <c r="D339" t="s">
        <v>287</v>
      </c>
      <c r="E339" s="4">
        <v>1.4661944707036019</v>
      </c>
      <c r="F339" s="4">
        <v>346327.63515170617</v>
      </c>
      <c r="G339" s="4">
        <v>346329.10134617687</v>
      </c>
      <c r="H339" s="5">
        <f t="shared" si="2"/>
        <v>0</v>
      </c>
      <c r="I339" t="s">
        <v>181</v>
      </c>
      <c r="J339" t="s">
        <v>197</v>
      </c>
      <c r="K339" s="5">
        <f>160 / 86400</f>
        <v>1.8518518518518519E-3</v>
      </c>
      <c r="L339" s="5">
        <f>20 / 86400</f>
        <v>2.3148148148148149E-4</v>
      </c>
    </row>
    <row r="340" spans="1:12" x14ac:dyDescent="0.25">
      <c r="A340" s="3">
        <v>45691.519259259258</v>
      </c>
      <c r="B340" t="s">
        <v>104</v>
      </c>
      <c r="C340" s="3">
        <v>45691.52180555556</v>
      </c>
      <c r="D340" t="s">
        <v>304</v>
      </c>
      <c r="E340" s="4">
        <v>2.6912143629193306</v>
      </c>
      <c r="F340" s="4">
        <v>346329.13518275612</v>
      </c>
      <c r="G340" s="4">
        <v>346331.82639711903</v>
      </c>
      <c r="H340" s="5">
        <f t="shared" si="2"/>
        <v>0</v>
      </c>
      <c r="I340" t="s">
        <v>95</v>
      </c>
      <c r="J340" t="s">
        <v>254</v>
      </c>
      <c r="K340" s="5">
        <f>220 / 86400</f>
        <v>2.5462962962962965E-3</v>
      </c>
      <c r="L340" s="5">
        <f>20 / 86400</f>
        <v>2.3148148148148149E-4</v>
      </c>
    </row>
    <row r="341" spans="1:12" x14ac:dyDescent="0.25">
      <c r="A341" s="3">
        <v>45691.522037037037</v>
      </c>
      <c r="B341" t="s">
        <v>304</v>
      </c>
      <c r="C341" s="3">
        <v>45691.525833333333</v>
      </c>
      <c r="D341" t="s">
        <v>173</v>
      </c>
      <c r="E341" s="4">
        <v>3.4316121893525122</v>
      </c>
      <c r="F341" s="4">
        <v>346331.83413665317</v>
      </c>
      <c r="G341" s="4">
        <v>346335.26574884256</v>
      </c>
      <c r="H341" s="5">
        <f t="shared" si="2"/>
        <v>0</v>
      </c>
      <c r="I341" t="s">
        <v>95</v>
      </c>
      <c r="J341" t="s">
        <v>143</v>
      </c>
      <c r="K341" s="5">
        <f>328 / 86400</f>
        <v>3.7962962962962963E-3</v>
      </c>
      <c r="L341" s="5">
        <f>20 / 86400</f>
        <v>2.3148148148148149E-4</v>
      </c>
    </row>
    <row r="342" spans="1:12" x14ac:dyDescent="0.25">
      <c r="A342" s="3">
        <v>45691.526064814811</v>
      </c>
      <c r="B342" t="s">
        <v>173</v>
      </c>
      <c r="C342" s="3">
        <v>45691.526296296295</v>
      </c>
      <c r="D342" t="s">
        <v>173</v>
      </c>
      <c r="E342" s="4">
        <v>0.12530790758132934</v>
      </c>
      <c r="F342" s="4">
        <v>346335.4750856277</v>
      </c>
      <c r="G342" s="4">
        <v>346335.60039353528</v>
      </c>
      <c r="H342" s="5">
        <f t="shared" si="2"/>
        <v>0</v>
      </c>
      <c r="I342" t="s">
        <v>203</v>
      </c>
      <c r="J342" t="s">
        <v>170</v>
      </c>
      <c r="K342" s="5">
        <f>20 / 86400</f>
        <v>2.3148148148148149E-4</v>
      </c>
      <c r="L342" s="5">
        <f>40 / 86400</f>
        <v>4.6296296296296298E-4</v>
      </c>
    </row>
    <row r="343" spans="1:12" x14ac:dyDescent="0.25">
      <c r="A343" s="3">
        <v>45691.526759259257</v>
      </c>
      <c r="B343" t="s">
        <v>173</v>
      </c>
      <c r="C343" s="3">
        <v>45691.527916666666</v>
      </c>
      <c r="D343" t="s">
        <v>285</v>
      </c>
      <c r="E343" s="4">
        <v>0.61381342715024945</v>
      </c>
      <c r="F343" s="4">
        <v>346335.60565676889</v>
      </c>
      <c r="G343" s="4">
        <v>346336.21947019605</v>
      </c>
      <c r="H343" s="5">
        <f t="shared" si="2"/>
        <v>0</v>
      </c>
      <c r="I343" t="s">
        <v>282</v>
      </c>
      <c r="J343" t="s">
        <v>24</v>
      </c>
      <c r="K343" s="5">
        <f>100 / 86400</f>
        <v>1.1574074074074073E-3</v>
      </c>
      <c r="L343" s="5">
        <f>20 / 86400</f>
        <v>2.3148148148148149E-4</v>
      </c>
    </row>
    <row r="344" spans="1:12" x14ac:dyDescent="0.25">
      <c r="A344" s="3">
        <v>45691.528148148151</v>
      </c>
      <c r="B344" t="s">
        <v>284</v>
      </c>
      <c r="C344" s="3">
        <v>45691.530925925923</v>
      </c>
      <c r="D344" t="s">
        <v>38</v>
      </c>
      <c r="E344" s="4">
        <v>3.1549815272092818</v>
      </c>
      <c r="F344" s="4">
        <v>346336.33618112048</v>
      </c>
      <c r="G344" s="4">
        <v>346339.49116264767</v>
      </c>
      <c r="H344" s="5">
        <f t="shared" si="2"/>
        <v>0</v>
      </c>
      <c r="I344" t="s">
        <v>37</v>
      </c>
      <c r="J344" t="s">
        <v>199</v>
      </c>
      <c r="K344" s="5">
        <f>240 / 86400</f>
        <v>2.7777777777777779E-3</v>
      </c>
      <c r="L344" s="5">
        <f>20 / 86400</f>
        <v>2.3148148148148149E-4</v>
      </c>
    </row>
    <row r="345" spans="1:12" x14ac:dyDescent="0.25">
      <c r="A345" s="3">
        <v>45691.531157407408</v>
      </c>
      <c r="B345" t="s">
        <v>112</v>
      </c>
      <c r="C345" s="3">
        <v>45691.532083333332</v>
      </c>
      <c r="D345" t="s">
        <v>112</v>
      </c>
      <c r="E345" s="4">
        <v>0.97903535705804823</v>
      </c>
      <c r="F345" s="4">
        <v>346339.67134064186</v>
      </c>
      <c r="G345" s="4">
        <v>346340.65037599893</v>
      </c>
      <c r="H345" s="5">
        <f t="shared" si="2"/>
        <v>0</v>
      </c>
      <c r="I345" t="s">
        <v>258</v>
      </c>
      <c r="J345" t="s">
        <v>254</v>
      </c>
      <c r="K345" s="5">
        <f>80 / 86400</f>
        <v>9.2592592592592596E-4</v>
      </c>
      <c r="L345" s="5">
        <f>60 / 86400</f>
        <v>6.9444444444444447E-4</v>
      </c>
    </row>
    <row r="346" spans="1:12" x14ac:dyDescent="0.25">
      <c r="A346" s="3">
        <v>45691.532777777778</v>
      </c>
      <c r="B346" t="s">
        <v>182</v>
      </c>
      <c r="C346" s="3">
        <v>45691.533009259263</v>
      </c>
      <c r="D346" t="s">
        <v>182</v>
      </c>
      <c r="E346" s="4">
        <v>2.1906063318252563E-2</v>
      </c>
      <c r="F346" s="4">
        <v>346340.7226545568</v>
      </c>
      <c r="G346" s="4">
        <v>346340.74456062011</v>
      </c>
      <c r="H346" s="5">
        <f t="shared" si="2"/>
        <v>0</v>
      </c>
      <c r="I346" t="s">
        <v>155</v>
      </c>
      <c r="J346" t="s">
        <v>132</v>
      </c>
      <c r="K346" s="5">
        <f>20 / 86400</f>
        <v>2.3148148148148149E-4</v>
      </c>
      <c r="L346" s="5">
        <f>40 / 86400</f>
        <v>4.6296296296296298E-4</v>
      </c>
    </row>
    <row r="347" spans="1:12" x14ac:dyDescent="0.25">
      <c r="A347" s="3">
        <v>45691.533472222218</v>
      </c>
      <c r="B347" t="s">
        <v>182</v>
      </c>
      <c r="C347" s="3">
        <v>45691.533703703702</v>
      </c>
      <c r="D347" t="s">
        <v>182</v>
      </c>
      <c r="E347" s="4">
        <v>3.4099318861961367E-2</v>
      </c>
      <c r="F347" s="4">
        <v>346340.75376667798</v>
      </c>
      <c r="G347" s="4">
        <v>346340.78786599683</v>
      </c>
      <c r="H347" s="5">
        <f t="shared" si="2"/>
        <v>0</v>
      </c>
      <c r="I347" t="s">
        <v>45</v>
      </c>
      <c r="J347" t="s">
        <v>32</v>
      </c>
      <c r="K347" s="5">
        <f>20 / 86400</f>
        <v>2.3148148148148149E-4</v>
      </c>
      <c r="L347" s="5">
        <f>20 / 86400</f>
        <v>2.3148148148148149E-4</v>
      </c>
    </row>
    <row r="348" spans="1:12" x14ac:dyDescent="0.25">
      <c r="A348" s="3">
        <v>45691.533935185187</v>
      </c>
      <c r="B348" t="s">
        <v>138</v>
      </c>
      <c r="C348" s="3">
        <v>45691.534166666665</v>
      </c>
      <c r="D348" t="s">
        <v>138</v>
      </c>
      <c r="E348" s="4">
        <v>4.054265081882477E-3</v>
      </c>
      <c r="F348" s="4">
        <v>346340.80685863487</v>
      </c>
      <c r="G348" s="4">
        <v>346340.81091289996</v>
      </c>
      <c r="H348" s="5">
        <f t="shared" si="2"/>
        <v>0</v>
      </c>
      <c r="I348" t="s">
        <v>128</v>
      </c>
      <c r="J348" t="s">
        <v>62</v>
      </c>
      <c r="K348" s="5">
        <f>20 / 86400</f>
        <v>2.3148148148148149E-4</v>
      </c>
      <c r="L348" s="5">
        <f>60 / 86400</f>
        <v>6.9444444444444447E-4</v>
      </c>
    </row>
    <row r="349" spans="1:12" x14ac:dyDescent="0.25">
      <c r="A349" s="3">
        <v>45691.534861111111</v>
      </c>
      <c r="B349" t="s">
        <v>138</v>
      </c>
      <c r="C349" s="3">
        <v>45691.535092592589</v>
      </c>
      <c r="D349" t="s">
        <v>138</v>
      </c>
      <c r="E349" s="4">
        <v>1.3649557232856751E-2</v>
      </c>
      <c r="F349" s="4">
        <v>346340.8158612675</v>
      </c>
      <c r="G349" s="4">
        <v>346340.82951082475</v>
      </c>
      <c r="H349" s="5">
        <f t="shared" si="2"/>
        <v>0</v>
      </c>
      <c r="I349" t="s">
        <v>132</v>
      </c>
      <c r="J349" t="s">
        <v>137</v>
      </c>
      <c r="K349" s="5">
        <f>20 / 86400</f>
        <v>2.3148148148148149E-4</v>
      </c>
      <c r="L349" s="5">
        <f>20 / 86400</f>
        <v>2.3148148148148149E-4</v>
      </c>
    </row>
    <row r="350" spans="1:12" x14ac:dyDescent="0.25">
      <c r="A350" s="3">
        <v>45691.535324074073</v>
      </c>
      <c r="B350" t="s">
        <v>138</v>
      </c>
      <c r="C350" s="3">
        <v>45691.537638888884</v>
      </c>
      <c r="D350" t="s">
        <v>185</v>
      </c>
      <c r="E350" s="4">
        <v>2.4496538434028627</v>
      </c>
      <c r="F350" s="4">
        <v>346340.84721540613</v>
      </c>
      <c r="G350" s="4">
        <v>346343.29686924955</v>
      </c>
      <c r="H350" s="5">
        <f t="shared" si="2"/>
        <v>0</v>
      </c>
      <c r="I350" t="s">
        <v>305</v>
      </c>
      <c r="J350" t="s">
        <v>254</v>
      </c>
      <c r="K350" s="5">
        <f>200 / 86400</f>
        <v>2.3148148148148147E-3</v>
      </c>
      <c r="L350" s="5">
        <f>40 / 86400</f>
        <v>4.6296296296296298E-4</v>
      </c>
    </row>
    <row r="351" spans="1:12" x14ac:dyDescent="0.25">
      <c r="A351" s="3">
        <v>45691.538101851853</v>
      </c>
      <c r="B351" t="s">
        <v>184</v>
      </c>
      <c r="C351" s="3">
        <v>45691.5387962963</v>
      </c>
      <c r="D351" t="s">
        <v>185</v>
      </c>
      <c r="E351" s="4">
        <v>0.77722773408889767</v>
      </c>
      <c r="F351" s="4">
        <v>346343.37410194147</v>
      </c>
      <c r="G351" s="4">
        <v>346344.15132967557</v>
      </c>
      <c r="H351" s="5">
        <f t="shared" si="2"/>
        <v>0</v>
      </c>
      <c r="I351" t="s">
        <v>78</v>
      </c>
      <c r="J351" t="s">
        <v>199</v>
      </c>
      <c r="K351" s="5">
        <f>60 / 86400</f>
        <v>6.9444444444444447E-4</v>
      </c>
      <c r="L351" s="5">
        <f>40 / 86400</f>
        <v>4.6296296296296298E-4</v>
      </c>
    </row>
    <row r="352" spans="1:12" x14ac:dyDescent="0.25">
      <c r="A352" s="3">
        <v>45691.539259259254</v>
      </c>
      <c r="B352" t="s">
        <v>280</v>
      </c>
      <c r="C352" s="3">
        <v>45691.539722222224</v>
      </c>
      <c r="D352" t="s">
        <v>185</v>
      </c>
      <c r="E352" s="4">
        <v>0.44517816621065137</v>
      </c>
      <c r="F352" s="4">
        <v>346344.35721500381</v>
      </c>
      <c r="G352" s="4">
        <v>346344.80239317002</v>
      </c>
      <c r="H352" s="5">
        <f t="shared" si="2"/>
        <v>0</v>
      </c>
      <c r="I352" t="s">
        <v>66</v>
      </c>
      <c r="J352" t="s">
        <v>262</v>
      </c>
      <c r="K352" s="5">
        <f>40 / 86400</f>
        <v>4.6296296296296298E-4</v>
      </c>
      <c r="L352" s="5">
        <f t="shared" ref="L352:L357" si="3">20 / 86400</f>
        <v>2.3148148148148149E-4</v>
      </c>
    </row>
    <row r="353" spans="1:12" x14ac:dyDescent="0.25">
      <c r="A353" s="3">
        <v>45691.539953703701</v>
      </c>
      <c r="B353" t="s">
        <v>185</v>
      </c>
      <c r="C353" s="3">
        <v>45691.541342592594</v>
      </c>
      <c r="D353" t="s">
        <v>71</v>
      </c>
      <c r="E353" s="4">
        <v>1.3691180194616317</v>
      </c>
      <c r="F353" s="4">
        <v>346344.98146794765</v>
      </c>
      <c r="G353" s="4">
        <v>346346.35058596713</v>
      </c>
      <c r="H353" s="5">
        <f t="shared" si="2"/>
        <v>0</v>
      </c>
      <c r="I353" t="s">
        <v>240</v>
      </c>
      <c r="J353" t="s">
        <v>186</v>
      </c>
      <c r="K353" s="5">
        <f>120 / 86400</f>
        <v>1.3888888888888889E-3</v>
      </c>
      <c r="L353" s="5">
        <f t="shared" si="3"/>
        <v>2.3148148148148149E-4</v>
      </c>
    </row>
    <row r="354" spans="1:12" x14ac:dyDescent="0.25">
      <c r="A354" s="3">
        <v>45691.541574074072</v>
      </c>
      <c r="B354" t="s">
        <v>306</v>
      </c>
      <c r="C354" s="3">
        <v>45691.543888888889</v>
      </c>
      <c r="D354" t="s">
        <v>71</v>
      </c>
      <c r="E354" s="4">
        <v>2.2131849026083947</v>
      </c>
      <c r="F354" s="4">
        <v>346346.40484499384</v>
      </c>
      <c r="G354" s="4">
        <v>346348.61802989646</v>
      </c>
      <c r="H354" s="5">
        <f t="shared" si="2"/>
        <v>0</v>
      </c>
      <c r="I354" t="s">
        <v>66</v>
      </c>
      <c r="J354" t="s">
        <v>262</v>
      </c>
      <c r="K354" s="5">
        <f>200 / 86400</f>
        <v>2.3148148148148147E-3</v>
      </c>
      <c r="L354" s="5">
        <f t="shared" si="3"/>
        <v>2.3148148148148149E-4</v>
      </c>
    </row>
    <row r="355" spans="1:12" x14ac:dyDescent="0.25">
      <c r="A355" s="3">
        <v>45691.544120370367</v>
      </c>
      <c r="B355" t="s">
        <v>71</v>
      </c>
      <c r="C355" s="3">
        <v>45691.544814814813</v>
      </c>
      <c r="D355" t="s">
        <v>190</v>
      </c>
      <c r="E355" s="4">
        <v>0.10255827301740647</v>
      </c>
      <c r="F355" s="4">
        <v>346348.62068368687</v>
      </c>
      <c r="G355" s="4">
        <v>346348.72324195987</v>
      </c>
      <c r="H355" s="5">
        <f t="shared" si="2"/>
        <v>0</v>
      </c>
      <c r="I355" t="s">
        <v>79</v>
      </c>
      <c r="J355" t="s">
        <v>32</v>
      </c>
      <c r="K355" s="5">
        <f>60 / 86400</f>
        <v>6.9444444444444447E-4</v>
      </c>
      <c r="L355" s="5">
        <f t="shared" si="3"/>
        <v>2.3148148148148149E-4</v>
      </c>
    </row>
    <row r="356" spans="1:12" x14ac:dyDescent="0.25">
      <c r="A356" s="3">
        <v>45691.545046296298</v>
      </c>
      <c r="B356" t="s">
        <v>71</v>
      </c>
      <c r="C356" s="3">
        <v>45691.546435185184</v>
      </c>
      <c r="D356" t="s">
        <v>108</v>
      </c>
      <c r="E356" s="4">
        <v>1.6359486763477324</v>
      </c>
      <c r="F356" s="4">
        <v>346348.85544754122</v>
      </c>
      <c r="G356" s="4">
        <v>346350.49139621761</v>
      </c>
      <c r="H356" s="5">
        <f t="shared" si="2"/>
        <v>0</v>
      </c>
      <c r="I356" t="s">
        <v>19</v>
      </c>
      <c r="J356" t="s">
        <v>279</v>
      </c>
      <c r="K356" s="5">
        <f>120 / 86400</f>
        <v>1.3888888888888889E-3</v>
      </c>
      <c r="L356" s="5">
        <f t="shared" si="3"/>
        <v>2.3148148148148149E-4</v>
      </c>
    </row>
    <row r="357" spans="1:12" x14ac:dyDescent="0.25">
      <c r="A357" s="3">
        <v>45691.546666666662</v>
      </c>
      <c r="B357" t="s">
        <v>108</v>
      </c>
      <c r="C357" s="3">
        <v>45691.547592592593</v>
      </c>
      <c r="D357" t="s">
        <v>108</v>
      </c>
      <c r="E357" s="4">
        <v>0.81203505384922026</v>
      </c>
      <c r="F357" s="4">
        <v>346350.51948451245</v>
      </c>
      <c r="G357" s="4">
        <v>346351.3315195663</v>
      </c>
      <c r="H357" s="5">
        <f t="shared" si="2"/>
        <v>0</v>
      </c>
      <c r="I357" t="s">
        <v>126</v>
      </c>
      <c r="J357" t="s">
        <v>248</v>
      </c>
      <c r="K357" s="5">
        <f>80 / 86400</f>
        <v>9.2592592592592596E-4</v>
      </c>
      <c r="L357" s="5">
        <f t="shared" si="3"/>
        <v>2.3148148148148149E-4</v>
      </c>
    </row>
    <row r="358" spans="1:12" x14ac:dyDescent="0.25">
      <c r="A358" s="3">
        <v>45691.547824074078</v>
      </c>
      <c r="B358" t="s">
        <v>108</v>
      </c>
      <c r="C358" s="3">
        <v>45691.548518518517</v>
      </c>
      <c r="D358" t="s">
        <v>108</v>
      </c>
      <c r="E358" s="4">
        <v>9.6473606169223791E-2</v>
      </c>
      <c r="F358" s="4">
        <v>346351.36935131287</v>
      </c>
      <c r="G358" s="4">
        <v>346351.46582491905</v>
      </c>
      <c r="H358" s="5">
        <f t="shared" si="2"/>
        <v>0</v>
      </c>
      <c r="I358" t="s">
        <v>155</v>
      </c>
      <c r="J358" t="s">
        <v>32</v>
      </c>
      <c r="K358" s="5">
        <f>60 / 86400</f>
        <v>6.9444444444444447E-4</v>
      </c>
      <c r="L358" s="5">
        <f>33 / 86400</f>
        <v>3.8194444444444446E-4</v>
      </c>
    </row>
    <row r="359" spans="1:12" x14ac:dyDescent="0.25">
      <c r="A359" s="3">
        <v>45691.548900462964</v>
      </c>
      <c r="B359" t="s">
        <v>108</v>
      </c>
      <c r="C359" s="3">
        <v>45691.550752314812</v>
      </c>
      <c r="D359" t="s">
        <v>307</v>
      </c>
      <c r="E359" s="4">
        <v>0.95193619501590732</v>
      </c>
      <c r="F359" s="4">
        <v>346351.48498440115</v>
      </c>
      <c r="G359" s="4">
        <v>346352.43692059617</v>
      </c>
      <c r="H359" s="5">
        <f t="shared" si="2"/>
        <v>0</v>
      </c>
      <c r="I359" t="s">
        <v>158</v>
      </c>
      <c r="J359" t="s">
        <v>70</v>
      </c>
      <c r="K359" s="5">
        <f>160 / 86400</f>
        <v>1.8518518518518519E-3</v>
      </c>
      <c r="L359" s="5">
        <f>20 / 86400</f>
        <v>2.3148148148148149E-4</v>
      </c>
    </row>
    <row r="360" spans="1:12" x14ac:dyDescent="0.25">
      <c r="A360" s="3">
        <v>45691.550983796296</v>
      </c>
      <c r="B360" t="s">
        <v>275</v>
      </c>
      <c r="C360" s="3">
        <v>45691.551215277781</v>
      </c>
      <c r="D360" t="s">
        <v>275</v>
      </c>
      <c r="E360" s="4">
        <v>8.8000420928001401E-3</v>
      </c>
      <c r="F360" s="4">
        <v>346352.60042426159</v>
      </c>
      <c r="G360" s="4">
        <v>346352.60922430368</v>
      </c>
      <c r="H360" s="5">
        <f t="shared" si="2"/>
        <v>0</v>
      </c>
      <c r="I360" t="s">
        <v>155</v>
      </c>
      <c r="J360" t="s">
        <v>137</v>
      </c>
      <c r="K360" s="5">
        <f>20 / 86400</f>
        <v>2.3148148148148149E-4</v>
      </c>
      <c r="L360" s="5">
        <f>18 / 86400</f>
        <v>2.0833333333333335E-4</v>
      </c>
    </row>
    <row r="361" spans="1:12" x14ac:dyDescent="0.25">
      <c r="A361" s="3">
        <v>45691.551423611112</v>
      </c>
      <c r="B361" t="s">
        <v>308</v>
      </c>
      <c r="C361" s="3">
        <v>45691.553275462968</v>
      </c>
      <c r="D361" t="s">
        <v>309</v>
      </c>
      <c r="E361" s="4">
        <v>0.55661374962329868</v>
      </c>
      <c r="F361" s="4">
        <v>346352.70436665235</v>
      </c>
      <c r="G361" s="4">
        <v>346353.260980402</v>
      </c>
      <c r="H361" s="5">
        <f t="shared" si="2"/>
        <v>0</v>
      </c>
      <c r="I361" t="s">
        <v>75</v>
      </c>
      <c r="J361" t="s">
        <v>59</v>
      </c>
      <c r="K361" s="5">
        <f>160 / 86400</f>
        <v>1.8518518518518519E-3</v>
      </c>
      <c r="L361" s="5">
        <f>60 / 86400</f>
        <v>6.9444444444444447E-4</v>
      </c>
    </row>
    <row r="362" spans="1:12" x14ac:dyDescent="0.25">
      <c r="A362" s="3">
        <v>45691.553969907407</v>
      </c>
      <c r="B362" t="s">
        <v>310</v>
      </c>
      <c r="C362" s="3">
        <v>45691.556157407409</v>
      </c>
      <c r="D362" t="s">
        <v>106</v>
      </c>
      <c r="E362" s="4">
        <v>1.2441279780864716</v>
      </c>
      <c r="F362" s="4">
        <v>346353.296929406</v>
      </c>
      <c r="G362" s="4">
        <v>346354.54105738405</v>
      </c>
      <c r="H362" s="5">
        <f t="shared" si="2"/>
        <v>0</v>
      </c>
      <c r="I362" t="s">
        <v>183</v>
      </c>
      <c r="J362" t="s">
        <v>135</v>
      </c>
      <c r="K362" s="5">
        <f>189 / 86400</f>
        <v>2.1875000000000002E-3</v>
      </c>
      <c r="L362" s="5">
        <f>60 / 86400</f>
        <v>6.9444444444444447E-4</v>
      </c>
    </row>
    <row r="363" spans="1:12" x14ac:dyDescent="0.25">
      <c r="A363" s="3">
        <v>45691.556851851856</v>
      </c>
      <c r="B363" t="s">
        <v>106</v>
      </c>
      <c r="C363" s="3">
        <v>45691.557083333333</v>
      </c>
      <c r="D363" t="s">
        <v>106</v>
      </c>
      <c r="E363" s="4">
        <v>1.2578229904174804E-2</v>
      </c>
      <c r="F363" s="4">
        <v>346354.57670352521</v>
      </c>
      <c r="G363" s="4">
        <v>346354.58928175509</v>
      </c>
      <c r="H363" s="5">
        <f t="shared" si="2"/>
        <v>0</v>
      </c>
      <c r="I363" t="s">
        <v>32</v>
      </c>
      <c r="J363" t="s">
        <v>137</v>
      </c>
      <c r="K363" s="5">
        <f>20 / 86400</f>
        <v>2.3148148148148149E-4</v>
      </c>
      <c r="L363" s="5">
        <f>40 / 86400</f>
        <v>4.6296296296296298E-4</v>
      </c>
    </row>
    <row r="364" spans="1:12" x14ac:dyDescent="0.25">
      <c r="A364" s="3">
        <v>45691.557546296295</v>
      </c>
      <c r="B364" t="s">
        <v>308</v>
      </c>
      <c r="C364" s="3">
        <v>45691.559166666666</v>
      </c>
      <c r="D364" t="s">
        <v>311</v>
      </c>
      <c r="E364" s="4">
        <v>1.0259733156561852</v>
      </c>
      <c r="F364" s="4">
        <v>346354.62750068831</v>
      </c>
      <c r="G364" s="4">
        <v>346355.65347400395</v>
      </c>
      <c r="H364" s="5">
        <f t="shared" si="2"/>
        <v>0</v>
      </c>
      <c r="I364" t="s">
        <v>240</v>
      </c>
      <c r="J364" t="s">
        <v>172</v>
      </c>
      <c r="K364" s="5">
        <f>140 / 86400</f>
        <v>1.6203703703703703E-3</v>
      </c>
      <c r="L364" s="5">
        <f>11 / 86400</f>
        <v>1.273148148148148E-4</v>
      </c>
    </row>
    <row r="365" spans="1:12" x14ac:dyDescent="0.25">
      <c r="A365" s="3">
        <v>45691.559293981481</v>
      </c>
      <c r="B365" t="s">
        <v>311</v>
      </c>
      <c r="C365" s="3">
        <v>45691.559988425928</v>
      </c>
      <c r="D365" t="s">
        <v>311</v>
      </c>
      <c r="E365" s="4">
        <v>0.65934475898742673</v>
      </c>
      <c r="F365" s="4">
        <v>346355.65941953275</v>
      </c>
      <c r="G365" s="4">
        <v>346356.31876429176</v>
      </c>
      <c r="H365" s="5">
        <f t="shared" si="2"/>
        <v>0</v>
      </c>
      <c r="I365" t="s">
        <v>123</v>
      </c>
      <c r="J365" t="s">
        <v>262</v>
      </c>
      <c r="K365" s="5">
        <f>60 / 86400</f>
        <v>6.9444444444444447E-4</v>
      </c>
      <c r="L365" s="5">
        <f>38 / 86400</f>
        <v>4.3981481481481481E-4</v>
      </c>
    </row>
    <row r="366" spans="1:12" x14ac:dyDescent="0.25">
      <c r="A366" s="3">
        <v>45691.560428240744</v>
      </c>
      <c r="B366" t="s">
        <v>311</v>
      </c>
      <c r="C366" s="3">
        <v>45691.561122685191</v>
      </c>
      <c r="D366" t="s">
        <v>312</v>
      </c>
      <c r="E366" s="4">
        <v>0.42903630006313326</v>
      </c>
      <c r="F366" s="4">
        <v>346356.32770243636</v>
      </c>
      <c r="G366" s="4">
        <v>346356.75673873647</v>
      </c>
      <c r="H366" s="5">
        <f t="shared" si="2"/>
        <v>0</v>
      </c>
      <c r="I366" t="s">
        <v>240</v>
      </c>
      <c r="J366" t="s">
        <v>172</v>
      </c>
      <c r="K366" s="5">
        <f>60 / 86400</f>
        <v>6.9444444444444447E-4</v>
      </c>
      <c r="L366" s="5">
        <f>20 / 86400</f>
        <v>2.3148148148148149E-4</v>
      </c>
    </row>
    <row r="367" spans="1:12" x14ac:dyDescent="0.25">
      <c r="A367" s="3">
        <v>45691.561354166668</v>
      </c>
      <c r="B367" t="s">
        <v>312</v>
      </c>
      <c r="C367" s="3">
        <v>45691.562280092592</v>
      </c>
      <c r="D367" t="s">
        <v>312</v>
      </c>
      <c r="E367" s="4">
        <v>0.41815143847465513</v>
      </c>
      <c r="F367" s="4">
        <v>346356.76045020262</v>
      </c>
      <c r="G367" s="4">
        <v>346357.17860164109</v>
      </c>
      <c r="H367" s="5">
        <f t="shared" si="2"/>
        <v>0</v>
      </c>
      <c r="I367" t="s">
        <v>61</v>
      </c>
      <c r="J367" t="s">
        <v>35</v>
      </c>
      <c r="K367" s="5">
        <f>80 / 86400</f>
        <v>9.2592592592592596E-4</v>
      </c>
      <c r="L367" s="5">
        <f>19 / 86400</f>
        <v>2.199074074074074E-4</v>
      </c>
    </row>
    <row r="368" spans="1:12" x14ac:dyDescent="0.25">
      <c r="A368" s="3">
        <v>45691.5625</v>
      </c>
      <c r="B368" t="s">
        <v>312</v>
      </c>
      <c r="C368" s="3">
        <v>45691.564814814818</v>
      </c>
      <c r="D368" t="s">
        <v>313</v>
      </c>
      <c r="E368" s="4">
        <v>1.4861898263096809</v>
      </c>
      <c r="F368" s="4">
        <v>346357.17952253862</v>
      </c>
      <c r="G368" s="4">
        <v>346358.66571236489</v>
      </c>
      <c r="H368" s="5">
        <f t="shared" si="2"/>
        <v>0</v>
      </c>
      <c r="I368" t="s">
        <v>194</v>
      </c>
      <c r="J368" t="s">
        <v>131</v>
      </c>
      <c r="K368" s="5">
        <f>200 / 86400</f>
        <v>2.3148148148148147E-3</v>
      </c>
      <c r="L368" s="5">
        <f>3 / 86400</f>
        <v>3.4722222222222222E-5</v>
      </c>
    </row>
    <row r="369" spans="1:12" x14ac:dyDescent="0.25">
      <c r="A369" s="3">
        <v>45691.564849537041</v>
      </c>
      <c r="B369" t="s">
        <v>313</v>
      </c>
      <c r="C369" s="3">
        <v>45691.56523148148</v>
      </c>
      <c r="D369" t="s">
        <v>314</v>
      </c>
      <c r="E369" s="4">
        <v>5.3021516323089601E-2</v>
      </c>
      <c r="F369" s="4">
        <v>346358.66938004392</v>
      </c>
      <c r="G369" s="4">
        <v>346358.72240156023</v>
      </c>
      <c r="H369" s="5">
        <f t="shared" si="2"/>
        <v>0</v>
      </c>
      <c r="I369" t="s">
        <v>151</v>
      </c>
      <c r="J369" t="s">
        <v>32</v>
      </c>
      <c r="K369" s="5">
        <f>33 / 86400</f>
        <v>3.8194444444444446E-4</v>
      </c>
      <c r="L369" s="5">
        <f>60 / 86400</f>
        <v>6.9444444444444447E-4</v>
      </c>
    </row>
    <row r="370" spans="1:12" x14ac:dyDescent="0.25">
      <c r="A370" s="3">
        <v>45691.565925925926</v>
      </c>
      <c r="B370" t="s">
        <v>314</v>
      </c>
      <c r="C370" s="3">
        <v>45691.566909722227</v>
      </c>
      <c r="D370" t="s">
        <v>315</v>
      </c>
      <c r="E370" s="4">
        <v>0.37770290184020994</v>
      </c>
      <c r="F370" s="4">
        <v>346358.73353273352</v>
      </c>
      <c r="G370" s="4">
        <v>346359.11123563536</v>
      </c>
      <c r="H370" s="5">
        <f t="shared" si="2"/>
        <v>0</v>
      </c>
      <c r="I370" t="s">
        <v>259</v>
      </c>
      <c r="J370" t="s">
        <v>40</v>
      </c>
      <c r="K370" s="5">
        <f>85 / 86400</f>
        <v>9.837962962962962E-4</v>
      </c>
      <c r="L370" s="5">
        <f>20 / 86400</f>
        <v>2.3148148148148149E-4</v>
      </c>
    </row>
    <row r="371" spans="1:12" x14ac:dyDescent="0.25">
      <c r="A371" s="3">
        <v>45691.567141203705</v>
      </c>
      <c r="B371" t="s">
        <v>315</v>
      </c>
      <c r="C371" s="3">
        <v>45691.568530092598</v>
      </c>
      <c r="D371" t="s">
        <v>316</v>
      </c>
      <c r="E371" s="4">
        <v>0.60489895707368846</v>
      </c>
      <c r="F371" s="4">
        <v>346359.16847404663</v>
      </c>
      <c r="G371" s="4">
        <v>346359.7733730037</v>
      </c>
      <c r="H371" s="5">
        <f t="shared" si="2"/>
        <v>0</v>
      </c>
      <c r="I371" t="s">
        <v>262</v>
      </c>
      <c r="J371" t="s">
        <v>20</v>
      </c>
      <c r="K371" s="5">
        <f>120 / 86400</f>
        <v>1.3888888888888889E-3</v>
      </c>
      <c r="L371" s="5">
        <f>35 / 86400</f>
        <v>4.0509259259259258E-4</v>
      </c>
    </row>
    <row r="372" spans="1:12" x14ac:dyDescent="0.25">
      <c r="A372" s="3">
        <v>45691.568935185191</v>
      </c>
      <c r="B372" t="s">
        <v>317</v>
      </c>
      <c r="C372" s="3">
        <v>45691.569861111115</v>
      </c>
      <c r="D372" t="s">
        <v>318</v>
      </c>
      <c r="E372" s="4">
        <v>0.59698690706491475</v>
      </c>
      <c r="F372" s="4">
        <v>346359.82764128031</v>
      </c>
      <c r="G372" s="4">
        <v>346360.42462818738</v>
      </c>
      <c r="H372" s="5">
        <f t="shared" si="2"/>
        <v>0</v>
      </c>
      <c r="I372" t="s">
        <v>240</v>
      </c>
      <c r="J372" t="s">
        <v>131</v>
      </c>
      <c r="K372" s="5">
        <f>80 / 86400</f>
        <v>9.2592592592592596E-4</v>
      </c>
      <c r="L372" s="5">
        <f>3 / 86400</f>
        <v>3.4722222222222222E-5</v>
      </c>
    </row>
    <row r="373" spans="1:12" x14ac:dyDescent="0.25">
      <c r="A373" s="3">
        <v>45691.569895833338</v>
      </c>
      <c r="B373" t="s">
        <v>318</v>
      </c>
      <c r="C373" s="3">
        <v>45691.578703703708</v>
      </c>
      <c r="D373" t="s">
        <v>250</v>
      </c>
      <c r="E373" s="4">
        <v>3.5909408203959465</v>
      </c>
      <c r="F373" s="4">
        <v>346360.42773249804</v>
      </c>
      <c r="G373" s="4">
        <v>346364.01867331844</v>
      </c>
      <c r="H373" s="5">
        <f t="shared" si="2"/>
        <v>0</v>
      </c>
      <c r="I373" t="s">
        <v>259</v>
      </c>
      <c r="J373" t="s">
        <v>47</v>
      </c>
      <c r="K373" s="5">
        <f>761 / 86400</f>
        <v>8.8078703703703704E-3</v>
      </c>
      <c r="L373" s="5">
        <f>60 / 86400</f>
        <v>6.9444444444444447E-4</v>
      </c>
    </row>
    <row r="374" spans="1:12" x14ac:dyDescent="0.25">
      <c r="A374" s="3">
        <v>45691.579398148147</v>
      </c>
      <c r="B374" t="s">
        <v>319</v>
      </c>
      <c r="C374" s="3">
        <v>45691.580787037034</v>
      </c>
      <c r="D374" t="s">
        <v>320</v>
      </c>
      <c r="E374" s="4">
        <v>0.72428862166404728</v>
      </c>
      <c r="F374" s="4">
        <v>346364.0748920592</v>
      </c>
      <c r="G374" s="4">
        <v>346364.79918068089</v>
      </c>
      <c r="H374" s="5">
        <f t="shared" si="2"/>
        <v>0</v>
      </c>
      <c r="I374" t="s">
        <v>196</v>
      </c>
      <c r="J374" t="s">
        <v>24</v>
      </c>
      <c r="K374" s="5">
        <f>120 / 86400</f>
        <v>1.3888888888888889E-3</v>
      </c>
      <c r="L374" s="5">
        <f>26 / 86400</f>
        <v>3.0092592592592595E-4</v>
      </c>
    </row>
    <row r="375" spans="1:12" x14ac:dyDescent="0.25">
      <c r="A375" s="3">
        <v>45691.581087962964</v>
      </c>
      <c r="B375" t="s">
        <v>320</v>
      </c>
      <c r="C375" s="3">
        <v>45691.581863425927</v>
      </c>
      <c r="D375" t="s">
        <v>321</v>
      </c>
      <c r="E375" s="4">
        <v>0.10052766937017441</v>
      </c>
      <c r="F375" s="4">
        <v>346364.80206788098</v>
      </c>
      <c r="G375" s="4">
        <v>346364.90259555035</v>
      </c>
      <c r="H375" s="5">
        <f t="shared" si="2"/>
        <v>0</v>
      </c>
      <c r="I375" t="s">
        <v>30</v>
      </c>
      <c r="J375" t="s">
        <v>136</v>
      </c>
      <c r="K375" s="5">
        <f>67 / 86400</f>
        <v>7.7546296296296293E-4</v>
      </c>
      <c r="L375" s="5">
        <f>26 / 86400</f>
        <v>3.0092592592592595E-4</v>
      </c>
    </row>
    <row r="376" spans="1:12" x14ac:dyDescent="0.25">
      <c r="A376" s="3">
        <v>45691.58216435185</v>
      </c>
      <c r="B376" t="s">
        <v>206</v>
      </c>
      <c r="C376" s="3">
        <v>45691.582395833335</v>
      </c>
      <c r="D376" t="s">
        <v>206</v>
      </c>
      <c r="E376" s="4">
        <v>1.8388737440109253E-2</v>
      </c>
      <c r="F376" s="4">
        <v>346364.90720417857</v>
      </c>
      <c r="G376" s="4">
        <v>346364.92559291603</v>
      </c>
      <c r="H376" s="5">
        <f t="shared" si="2"/>
        <v>0</v>
      </c>
      <c r="I376" t="s">
        <v>136</v>
      </c>
      <c r="J376" t="s">
        <v>128</v>
      </c>
      <c r="K376" s="5">
        <f>20 / 86400</f>
        <v>2.3148148148148149E-4</v>
      </c>
      <c r="L376" s="5">
        <f>20 / 86400</f>
        <v>2.3148148148148149E-4</v>
      </c>
    </row>
    <row r="377" spans="1:12" x14ac:dyDescent="0.25">
      <c r="A377" s="3">
        <v>45691.582627314812</v>
      </c>
      <c r="B377" t="s">
        <v>206</v>
      </c>
      <c r="C377" s="3">
        <v>45691.582858796297</v>
      </c>
      <c r="D377" t="s">
        <v>206</v>
      </c>
      <c r="E377" s="4">
        <v>2.0838811993598937E-3</v>
      </c>
      <c r="F377" s="4">
        <v>346364.92781843088</v>
      </c>
      <c r="G377" s="4">
        <v>346364.92990231211</v>
      </c>
      <c r="H377" s="5">
        <f t="shared" si="2"/>
        <v>0</v>
      </c>
      <c r="I377" t="s">
        <v>62</v>
      </c>
      <c r="J377" t="s">
        <v>33</v>
      </c>
      <c r="K377" s="5">
        <f>20 / 86400</f>
        <v>2.3148148148148149E-4</v>
      </c>
      <c r="L377" s="5">
        <f>4 / 86400</f>
        <v>4.6296296296296294E-5</v>
      </c>
    </row>
    <row r="378" spans="1:12" x14ac:dyDescent="0.25">
      <c r="A378" s="3">
        <v>45691.582905092597</v>
      </c>
      <c r="B378" t="s">
        <v>206</v>
      </c>
      <c r="C378" s="3">
        <v>45691.583136574074</v>
      </c>
      <c r="D378" t="s">
        <v>322</v>
      </c>
      <c r="E378" s="4">
        <v>1.0822293102741241E-2</v>
      </c>
      <c r="F378" s="4">
        <v>346364.93300541816</v>
      </c>
      <c r="G378" s="4">
        <v>346364.94382771128</v>
      </c>
      <c r="H378" s="5">
        <f t="shared" si="2"/>
        <v>0</v>
      </c>
      <c r="I378" t="s">
        <v>136</v>
      </c>
      <c r="J378" t="s">
        <v>137</v>
      </c>
      <c r="K378" s="5">
        <f>20 / 86400</f>
        <v>2.3148148148148149E-4</v>
      </c>
      <c r="L378" s="5">
        <f>93 / 86400</f>
        <v>1.0763888888888889E-3</v>
      </c>
    </row>
    <row r="379" spans="1:12" x14ac:dyDescent="0.25">
      <c r="A379" s="3">
        <v>45691.58421296296</v>
      </c>
      <c r="B379" t="s">
        <v>322</v>
      </c>
      <c r="C379" s="3">
        <v>45691.585243055553</v>
      </c>
      <c r="D379" t="s">
        <v>323</v>
      </c>
      <c r="E379" s="4">
        <v>7.8281119704246518E-2</v>
      </c>
      <c r="F379" s="4">
        <v>346364.9627744013</v>
      </c>
      <c r="G379" s="4">
        <v>346365.041055521</v>
      </c>
      <c r="H379" s="5">
        <f t="shared" si="2"/>
        <v>0</v>
      </c>
      <c r="I379" t="s">
        <v>136</v>
      </c>
      <c r="J379" t="s">
        <v>128</v>
      </c>
      <c r="K379" s="5">
        <f>89 / 86400</f>
        <v>1.0300925925925926E-3</v>
      </c>
      <c r="L379" s="5">
        <f>100 / 86400</f>
        <v>1.1574074074074073E-3</v>
      </c>
    </row>
    <row r="380" spans="1:12" x14ac:dyDescent="0.25">
      <c r="A380" s="3">
        <v>45691.586400462962</v>
      </c>
      <c r="B380" t="s">
        <v>244</v>
      </c>
      <c r="C380" s="3">
        <v>45691.586631944447</v>
      </c>
      <c r="D380" t="s">
        <v>324</v>
      </c>
      <c r="E380" s="4">
        <v>0.15264547497034073</v>
      </c>
      <c r="F380" s="4">
        <v>346365.1142067964</v>
      </c>
      <c r="G380" s="4">
        <v>346365.26685227139</v>
      </c>
      <c r="H380" s="5">
        <f t="shared" si="2"/>
        <v>0</v>
      </c>
      <c r="I380" t="s">
        <v>248</v>
      </c>
      <c r="J380" t="s">
        <v>131</v>
      </c>
      <c r="K380" s="5">
        <f>20 / 86400</f>
        <v>2.3148148148148149E-4</v>
      </c>
      <c r="L380" s="5">
        <f>60 / 86400</f>
        <v>6.9444444444444447E-4</v>
      </c>
    </row>
    <row r="381" spans="1:12" x14ac:dyDescent="0.25">
      <c r="A381" s="3">
        <v>45691.587326388893</v>
      </c>
      <c r="B381" t="s">
        <v>324</v>
      </c>
      <c r="C381" s="3">
        <v>45691.588831018518</v>
      </c>
      <c r="D381" t="s">
        <v>325</v>
      </c>
      <c r="E381" s="4">
        <v>0.54509072113037105</v>
      </c>
      <c r="F381" s="4">
        <v>346365.28152131947</v>
      </c>
      <c r="G381" s="4">
        <v>346365.82661204058</v>
      </c>
      <c r="H381" s="5">
        <f t="shared" si="2"/>
        <v>0</v>
      </c>
      <c r="I381" t="s">
        <v>282</v>
      </c>
      <c r="J381" t="s">
        <v>30</v>
      </c>
      <c r="K381" s="5">
        <f>130 / 86400</f>
        <v>1.5046296296296296E-3</v>
      </c>
      <c r="L381" s="5">
        <f>54 / 86400</f>
        <v>6.2500000000000001E-4</v>
      </c>
    </row>
    <row r="382" spans="1:12" x14ac:dyDescent="0.25">
      <c r="A382" s="3">
        <v>45691.589456018519</v>
      </c>
      <c r="B382" t="s">
        <v>325</v>
      </c>
      <c r="C382" s="3">
        <v>45691.589918981481</v>
      </c>
      <c r="D382" t="s">
        <v>326</v>
      </c>
      <c r="E382" s="4">
        <v>0.25931421351432798</v>
      </c>
      <c r="F382" s="4">
        <v>346365.84151545528</v>
      </c>
      <c r="G382" s="4">
        <v>346366.10082966881</v>
      </c>
      <c r="H382" s="5">
        <f t="shared" si="2"/>
        <v>0</v>
      </c>
      <c r="I382" t="s">
        <v>199</v>
      </c>
      <c r="J382" t="s">
        <v>170</v>
      </c>
      <c r="K382" s="5">
        <f>40 / 86400</f>
        <v>4.6296296296296298E-4</v>
      </c>
      <c r="L382" s="5">
        <f>5 / 86400</f>
        <v>5.7870370370370373E-5</v>
      </c>
    </row>
    <row r="383" spans="1:12" x14ac:dyDescent="0.25">
      <c r="A383" s="3">
        <v>45691.58997685185</v>
      </c>
      <c r="B383" t="s">
        <v>326</v>
      </c>
      <c r="C383" s="3">
        <v>45691.591365740736</v>
      </c>
      <c r="D383" t="s">
        <v>327</v>
      </c>
      <c r="E383" s="4">
        <v>0.92663362205028532</v>
      </c>
      <c r="F383" s="4">
        <v>346366.12405439687</v>
      </c>
      <c r="G383" s="4">
        <v>346367.05068801891</v>
      </c>
      <c r="H383" s="5">
        <f t="shared" si="2"/>
        <v>0</v>
      </c>
      <c r="I383" t="s">
        <v>149</v>
      </c>
      <c r="J383" t="s">
        <v>196</v>
      </c>
      <c r="K383" s="5">
        <f>120 / 86400</f>
        <v>1.3888888888888889E-3</v>
      </c>
      <c r="L383" s="5">
        <f>20 / 86400</f>
        <v>2.3148148148148149E-4</v>
      </c>
    </row>
    <row r="384" spans="1:12" x14ac:dyDescent="0.25">
      <c r="A384" s="3">
        <v>45691.591597222221</v>
      </c>
      <c r="B384" t="s">
        <v>237</v>
      </c>
      <c r="C384" s="3">
        <v>45691.592060185183</v>
      </c>
      <c r="D384" t="s">
        <v>237</v>
      </c>
      <c r="E384" s="4">
        <v>0.29836989229917527</v>
      </c>
      <c r="F384" s="4">
        <v>346367.21692603535</v>
      </c>
      <c r="G384" s="4">
        <v>346367.51529592765</v>
      </c>
      <c r="H384" s="5">
        <f t="shared" si="2"/>
        <v>0</v>
      </c>
      <c r="I384" t="s">
        <v>194</v>
      </c>
      <c r="J384" t="s">
        <v>131</v>
      </c>
      <c r="K384" s="5">
        <f>40 / 86400</f>
        <v>4.6296296296296298E-4</v>
      </c>
      <c r="L384" s="5">
        <f>20 / 86400</f>
        <v>2.3148148148148149E-4</v>
      </c>
    </row>
    <row r="385" spans="1:12" x14ac:dyDescent="0.25">
      <c r="A385" s="3">
        <v>45691.592291666668</v>
      </c>
      <c r="B385" t="s">
        <v>238</v>
      </c>
      <c r="C385" s="3">
        <v>45691.5934375</v>
      </c>
      <c r="D385" t="s">
        <v>328</v>
      </c>
      <c r="E385" s="4">
        <v>0.31200645768642427</v>
      </c>
      <c r="F385" s="4">
        <v>346367.53532555519</v>
      </c>
      <c r="G385" s="4">
        <v>346367.8473320129</v>
      </c>
      <c r="H385" s="5">
        <f t="shared" si="2"/>
        <v>0</v>
      </c>
      <c r="I385" t="s">
        <v>257</v>
      </c>
      <c r="J385" t="s">
        <v>140</v>
      </c>
      <c r="K385" s="5">
        <f>99 / 86400</f>
        <v>1.1458333333333333E-3</v>
      </c>
      <c r="L385" s="5">
        <f>15 / 86400</f>
        <v>1.7361111111111112E-4</v>
      </c>
    </row>
    <row r="386" spans="1:12" x14ac:dyDescent="0.25">
      <c r="A386" s="3">
        <v>45691.593611111108</v>
      </c>
      <c r="B386" t="s">
        <v>328</v>
      </c>
      <c r="C386" s="3">
        <v>45691.594074074077</v>
      </c>
      <c r="D386" t="s">
        <v>237</v>
      </c>
      <c r="E386" s="4">
        <v>3.2894336402416229E-2</v>
      </c>
      <c r="F386" s="4">
        <v>346367.85323111084</v>
      </c>
      <c r="G386" s="4">
        <v>346367.88612544729</v>
      </c>
      <c r="H386" s="5">
        <f t="shared" si="2"/>
        <v>0</v>
      </c>
      <c r="I386" t="s">
        <v>76</v>
      </c>
      <c r="J386" t="s">
        <v>128</v>
      </c>
      <c r="K386" s="5">
        <f>40 / 86400</f>
        <v>4.6296296296296298E-4</v>
      </c>
      <c r="L386" s="5">
        <f>20 / 86400</f>
        <v>2.3148148148148149E-4</v>
      </c>
    </row>
    <row r="387" spans="1:12" x14ac:dyDescent="0.25">
      <c r="A387" s="3">
        <v>45691.594305555554</v>
      </c>
      <c r="B387" t="s">
        <v>237</v>
      </c>
      <c r="C387" s="3">
        <v>45691.594537037032</v>
      </c>
      <c r="D387" t="s">
        <v>210</v>
      </c>
      <c r="E387" s="4">
        <v>1.0553834557533264E-2</v>
      </c>
      <c r="F387" s="4">
        <v>346367.90397392208</v>
      </c>
      <c r="G387" s="4">
        <v>346367.91452775663</v>
      </c>
      <c r="H387" s="5">
        <f t="shared" si="2"/>
        <v>0</v>
      </c>
      <c r="I387" t="s">
        <v>128</v>
      </c>
      <c r="J387" t="s">
        <v>137</v>
      </c>
      <c r="K387" s="5">
        <f>20 / 86400</f>
        <v>2.3148148148148149E-4</v>
      </c>
      <c r="L387" s="5">
        <f>100 / 86400</f>
        <v>1.1574074074074073E-3</v>
      </c>
    </row>
    <row r="388" spans="1:12" x14ac:dyDescent="0.25">
      <c r="A388" s="3">
        <v>45691.595694444448</v>
      </c>
      <c r="B388" t="s">
        <v>237</v>
      </c>
      <c r="C388" s="3">
        <v>45691.59710648148</v>
      </c>
      <c r="D388" t="s">
        <v>329</v>
      </c>
      <c r="E388" s="4">
        <v>0.60182040560245509</v>
      </c>
      <c r="F388" s="4">
        <v>346367.95734607155</v>
      </c>
      <c r="G388" s="4">
        <v>346368.55916647712</v>
      </c>
      <c r="H388" s="5">
        <f t="shared" si="2"/>
        <v>0</v>
      </c>
      <c r="I388" t="s">
        <v>164</v>
      </c>
      <c r="J388" t="s">
        <v>20</v>
      </c>
      <c r="K388" s="5">
        <f>122 / 86400</f>
        <v>1.4120370370370369E-3</v>
      </c>
      <c r="L388" s="5">
        <f>40 / 86400</f>
        <v>4.6296296296296298E-4</v>
      </c>
    </row>
    <row r="389" spans="1:12" x14ac:dyDescent="0.25">
      <c r="A389" s="3">
        <v>45691.59756944445</v>
      </c>
      <c r="B389" t="s">
        <v>329</v>
      </c>
      <c r="C389" s="3">
        <v>45691.598263888889</v>
      </c>
      <c r="D389" t="s">
        <v>330</v>
      </c>
      <c r="E389" s="4">
        <v>0.43432850760221481</v>
      </c>
      <c r="F389" s="4">
        <v>346368.57486407855</v>
      </c>
      <c r="G389" s="4">
        <v>346369.00919258612</v>
      </c>
      <c r="H389" s="5">
        <f t="shared" si="2"/>
        <v>0</v>
      </c>
      <c r="I389" t="s">
        <v>188</v>
      </c>
      <c r="J389" t="s">
        <v>172</v>
      </c>
      <c r="K389" s="5">
        <f>60 / 86400</f>
        <v>6.9444444444444447E-4</v>
      </c>
      <c r="L389" s="5">
        <f>10 / 86400</f>
        <v>1.1574074074074075E-4</v>
      </c>
    </row>
    <row r="390" spans="1:12" x14ac:dyDescent="0.25">
      <c r="A390" s="3">
        <v>45691.598379629635</v>
      </c>
      <c r="B390" t="s">
        <v>330</v>
      </c>
      <c r="C390" s="3">
        <v>45691.598611111112</v>
      </c>
      <c r="D390" t="s">
        <v>331</v>
      </c>
      <c r="E390" s="4">
        <v>1.1580605864524841E-2</v>
      </c>
      <c r="F390" s="4">
        <v>346369.01841275656</v>
      </c>
      <c r="G390" s="4">
        <v>346369.02999336243</v>
      </c>
      <c r="H390" s="5">
        <f t="shared" ref="H390:H452" si="4">0 / 86400</f>
        <v>0</v>
      </c>
      <c r="I390" t="s">
        <v>32</v>
      </c>
      <c r="J390" t="s">
        <v>137</v>
      </c>
      <c r="K390" s="5">
        <f>20 / 86400</f>
        <v>2.3148148148148149E-4</v>
      </c>
      <c r="L390" s="5">
        <f>40 / 86400</f>
        <v>4.6296296296296298E-4</v>
      </c>
    </row>
    <row r="391" spans="1:12" x14ac:dyDescent="0.25">
      <c r="A391" s="3">
        <v>45691.599074074074</v>
      </c>
      <c r="B391" t="s">
        <v>332</v>
      </c>
      <c r="C391" s="3">
        <v>45691.599537037036</v>
      </c>
      <c r="D391" t="s">
        <v>239</v>
      </c>
      <c r="E391" s="4">
        <v>0.24118456208705902</v>
      </c>
      <c r="F391" s="4">
        <v>346369.11326347513</v>
      </c>
      <c r="G391" s="4">
        <v>346369.35444803722</v>
      </c>
      <c r="H391" s="5">
        <f t="shared" si="4"/>
        <v>0</v>
      </c>
      <c r="I391" t="s">
        <v>264</v>
      </c>
      <c r="J391" t="s">
        <v>24</v>
      </c>
      <c r="K391" s="5">
        <f>40 / 86400</f>
        <v>4.6296296296296298E-4</v>
      </c>
      <c r="L391" s="5">
        <f>18 / 86400</f>
        <v>2.0833333333333335E-4</v>
      </c>
    </row>
    <row r="392" spans="1:12" x14ac:dyDescent="0.25">
      <c r="A392" s="3">
        <v>45691.599745370375</v>
      </c>
      <c r="B392" t="s">
        <v>239</v>
      </c>
      <c r="C392" s="3">
        <v>45691.600578703699</v>
      </c>
      <c r="D392" t="s">
        <v>242</v>
      </c>
      <c r="E392" s="4">
        <v>0.37656060338020325</v>
      </c>
      <c r="F392" s="4">
        <v>346369.36182471458</v>
      </c>
      <c r="G392" s="4">
        <v>346369.73838531796</v>
      </c>
      <c r="H392" s="5">
        <f t="shared" si="4"/>
        <v>0</v>
      </c>
      <c r="I392" t="s">
        <v>61</v>
      </c>
      <c r="J392" t="s">
        <v>35</v>
      </c>
      <c r="K392" s="5">
        <f>72 / 86400</f>
        <v>8.3333333333333339E-4</v>
      </c>
      <c r="L392" s="5">
        <f>35 / 86400</f>
        <v>4.0509259259259258E-4</v>
      </c>
    </row>
    <row r="393" spans="1:12" x14ac:dyDescent="0.25">
      <c r="A393" s="3">
        <v>45691.600983796292</v>
      </c>
      <c r="B393" t="s">
        <v>242</v>
      </c>
      <c r="C393" s="3">
        <v>45691.602372685185</v>
      </c>
      <c r="D393" t="s">
        <v>333</v>
      </c>
      <c r="E393" s="4">
        <v>0.5260319375991821</v>
      </c>
      <c r="F393" s="4">
        <v>346369.75550740206</v>
      </c>
      <c r="G393" s="4">
        <v>346370.28153933969</v>
      </c>
      <c r="H393" s="5">
        <f t="shared" si="4"/>
        <v>0</v>
      </c>
      <c r="I393" t="s">
        <v>248</v>
      </c>
      <c r="J393" t="s">
        <v>40</v>
      </c>
      <c r="K393" s="5">
        <f>120 / 86400</f>
        <v>1.3888888888888889E-3</v>
      </c>
      <c r="L393" s="5">
        <f>92 / 86400</f>
        <v>1.0648148148148149E-3</v>
      </c>
    </row>
    <row r="394" spans="1:12" x14ac:dyDescent="0.25">
      <c r="A394" s="3">
        <v>45691.603437500002</v>
      </c>
      <c r="B394" t="s">
        <v>244</v>
      </c>
      <c r="C394" s="3">
        <v>45691.606145833328</v>
      </c>
      <c r="D394" t="s">
        <v>334</v>
      </c>
      <c r="E394" s="4">
        <v>0.68643381166458128</v>
      </c>
      <c r="F394" s="4">
        <v>346370.34367527347</v>
      </c>
      <c r="G394" s="4">
        <v>346371.03010908514</v>
      </c>
      <c r="H394" s="5">
        <f t="shared" si="4"/>
        <v>0</v>
      </c>
      <c r="I394" t="s">
        <v>257</v>
      </c>
      <c r="J394" t="s">
        <v>140</v>
      </c>
      <c r="K394" s="5">
        <f>234 / 86400</f>
        <v>2.7083333333333334E-3</v>
      </c>
      <c r="L394" s="5">
        <f>20 / 86400</f>
        <v>2.3148148148148149E-4</v>
      </c>
    </row>
    <row r="395" spans="1:12" x14ac:dyDescent="0.25">
      <c r="A395" s="3">
        <v>45691.60637731482</v>
      </c>
      <c r="B395" t="s">
        <v>334</v>
      </c>
      <c r="C395" s="3">
        <v>45691.607071759259</v>
      </c>
      <c r="D395" t="s">
        <v>247</v>
      </c>
      <c r="E395" s="4">
        <v>7.8825162947177882E-2</v>
      </c>
      <c r="F395" s="4">
        <v>346371.12609051645</v>
      </c>
      <c r="G395" s="4">
        <v>346371.20491567941</v>
      </c>
      <c r="H395" s="5">
        <f t="shared" si="4"/>
        <v>0</v>
      </c>
      <c r="I395" t="s">
        <v>135</v>
      </c>
      <c r="J395" t="s">
        <v>136</v>
      </c>
      <c r="K395" s="5">
        <f>60 / 86400</f>
        <v>6.9444444444444447E-4</v>
      </c>
      <c r="L395" s="5">
        <f>120 / 86400</f>
        <v>1.3888888888888889E-3</v>
      </c>
    </row>
    <row r="396" spans="1:12" x14ac:dyDescent="0.25">
      <c r="A396" s="3">
        <v>45691.608460648145</v>
      </c>
      <c r="B396" t="s">
        <v>334</v>
      </c>
      <c r="C396" s="3">
        <v>45691.60869212963</v>
      </c>
      <c r="D396" t="s">
        <v>334</v>
      </c>
      <c r="E396" s="4">
        <v>7.0011707544326779E-3</v>
      </c>
      <c r="F396" s="4">
        <v>346371.24114432605</v>
      </c>
      <c r="G396" s="4">
        <v>346371.24814549676</v>
      </c>
      <c r="H396" s="5">
        <f t="shared" si="4"/>
        <v>0</v>
      </c>
      <c r="I396" t="s">
        <v>128</v>
      </c>
      <c r="J396" t="s">
        <v>62</v>
      </c>
      <c r="K396" s="5">
        <f>20 / 86400</f>
        <v>2.3148148148148149E-4</v>
      </c>
      <c r="L396" s="5">
        <f>20 / 86400</f>
        <v>2.3148148148148149E-4</v>
      </c>
    </row>
    <row r="397" spans="1:12" x14ac:dyDescent="0.25">
      <c r="A397" s="3">
        <v>45691.608923611115</v>
      </c>
      <c r="B397" t="s">
        <v>334</v>
      </c>
      <c r="C397" s="3">
        <v>45691.609155092592</v>
      </c>
      <c r="D397" t="s">
        <v>334</v>
      </c>
      <c r="E397" s="4">
        <v>1.5687694549560546E-3</v>
      </c>
      <c r="F397" s="4">
        <v>346371.25668225909</v>
      </c>
      <c r="G397" s="4">
        <v>346371.25825102854</v>
      </c>
      <c r="H397" s="5">
        <f t="shared" si="4"/>
        <v>0</v>
      </c>
      <c r="I397" t="s">
        <v>62</v>
      </c>
      <c r="J397" t="s">
        <v>33</v>
      </c>
      <c r="K397" s="5">
        <f>20 / 86400</f>
        <v>2.3148148148148149E-4</v>
      </c>
      <c r="L397" s="5">
        <f>40 / 86400</f>
        <v>4.6296296296296298E-4</v>
      </c>
    </row>
    <row r="398" spans="1:12" x14ac:dyDescent="0.25">
      <c r="A398" s="3">
        <v>45691.609618055554</v>
      </c>
      <c r="B398" t="s">
        <v>335</v>
      </c>
      <c r="C398" s="3">
        <v>45691.609849537039</v>
      </c>
      <c r="D398" t="s">
        <v>249</v>
      </c>
      <c r="E398" s="4">
        <v>5.3917704641818998E-2</v>
      </c>
      <c r="F398" s="4">
        <v>346371.28055544745</v>
      </c>
      <c r="G398" s="4">
        <v>346371.33447315212</v>
      </c>
      <c r="H398" s="5">
        <f t="shared" si="4"/>
        <v>0</v>
      </c>
      <c r="I398" t="s">
        <v>128</v>
      </c>
      <c r="J398" t="s">
        <v>156</v>
      </c>
      <c r="K398" s="5">
        <f>20 / 86400</f>
        <v>2.3148148148148149E-4</v>
      </c>
      <c r="L398" s="5">
        <f>27 / 86400</f>
        <v>3.1250000000000001E-4</v>
      </c>
    </row>
    <row r="399" spans="1:12" x14ac:dyDescent="0.25">
      <c r="A399" s="3">
        <v>45691.610162037032</v>
      </c>
      <c r="B399" t="s">
        <v>250</v>
      </c>
      <c r="C399" s="3">
        <v>45691.612361111111</v>
      </c>
      <c r="D399" t="s">
        <v>336</v>
      </c>
      <c r="E399" s="4">
        <v>0.70865587949752806</v>
      </c>
      <c r="F399" s="4">
        <v>346371.34840985178</v>
      </c>
      <c r="G399" s="4">
        <v>346372.05706573126</v>
      </c>
      <c r="H399" s="5">
        <f t="shared" si="4"/>
        <v>0</v>
      </c>
      <c r="I399" t="s">
        <v>170</v>
      </c>
      <c r="J399" t="s">
        <v>59</v>
      </c>
      <c r="K399" s="5">
        <f>190 / 86400</f>
        <v>2.1990740740740742E-3</v>
      </c>
      <c r="L399" s="5">
        <f>19 / 86400</f>
        <v>2.199074074074074E-4</v>
      </c>
    </row>
    <row r="400" spans="1:12" x14ac:dyDescent="0.25">
      <c r="A400" s="3">
        <v>45691.612581018519</v>
      </c>
      <c r="B400" t="s">
        <v>337</v>
      </c>
      <c r="C400" s="3">
        <v>45691.613275462965</v>
      </c>
      <c r="D400" t="s">
        <v>252</v>
      </c>
      <c r="E400" s="4">
        <v>0.27471235227584839</v>
      </c>
      <c r="F400" s="4">
        <v>346372.1160281843</v>
      </c>
      <c r="G400" s="4">
        <v>346372.39074053656</v>
      </c>
      <c r="H400" s="5">
        <f t="shared" si="4"/>
        <v>0</v>
      </c>
      <c r="I400" t="s">
        <v>47</v>
      </c>
      <c r="J400" t="s">
        <v>40</v>
      </c>
      <c r="K400" s="5">
        <f>60 / 86400</f>
        <v>6.9444444444444447E-4</v>
      </c>
      <c r="L400" s="5">
        <f>37 / 86400</f>
        <v>4.2824074074074075E-4</v>
      </c>
    </row>
    <row r="401" spans="1:12" x14ac:dyDescent="0.25">
      <c r="A401" s="3">
        <v>45691.613703703704</v>
      </c>
      <c r="B401" t="s">
        <v>252</v>
      </c>
      <c r="C401" s="3">
        <v>45691.614074074074</v>
      </c>
      <c r="D401" t="s">
        <v>338</v>
      </c>
      <c r="E401" s="4">
        <v>8.1493402421474459E-2</v>
      </c>
      <c r="F401" s="4">
        <v>346372.42337491992</v>
      </c>
      <c r="G401" s="4">
        <v>346372.50486832228</v>
      </c>
      <c r="H401" s="5">
        <f t="shared" si="4"/>
        <v>0</v>
      </c>
      <c r="I401" t="s">
        <v>40</v>
      </c>
      <c r="J401" t="s">
        <v>79</v>
      </c>
      <c r="K401" s="5">
        <f>32 / 86400</f>
        <v>3.7037037037037035E-4</v>
      </c>
      <c r="L401" s="5">
        <f>50 / 86400</f>
        <v>5.7870370370370367E-4</v>
      </c>
    </row>
    <row r="402" spans="1:12" x14ac:dyDescent="0.25">
      <c r="A402" s="3">
        <v>45691.614652777775</v>
      </c>
      <c r="B402" t="s">
        <v>338</v>
      </c>
      <c r="C402" s="3">
        <v>45691.615300925929</v>
      </c>
      <c r="D402" t="s">
        <v>253</v>
      </c>
      <c r="E402" s="4">
        <v>0.49827776879072189</v>
      </c>
      <c r="F402" s="4">
        <v>346372.52607976209</v>
      </c>
      <c r="G402" s="4">
        <v>346373.02435753087</v>
      </c>
      <c r="H402" s="5">
        <f t="shared" si="4"/>
        <v>0</v>
      </c>
      <c r="I402" t="s">
        <v>339</v>
      </c>
      <c r="J402" t="s">
        <v>176</v>
      </c>
      <c r="K402" s="5">
        <f>56 / 86400</f>
        <v>6.4814814814814813E-4</v>
      </c>
      <c r="L402" s="5">
        <f>20 / 86400</f>
        <v>2.3148148148148149E-4</v>
      </c>
    </row>
    <row r="403" spans="1:12" x14ac:dyDescent="0.25">
      <c r="A403" s="3">
        <v>45691.615532407406</v>
      </c>
      <c r="B403" t="s">
        <v>253</v>
      </c>
      <c r="C403" s="3">
        <v>45691.618275462963</v>
      </c>
      <c r="D403" t="s">
        <v>171</v>
      </c>
      <c r="E403" s="4">
        <v>2.4275495772361757</v>
      </c>
      <c r="F403" s="4">
        <v>346373.09210981417</v>
      </c>
      <c r="G403" s="4">
        <v>346375.51965939143</v>
      </c>
      <c r="H403" s="5">
        <f t="shared" si="4"/>
        <v>0</v>
      </c>
      <c r="I403" t="s">
        <v>66</v>
      </c>
      <c r="J403" t="s">
        <v>248</v>
      </c>
      <c r="K403" s="5">
        <f>237 / 86400</f>
        <v>2.7430555555555554E-3</v>
      </c>
      <c r="L403" s="5">
        <f>37 / 86400</f>
        <v>4.2824074074074075E-4</v>
      </c>
    </row>
    <row r="404" spans="1:12" x14ac:dyDescent="0.25">
      <c r="A404" s="3">
        <v>45691.618703703702</v>
      </c>
      <c r="B404" t="s">
        <v>340</v>
      </c>
      <c r="C404" s="3">
        <v>45691.620127314818</v>
      </c>
      <c r="D404" t="s">
        <v>316</v>
      </c>
      <c r="E404" s="4">
        <v>0.71057919555902482</v>
      </c>
      <c r="F404" s="4">
        <v>346375.52578122023</v>
      </c>
      <c r="G404" s="4">
        <v>346376.23636041582</v>
      </c>
      <c r="H404" s="5">
        <f t="shared" si="4"/>
        <v>0</v>
      </c>
      <c r="I404" t="s">
        <v>186</v>
      </c>
      <c r="J404" t="s">
        <v>70</v>
      </c>
      <c r="K404" s="5">
        <f>123 / 86400</f>
        <v>1.4236111111111112E-3</v>
      </c>
      <c r="L404" s="5">
        <f>73 / 86400</f>
        <v>8.4490740740740739E-4</v>
      </c>
    </row>
    <row r="405" spans="1:12" x14ac:dyDescent="0.25">
      <c r="A405" s="3">
        <v>45691.620972222227</v>
      </c>
      <c r="B405" t="s">
        <v>202</v>
      </c>
      <c r="C405" s="3">
        <v>45691.622303240743</v>
      </c>
      <c r="D405" t="s">
        <v>265</v>
      </c>
      <c r="E405" s="4">
        <v>0.53222871571779251</v>
      </c>
      <c r="F405" s="4">
        <v>346376.26114266791</v>
      </c>
      <c r="G405" s="4">
        <v>346376.79337138362</v>
      </c>
      <c r="H405" s="5">
        <f t="shared" si="4"/>
        <v>0</v>
      </c>
      <c r="I405" t="s">
        <v>165</v>
      </c>
      <c r="J405" t="s">
        <v>47</v>
      </c>
      <c r="K405" s="5">
        <f>115 / 86400</f>
        <v>1.3310185185185185E-3</v>
      </c>
      <c r="L405" s="5">
        <f>20 / 86400</f>
        <v>2.3148148148148149E-4</v>
      </c>
    </row>
    <row r="406" spans="1:12" x14ac:dyDescent="0.25">
      <c r="A406" s="3">
        <v>45691.622534722221</v>
      </c>
      <c r="B406" t="s">
        <v>265</v>
      </c>
      <c r="C406" s="3">
        <v>45691.623229166667</v>
      </c>
      <c r="D406" t="s">
        <v>265</v>
      </c>
      <c r="E406" s="4">
        <v>0.38681294178962705</v>
      </c>
      <c r="F406" s="4">
        <v>346376.81800570193</v>
      </c>
      <c r="G406" s="4">
        <v>346377.20481864375</v>
      </c>
      <c r="H406" s="5">
        <f t="shared" si="4"/>
        <v>0</v>
      </c>
      <c r="I406" t="s">
        <v>245</v>
      </c>
      <c r="J406" t="s">
        <v>170</v>
      </c>
      <c r="K406" s="5">
        <f>60 / 86400</f>
        <v>6.9444444444444447E-4</v>
      </c>
      <c r="L406" s="5">
        <f>40 / 86400</f>
        <v>4.6296296296296298E-4</v>
      </c>
    </row>
    <row r="407" spans="1:12" x14ac:dyDescent="0.25">
      <c r="A407" s="3">
        <v>45691.623692129629</v>
      </c>
      <c r="B407" t="s">
        <v>341</v>
      </c>
      <c r="C407" s="3">
        <v>45691.626932870371</v>
      </c>
      <c r="D407" t="s">
        <v>266</v>
      </c>
      <c r="E407" s="4">
        <v>1.9539599400758743</v>
      </c>
      <c r="F407" s="4">
        <v>346377.25464507029</v>
      </c>
      <c r="G407" s="4">
        <v>346379.20860501041</v>
      </c>
      <c r="H407" s="5">
        <f t="shared" si="4"/>
        <v>0</v>
      </c>
      <c r="I407" t="s">
        <v>282</v>
      </c>
      <c r="J407" t="s">
        <v>120</v>
      </c>
      <c r="K407" s="5">
        <f>280 / 86400</f>
        <v>3.2407407407407406E-3</v>
      </c>
      <c r="L407" s="5">
        <f>2 / 86400</f>
        <v>2.3148148148148147E-5</v>
      </c>
    </row>
    <row r="408" spans="1:12" x14ac:dyDescent="0.25">
      <c r="A408" s="3">
        <v>45691.626956018517</v>
      </c>
      <c r="B408" t="s">
        <v>266</v>
      </c>
      <c r="C408" s="3">
        <v>45691.627418981487</v>
      </c>
      <c r="D408" t="s">
        <v>267</v>
      </c>
      <c r="E408" s="4">
        <v>0.33899186551570892</v>
      </c>
      <c r="F408" s="4">
        <v>346379.21205374447</v>
      </c>
      <c r="G408" s="4">
        <v>346379.55104560999</v>
      </c>
      <c r="H408" s="5">
        <f t="shared" si="4"/>
        <v>0</v>
      </c>
      <c r="I408" t="s">
        <v>147</v>
      </c>
      <c r="J408" t="s">
        <v>61</v>
      </c>
      <c r="K408" s="5">
        <f>40 / 86400</f>
        <v>4.6296296296296298E-4</v>
      </c>
      <c r="L408" s="5">
        <f>20 / 86400</f>
        <v>2.3148148148148149E-4</v>
      </c>
    </row>
    <row r="409" spans="1:12" x14ac:dyDescent="0.25">
      <c r="A409" s="3">
        <v>45691.627650462964</v>
      </c>
      <c r="B409" t="s">
        <v>267</v>
      </c>
      <c r="C409" s="3">
        <v>45691.62903935185</v>
      </c>
      <c r="D409" t="s">
        <v>106</v>
      </c>
      <c r="E409" s="4">
        <v>0.95485850900411606</v>
      </c>
      <c r="F409" s="4">
        <v>346379.58747994149</v>
      </c>
      <c r="G409" s="4">
        <v>346380.5423384505</v>
      </c>
      <c r="H409" s="5">
        <f t="shared" si="4"/>
        <v>0</v>
      </c>
      <c r="I409" t="s">
        <v>194</v>
      </c>
      <c r="J409" t="s">
        <v>159</v>
      </c>
      <c r="K409" s="5">
        <f>120 / 86400</f>
        <v>1.3888888888888889E-3</v>
      </c>
      <c r="L409" s="5">
        <f>20 / 86400</f>
        <v>2.3148148148148149E-4</v>
      </c>
    </row>
    <row r="410" spans="1:12" x14ac:dyDescent="0.25">
      <c r="A410" s="3">
        <v>45691.629270833335</v>
      </c>
      <c r="B410" t="s">
        <v>342</v>
      </c>
      <c r="C410" s="3">
        <v>45691.629733796297</v>
      </c>
      <c r="D410" t="s">
        <v>106</v>
      </c>
      <c r="E410" s="4">
        <v>0.15527906501293182</v>
      </c>
      <c r="F410" s="4">
        <v>346380.57848317892</v>
      </c>
      <c r="G410" s="4">
        <v>346380.73376224394</v>
      </c>
      <c r="H410" s="5">
        <f t="shared" si="4"/>
        <v>0</v>
      </c>
      <c r="I410" t="s">
        <v>20</v>
      </c>
      <c r="J410" t="s">
        <v>45</v>
      </c>
      <c r="K410" s="5">
        <f>40 / 86400</f>
        <v>4.6296296296296298E-4</v>
      </c>
      <c r="L410" s="5">
        <f>20 / 86400</f>
        <v>2.3148148148148149E-4</v>
      </c>
    </row>
    <row r="411" spans="1:12" x14ac:dyDescent="0.25">
      <c r="A411" s="3">
        <v>45691.629965277782</v>
      </c>
      <c r="B411" t="s">
        <v>106</v>
      </c>
      <c r="C411" s="3">
        <v>45691.631122685183</v>
      </c>
      <c r="D411" t="s">
        <v>269</v>
      </c>
      <c r="E411" s="4">
        <v>0.51955396062135695</v>
      </c>
      <c r="F411" s="4">
        <v>346380.80711645016</v>
      </c>
      <c r="G411" s="4">
        <v>346381.32667041075</v>
      </c>
      <c r="H411" s="5">
        <f t="shared" si="4"/>
        <v>0</v>
      </c>
      <c r="I411" t="s">
        <v>143</v>
      </c>
      <c r="J411" t="s">
        <v>35</v>
      </c>
      <c r="K411" s="5">
        <f>100 / 86400</f>
        <v>1.1574074074074073E-3</v>
      </c>
      <c r="L411" s="5">
        <f>20 / 86400</f>
        <v>2.3148148148148149E-4</v>
      </c>
    </row>
    <row r="412" spans="1:12" x14ac:dyDescent="0.25">
      <c r="A412" s="3">
        <v>45691.631354166668</v>
      </c>
      <c r="B412" t="s">
        <v>271</v>
      </c>
      <c r="C412" s="3">
        <v>45691.631585648152</v>
      </c>
      <c r="D412" t="s">
        <v>269</v>
      </c>
      <c r="E412" s="4">
        <v>5.1881572425365445E-2</v>
      </c>
      <c r="F412" s="4">
        <v>346381.34192682267</v>
      </c>
      <c r="G412" s="4">
        <v>346381.39380839508</v>
      </c>
      <c r="H412" s="5">
        <f t="shared" si="4"/>
        <v>0</v>
      </c>
      <c r="I412" t="s">
        <v>76</v>
      </c>
      <c r="J412" t="s">
        <v>79</v>
      </c>
      <c r="K412" s="5">
        <f>20 / 86400</f>
        <v>2.3148148148148149E-4</v>
      </c>
      <c r="L412" s="5">
        <f>6 / 86400</f>
        <v>6.9444444444444444E-5</v>
      </c>
    </row>
    <row r="413" spans="1:12" x14ac:dyDescent="0.25">
      <c r="A413" s="3">
        <v>45691.631655092591</v>
      </c>
      <c r="B413" t="s">
        <v>269</v>
      </c>
      <c r="C413" s="3">
        <v>45691.633275462962</v>
      </c>
      <c r="D413" t="s">
        <v>269</v>
      </c>
      <c r="E413" s="4">
        <v>1.2358225485682488</v>
      </c>
      <c r="F413" s="4">
        <v>346381.39890903613</v>
      </c>
      <c r="G413" s="4">
        <v>346382.63473158469</v>
      </c>
      <c r="H413" s="5">
        <f t="shared" si="4"/>
        <v>0</v>
      </c>
      <c r="I413" t="s">
        <v>123</v>
      </c>
      <c r="J413" t="s">
        <v>176</v>
      </c>
      <c r="K413" s="5">
        <f>140 / 86400</f>
        <v>1.6203703703703703E-3</v>
      </c>
      <c r="L413" s="5">
        <f>20 / 86400</f>
        <v>2.3148148148148149E-4</v>
      </c>
    </row>
    <row r="414" spans="1:12" x14ac:dyDescent="0.25">
      <c r="A414" s="3">
        <v>45691.633506944447</v>
      </c>
      <c r="B414" t="s">
        <v>269</v>
      </c>
      <c r="C414" s="3">
        <v>45691.633738425924</v>
      </c>
      <c r="D414" t="s">
        <v>269</v>
      </c>
      <c r="E414" s="4">
        <v>1.0161272764205932E-2</v>
      </c>
      <c r="F414" s="4">
        <v>346382.64783175796</v>
      </c>
      <c r="G414" s="4">
        <v>346382.65799303073</v>
      </c>
      <c r="H414" s="5">
        <f t="shared" si="4"/>
        <v>0</v>
      </c>
      <c r="I414" t="s">
        <v>128</v>
      </c>
      <c r="J414" t="s">
        <v>137</v>
      </c>
      <c r="K414" s="5">
        <f>20 / 86400</f>
        <v>2.3148148148148149E-4</v>
      </c>
      <c r="L414" s="5">
        <f>40 / 86400</f>
        <v>4.6296296296296298E-4</v>
      </c>
    </row>
    <row r="415" spans="1:12" x14ac:dyDescent="0.25">
      <c r="A415" s="3">
        <v>45691.634201388893</v>
      </c>
      <c r="B415" t="s">
        <v>343</v>
      </c>
      <c r="C415" s="3">
        <v>45691.634432870371</v>
      </c>
      <c r="D415" t="s">
        <v>272</v>
      </c>
      <c r="E415" s="4">
        <v>2.8379429042339324E-2</v>
      </c>
      <c r="F415" s="4">
        <v>346382.67506015848</v>
      </c>
      <c r="G415" s="4">
        <v>346382.70343958755</v>
      </c>
      <c r="H415" s="5">
        <f t="shared" si="4"/>
        <v>0</v>
      </c>
      <c r="I415" t="s">
        <v>128</v>
      </c>
      <c r="J415" t="s">
        <v>136</v>
      </c>
      <c r="K415" s="5">
        <f>20 / 86400</f>
        <v>2.3148148148148149E-4</v>
      </c>
      <c r="L415" s="5">
        <f>20 / 86400</f>
        <v>2.3148148148148149E-4</v>
      </c>
    </row>
    <row r="416" spans="1:12" x14ac:dyDescent="0.25">
      <c r="A416" s="3">
        <v>45691.634664351848</v>
      </c>
      <c r="B416" t="s">
        <v>272</v>
      </c>
      <c r="C416" s="3">
        <v>45691.635127314818</v>
      </c>
      <c r="D416" t="s">
        <v>273</v>
      </c>
      <c r="E416" s="4">
        <v>1.2066327571868896E-2</v>
      </c>
      <c r="F416" s="4">
        <v>346382.71566135978</v>
      </c>
      <c r="G416" s="4">
        <v>346382.72772768734</v>
      </c>
      <c r="H416" s="5">
        <f t="shared" si="4"/>
        <v>0</v>
      </c>
      <c r="I416" t="s">
        <v>137</v>
      </c>
      <c r="J416" t="s">
        <v>62</v>
      </c>
      <c r="K416" s="5">
        <f>40 / 86400</f>
        <v>4.6296296296296298E-4</v>
      </c>
      <c r="L416" s="5">
        <f>40 / 86400</f>
        <v>4.6296296296296298E-4</v>
      </c>
    </row>
    <row r="417" spans="1:12" x14ac:dyDescent="0.25">
      <c r="A417" s="3">
        <v>45691.63559027778</v>
      </c>
      <c r="B417" t="s">
        <v>272</v>
      </c>
      <c r="C417" s="3">
        <v>45691.636226851857</v>
      </c>
      <c r="D417" t="s">
        <v>273</v>
      </c>
      <c r="E417" s="4">
        <v>9.8577123403549197E-2</v>
      </c>
      <c r="F417" s="4">
        <v>346382.76681222458</v>
      </c>
      <c r="G417" s="4">
        <v>346382.86538934795</v>
      </c>
      <c r="H417" s="5">
        <f t="shared" si="4"/>
        <v>0</v>
      </c>
      <c r="I417" t="s">
        <v>151</v>
      </c>
      <c r="J417" t="s">
        <v>32</v>
      </c>
      <c r="K417" s="5">
        <f>55 / 86400</f>
        <v>6.3657407407407413E-4</v>
      </c>
      <c r="L417" s="5">
        <f>6 / 86400</f>
        <v>6.9444444444444444E-5</v>
      </c>
    </row>
    <row r="418" spans="1:12" x14ac:dyDescent="0.25">
      <c r="A418" s="3">
        <v>45691.636296296296</v>
      </c>
      <c r="B418" t="s">
        <v>273</v>
      </c>
      <c r="C418" s="3">
        <v>45691.638379629629</v>
      </c>
      <c r="D418" t="s">
        <v>273</v>
      </c>
      <c r="E418" s="4">
        <v>0.15040114408731461</v>
      </c>
      <c r="F418" s="4">
        <v>346382.86962331622</v>
      </c>
      <c r="G418" s="4">
        <v>346383.02002446033</v>
      </c>
      <c r="H418" s="5">
        <f t="shared" si="4"/>
        <v>0</v>
      </c>
      <c r="I418" t="s">
        <v>32</v>
      </c>
      <c r="J418" t="s">
        <v>128</v>
      </c>
      <c r="K418" s="5">
        <f>180 / 86400</f>
        <v>2.0833333333333333E-3</v>
      </c>
      <c r="L418" s="5">
        <f>60 / 86400</f>
        <v>6.9444444444444447E-4</v>
      </c>
    </row>
    <row r="419" spans="1:12" x14ac:dyDescent="0.25">
      <c r="A419" s="3">
        <v>45691.639074074075</v>
      </c>
      <c r="B419" t="s">
        <v>272</v>
      </c>
      <c r="C419" s="3">
        <v>45691.639537037037</v>
      </c>
      <c r="D419" t="s">
        <v>344</v>
      </c>
      <c r="E419" s="4">
        <v>8.930927741527557E-2</v>
      </c>
      <c r="F419" s="4">
        <v>346383.06704592006</v>
      </c>
      <c r="G419" s="4">
        <v>346383.15635519748</v>
      </c>
      <c r="H419" s="5">
        <f t="shared" si="4"/>
        <v>0</v>
      </c>
      <c r="I419" t="s">
        <v>155</v>
      </c>
      <c r="J419" t="s">
        <v>151</v>
      </c>
      <c r="K419" s="5">
        <f>40 / 86400</f>
        <v>4.6296296296296298E-4</v>
      </c>
      <c r="L419" s="5">
        <f>20 / 86400</f>
        <v>2.3148148148148149E-4</v>
      </c>
    </row>
    <row r="420" spans="1:12" x14ac:dyDescent="0.25">
      <c r="A420" s="3">
        <v>45691.639768518522</v>
      </c>
      <c r="B420" t="s">
        <v>345</v>
      </c>
      <c r="C420" s="3">
        <v>45691.640162037038</v>
      </c>
      <c r="D420" t="s">
        <v>275</v>
      </c>
      <c r="E420" s="4">
        <v>0.15100896877050399</v>
      </c>
      <c r="F420" s="4">
        <v>346383.21515004843</v>
      </c>
      <c r="G420" s="4">
        <v>346383.3661590172</v>
      </c>
      <c r="H420" s="5">
        <f t="shared" si="4"/>
        <v>0</v>
      </c>
      <c r="I420" t="s">
        <v>45</v>
      </c>
      <c r="J420" t="s">
        <v>40</v>
      </c>
      <c r="K420" s="5">
        <f>34 / 86400</f>
        <v>3.9351851851851852E-4</v>
      </c>
      <c r="L420" s="5">
        <f>20 / 86400</f>
        <v>2.3148148148148149E-4</v>
      </c>
    </row>
    <row r="421" spans="1:12" x14ac:dyDescent="0.25">
      <c r="A421" s="3">
        <v>45691.640393518523</v>
      </c>
      <c r="B421" t="s">
        <v>346</v>
      </c>
      <c r="C421" s="3">
        <v>45691.641550925924</v>
      </c>
      <c r="D421" t="s">
        <v>347</v>
      </c>
      <c r="E421" s="4">
        <v>0.4167231465578079</v>
      </c>
      <c r="F421" s="4">
        <v>346383.53028906597</v>
      </c>
      <c r="G421" s="4">
        <v>346383.94701221253</v>
      </c>
      <c r="H421" s="5">
        <f t="shared" si="4"/>
        <v>0</v>
      </c>
      <c r="I421" t="s">
        <v>259</v>
      </c>
      <c r="J421" t="s">
        <v>30</v>
      </c>
      <c r="K421" s="5">
        <f>100 / 86400</f>
        <v>1.1574074074074073E-3</v>
      </c>
      <c r="L421" s="5">
        <f>40 / 86400</f>
        <v>4.6296296296296298E-4</v>
      </c>
    </row>
    <row r="422" spans="1:12" x14ac:dyDescent="0.25">
      <c r="A422" s="3">
        <v>45691.642013888893</v>
      </c>
      <c r="B422" t="s">
        <v>348</v>
      </c>
      <c r="C422" s="3">
        <v>45691.643171296295</v>
      </c>
      <c r="D422" t="s">
        <v>108</v>
      </c>
      <c r="E422" s="4">
        <v>0.53922970128059389</v>
      </c>
      <c r="F422" s="4">
        <v>346383.99224647094</v>
      </c>
      <c r="G422" s="4">
        <v>346384.53147617221</v>
      </c>
      <c r="H422" s="5">
        <f t="shared" si="4"/>
        <v>0</v>
      </c>
      <c r="I422" t="s">
        <v>131</v>
      </c>
      <c r="J422" t="s">
        <v>35</v>
      </c>
      <c r="K422" s="5">
        <f>100 / 86400</f>
        <v>1.1574074074074073E-3</v>
      </c>
      <c r="L422" s="5">
        <f>18 / 86400</f>
        <v>2.0833333333333335E-4</v>
      </c>
    </row>
    <row r="423" spans="1:12" x14ac:dyDescent="0.25">
      <c r="A423" s="3">
        <v>45691.643379629633</v>
      </c>
      <c r="B423" t="s">
        <v>108</v>
      </c>
      <c r="C423" s="3">
        <v>45691.645925925928</v>
      </c>
      <c r="D423" t="s">
        <v>108</v>
      </c>
      <c r="E423" s="4">
        <v>0.91409270608425142</v>
      </c>
      <c r="F423" s="4">
        <v>346384.53743339307</v>
      </c>
      <c r="G423" s="4">
        <v>346385.45152609912</v>
      </c>
      <c r="H423" s="5">
        <f t="shared" si="4"/>
        <v>0</v>
      </c>
      <c r="I423" t="s">
        <v>88</v>
      </c>
      <c r="J423" t="s">
        <v>30</v>
      </c>
      <c r="K423" s="5">
        <f>220 / 86400</f>
        <v>2.5462962962962965E-3</v>
      </c>
      <c r="L423" s="5">
        <f>20 / 86400</f>
        <v>2.3148148148148149E-4</v>
      </c>
    </row>
    <row r="424" spans="1:12" x14ac:dyDescent="0.25">
      <c r="A424" s="3">
        <v>45691.646157407406</v>
      </c>
      <c r="B424" t="s">
        <v>108</v>
      </c>
      <c r="C424" s="3">
        <v>45691.646620370375</v>
      </c>
      <c r="D424" t="s">
        <v>108</v>
      </c>
      <c r="E424" s="4">
        <v>0.3937727082967758</v>
      </c>
      <c r="F424" s="4">
        <v>346385.46958732209</v>
      </c>
      <c r="G424" s="4">
        <v>346385.8633600304</v>
      </c>
      <c r="H424" s="5">
        <f t="shared" si="4"/>
        <v>0</v>
      </c>
      <c r="I424" t="s">
        <v>248</v>
      </c>
      <c r="J424" t="s">
        <v>264</v>
      </c>
      <c r="K424" s="5">
        <f>40 / 86400</f>
        <v>4.6296296296296298E-4</v>
      </c>
      <c r="L424" s="5">
        <f>20 / 86400</f>
        <v>2.3148148148148149E-4</v>
      </c>
    </row>
    <row r="425" spans="1:12" x14ac:dyDescent="0.25">
      <c r="A425" s="3">
        <v>45691.646851851852</v>
      </c>
      <c r="B425" t="s">
        <v>71</v>
      </c>
      <c r="C425" s="3">
        <v>45691.648935185185</v>
      </c>
      <c r="D425" t="s">
        <v>71</v>
      </c>
      <c r="E425" s="4">
        <v>1.2223502670526505</v>
      </c>
      <c r="F425" s="4">
        <v>346385.98730860412</v>
      </c>
      <c r="G425" s="4">
        <v>346387.20965887117</v>
      </c>
      <c r="H425" s="5">
        <f t="shared" si="4"/>
        <v>0</v>
      </c>
      <c r="I425" t="s">
        <v>279</v>
      </c>
      <c r="J425" t="s">
        <v>135</v>
      </c>
      <c r="K425" s="5">
        <f>180 / 86400</f>
        <v>2.0833333333333333E-3</v>
      </c>
      <c r="L425" s="5">
        <f>30 / 86400</f>
        <v>3.4722222222222224E-4</v>
      </c>
    </row>
    <row r="426" spans="1:12" x14ac:dyDescent="0.25">
      <c r="A426" s="3">
        <v>45691.649282407408</v>
      </c>
      <c r="B426" t="s">
        <v>71</v>
      </c>
      <c r="C426" s="3">
        <v>45691.651365740741</v>
      </c>
      <c r="D426" t="s">
        <v>71</v>
      </c>
      <c r="E426" s="4">
        <v>1.6115604978203772</v>
      </c>
      <c r="F426" s="4">
        <v>346387.21642395889</v>
      </c>
      <c r="G426" s="4">
        <v>346388.82798445673</v>
      </c>
      <c r="H426" s="5">
        <f t="shared" si="4"/>
        <v>0</v>
      </c>
      <c r="I426" t="s">
        <v>199</v>
      </c>
      <c r="J426" t="s">
        <v>176</v>
      </c>
      <c r="K426" s="5">
        <f>180 / 86400</f>
        <v>2.0833333333333333E-3</v>
      </c>
      <c r="L426" s="5">
        <f>40 / 86400</f>
        <v>4.6296296296296298E-4</v>
      </c>
    </row>
    <row r="427" spans="1:12" x14ac:dyDescent="0.25">
      <c r="A427" s="3">
        <v>45691.651828703703</v>
      </c>
      <c r="B427" t="s">
        <v>71</v>
      </c>
      <c r="C427" s="3">
        <v>45691.656458333338</v>
      </c>
      <c r="D427" t="s">
        <v>281</v>
      </c>
      <c r="E427" s="4">
        <v>2.9204502105116843</v>
      </c>
      <c r="F427" s="4">
        <v>346388.87846725073</v>
      </c>
      <c r="G427" s="4">
        <v>346391.79891746124</v>
      </c>
      <c r="H427" s="5">
        <f t="shared" si="4"/>
        <v>0</v>
      </c>
      <c r="I427" t="s">
        <v>282</v>
      </c>
      <c r="J427" t="s">
        <v>172</v>
      </c>
      <c r="K427" s="5">
        <f>400 / 86400</f>
        <v>4.6296296296296294E-3</v>
      </c>
      <c r="L427" s="5">
        <f>20 / 86400</f>
        <v>2.3148148148148149E-4</v>
      </c>
    </row>
    <row r="428" spans="1:12" x14ac:dyDescent="0.25">
      <c r="A428" s="3">
        <v>45691.656689814816</v>
      </c>
      <c r="B428" t="s">
        <v>349</v>
      </c>
      <c r="C428" s="3">
        <v>45691.657847222217</v>
      </c>
      <c r="D428" t="s">
        <v>82</v>
      </c>
      <c r="E428" s="4">
        <v>0.78356964904069903</v>
      </c>
      <c r="F428" s="4">
        <v>346391.80655024818</v>
      </c>
      <c r="G428" s="4">
        <v>346392.59011989727</v>
      </c>
      <c r="H428" s="5">
        <f t="shared" si="4"/>
        <v>0</v>
      </c>
      <c r="I428" t="s">
        <v>139</v>
      </c>
      <c r="J428" t="s">
        <v>196</v>
      </c>
      <c r="K428" s="5">
        <f>100 / 86400</f>
        <v>1.1574074074074073E-3</v>
      </c>
      <c r="L428" s="5">
        <f>20 / 86400</f>
        <v>2.3148148148148149E-4</v>
      </c>
    </row>
    <row r="429" spans="1:12" x14ac:dyDescent="0.25">
      <c r="A429" s="3">
        <v>45691.658078703702</v>
      </c>
      <c r="B429" t="s">
        <v>82</v>
      </c>
      <c r="C429" s="3">
        <v>45691.658310185187</v>
      </c>
      <c r="D429" t="s">
        <v>82</v>
      </c>
      <c r="E429" s="4">
        <v>1.3359821677207947E-2</v>
      </c>
      <c r="F429" s="4">
        <v>346392.59218814451</v>
      </c>
      <c r="G429" s="4">
        <v>346392.6055479662</v>
      </c>
      <c r="H429" s="5">
        <f t="shared" si="4"/>
        <v>0</v>
      </c>
      <c r="I429" t="s">
        <v>136</v>
      </c>
      <c r="J429" t="s">
        <v>137</v>
      </c>
      <c r="K429" s="5">
        <f>20 / 86400</f>
        <v>2.3148148148148149E-4</v>
      </c>
      <c r="L429" s="5">
        <f>20 / 86400</f>
        <v>2.3148148148148149E-4</v>
      </c>
    </row>
    <row r="430" spans="1:12" x14ac:dyDescent="0.25">
      <c r="A430" s="3">
        <v>45691.658541666664</v>
      </c>
      <c r="B430" t="s">
        <v>82</v>
      </c>
      <c r="C430" s="3">
        <v>45691.661782407406</v>
      </c>
      <c r="D430" t="s">
        <v>138</v>
      </c>
      <c r="E430" s="4">
        <v>2.4919307619333266</v>
      </c>
      <c r="F430" s="4">
        <v>346392.62353417737</v>
      </c>
      <c r="G430" s="4">
        <v>346395.11546493927</v>
      </c>
      <c r="H430" s="5">
        <f t="shared" si="4"/>
        <v>0</v>
      </c>
      <c r="I430" t="s">
        <v>175</v>
      </c>
      <c r="J430" t="s">
        <v>176</v>
      </c>
      <c r="K430" s="5">
        <f>280 / 86400</f>
        <v>3.2407407407407406E-3</v>
      </c>
      <c r="L430" s="5">
        <f>80 / 86400</f>
        <v>9.2592592592592596E-4</v>
      </c>
    </row>
    <row r="431" spans="1:12" x14ac:dyDescent="0.25">
      <c r="A431" s="3">
        <v>45691.66270833333</v>
      </c>
      <c r="B431" t="s">
        <v>182</v>
      </c>
      <c r="C431" s="3">
        <v>45691.6643287037</v>
      </c>
      <c r="D431" t="s">
        <v>112</v>
      </c>
      <c r="E431" s="4">
        <v>1.2402077437639236</v>
      </c>
      <c r="F431" s="4">
        <v>346395.2338038953</v>
      </c>
      <c r="G431" s="4">
        <v>346396.47401163907</v>
      </c>
      <c r="H431" s="5">
        <f t="shared" si="4"/>
        <v>0</v>
      </c>
      <c r="I431" t="s">
        <v>164</v>
      </c>
      <c r="J431" t="s">
        <v>176</v>
      </c>
      <c r="K431" s="5">
        <f>140 / 86400</f>
        <v>1.6203703703703703E-3</v>
      </c>
      <c r="L431" s="5">
        <f>40 / 86400</f>
        <v>4.6296296296296298E-4</v>
      </c>
    </row>
    <row r="432" spans="1:12" x14ac:dyDescent="0.25">
      <c r="A432" s="3">
        <v>45691.66479166667</v>
      </c>
      <c r="B432" t="s">
        <v>112</v>
      </c>
      <c r="C432" s="3">
        <v>45691.667905092589</v>
      </c>
      <c r="D432" t="s">
        <v>285</v>
      </c>
      <c r="E432" s="4">
        <v>3.050685302734375</v>
      </c>
      <c r="F432" s="4">
        <v>346396.49487517728</v>
      </c>
      <c r="G432" s="4">
        <v>346399.54556047998</v>
      </c>
      <c r="H432" s="5">
        <f t="shared" si="4"/>
        <v>0</v>
      </c>
      <c r="I432" t="s">
        <v>139</v>
      </c>
      <c r="J432" t="s">
        <v>186</v>
      </c>
      <c r="K432" s="5">
        <f>269 / 86400</f>
        <v>3.1134259259259257E-3</v>
      </c>
      <c r="L432" s="5">
        <f>20 / 86400</f>
        <v>2.3148148148148149E-4</v>
      </c>
    </row>
    <row r="433" spans="1:12" x14ac:dyDescent="0.25">
      <c r="A433" s="3">
        <v>45691.668136574073</v>
      </c>
      <c r="B433" t="s">
        <v>284</v>
      </c>
      <c r="C433" s="3">
        <v>45691.668599537035</v>
      </c>
      <c r="D433" t="s">
        <v>283</v>
      </c>
      <c r="E433" s="4">
        <v>0.10281513643264771</v>
      </c>
      <c r="F433" s="4">
        <v>346399.63795388269</v>
      </c>
      <c r="G433" s="4">
        <v>346399.74076901912</v>
      </c>
      <c r="H433" s="5">
        <f t="shared" si="4"/>
        <v>0</v>
      </c>
      <c r="I433" t="s">
        <v>170</v>
      </c>
      <c r="J433" t="s">
        <v>79</v>
      </c>
      <c r="K433" s="5">
        <f>40 / 86400</f>
        <v>4.6296296296296298E-4</v>
      </c>
      <c r="L433" s="5">
        <f>20 / 86400</f>
        <v>2.3148148148148149E-4</v>
      </c>
    </row>
    <row r="434" spans="1:12" x14ac:dyDescent="0.25">
      <c r="A434" s="3">
        <v>45691.66883101852</v>
      </c>
      <c r="B434" t="s">
        <v>283</v>
      </c>
      <c r="C434" s="3">
        <v>45691.670914351853</v>
      </c>
      <c r="D434" t="s">
        <v>350</v>
      </c>
      <c r="E434" s="4">
        <v>1.0623984456658364</v>
      </c>
      <c r="F434" s="4">
        <v>346399.87504219083</v>
      </c>
      <c r="G434" s="4">
        <v>346400.93744063651</v>
      </c>
      <c r="H434" s="5">
        <f t="shared" si="4"/>
        <v>0</v>
      </c>
      <c r="I434" t="s">
        <v>259</v>
      </c>
      <c r="J434" t="s">
        <v>70</v>
      </c>
      <c r="K434" s="5">
        <f>180 / 86400</f>
        <v>2.0833333333333333E-3</v>
      </c>
      <c r="L434" s="5">
        <f>20 / 86400</f>
        <v>2.3148148148148149E-4</v>
      </c>
    </row>
    <row r="435" spans="1:12" x14ac:dyDescent="0.25">
      <c r="A435" s="3">
        <v>45691.67114583333</v>
      </c>
      <c r="B435" t="s">
        <v>285</v>
      </c>
      <c r="C435" s="3">
        <v>45691.675312499996</v>
      </c>
      <c r="D435" t="s">
        <v>304</v>
      </c>
      <c r="E435" s="4">
        <v>3.1041521742939948</v>
      </c>
      <c r="F435" s="4">
        <v>346401.00717980898</v>
      </c>
      <c r="G435" s="4">
        <v>346404.11133198329</v>
      </c>
      <c r="H435" s="5">
        <f t="shared" si="4"/>
        <v>0</v>
      </c>
      <c r="I435" t="s">
        <v>164</v>
      </c>
      <c r="J435" t="s">
        <v>61</v>
      </c>
      <c r="K435" s="5">
        <f>360 / 86400</f>
        <v>4.1666666666666666E-3</v>
      </c>
      <c r="L435" s="5">
        <f>40 / 86400</f>
        <v>4.6296296296296298E-4</v>
      </c>
    </row>
    <row r="436" spans="1:12" x14ac:dyDescent="0.25">
      <c r="A436" s="3">
        <v>45691.675775462965</v>
      </c>
      <c r="B436" t="s">
        <v>304</v>
      </c>
      <c r="C436" s="3">
        <v>45691.677395833336</v>
      </c>
      <c r="D436" t="s">
        <v>286</v>
      </c>
      <c r="E436" s="4">
        <v>1.6148383544683456</v>
      </c>
      <c r="F436" s="4">
        <v>346404.24814989523</v>
      </c>
      <c r="G436" s="4">
        <v>346405.86298824975</v>
      </c>
      <c r="H436" s="5">
        <f t="shared" si="4"/>
        <v>0</v>
      </c>
      <c r="I436" t="s">
        <v>123</v>
      </c>
      <c r="J436" t="s">
        <v>88</v>
      </c>
      <c r="K436" s="5">
        <f>140 / 86400</f>
        <v>1.6203703703703703E-3</v>
      </c>
      <c r="L436" s="5">
        <f>20 / 86400</f>
        <v>2.3148148148148149E-4</v>
      </c>
    </row>
    <row r="437" spans="1:12" x14ac:dyDescent="0.25">
      <c r="A437" s="3">
        <v>45691.677627314813</v>
      </c>
      <c r="B437" t="s">
        <v>286</v>
      </c>
      <c r="C437" s="3">
        <v>45691.679710648154</v>
      </c>
      <c r="D437" t="s">
        <v>49</v>
      </c>
      <c r="E437" s="4">
        <v>1.933369069993496</v>
      </c>
      <c r="F437" s="4">
        <v>346405.95075172919</v>
      </c>
      <c r="G437" s="4">
        <v>346407.88412079919</v>
      </c>
      <c r="H437" s="5">
        <f t="shared" si="4"/>
        <v>0</v>
      </c>
      <c r="I437" t="s">
        <v>56</v>
      </c>
      <c r="J437" t="s">
        <v>179</v>
      </c>
      <c r="K437" s="5">
        <f>180 / 86400</f>
        <v>2.0833333333333333E-3</v>
      </c>
      <c r="L437" s="5">
        <f>20 / 86400</f>
        <v>2.3148148148148149E-4</v>
      </c>
    </row>
    <row r="438" spans="1:12" x14ac:dyDescent="0.25">
      <c r="A438" s="3">
        <v>45691.679942129631</v>
      </c>
      <c r="B438" t="s">
        <v>49</v>
      </c>
      <c r="C438" s="3">
        <v>45691.682141203702</v>
      </c>
      <c r="D438" t="s">
        <v>289</v>
      </c>
      <c r="E438" s="4">
        <v>1.2009301563501358</v>
      </c>
      <c r="F438" s="4">
        <v>346408.05788373732</v>
      </c>
      <c r="G438" s="4">
        <v>346409.25881389366</v>
      </c>
      <c r="H438" s="5">
        <f t="shared" si="4"/>
        <v>0</v>
      </c>
      <c r="I438" t="s">
        <v>181</v>
      </c>
      <c r="J438" t="s">
        <v>170</v>
      </c>
      <c r="K438" s="5">
        <f>190 / 86400</f>
        <v>2.1990740740740742E-3</v>
      </c>
      <c r="L438" s="5">
        <f>20 / 86400</f>
        <v>2.3148148148148149E-4</v>
      </c>
    </row>
    <row r="439" spans="1:12" x14ac:dyDescent="0.25">
      <c r="A439" s="3">
        <v>45691.682372685187</v>
      </c>
      <c r="B439" t="s">
        <v>49</v>
      </c>
      <c r="C439" s="3">
        <v>45691.683067129634</v>
      </c>
      <c r="D439" t="s">
        <v>302</v>
      </c>
      <c r="E439" s="4">
        <v>0.38218826216459273</v>
      </c>
      <c r="F439" s="4">
        <v>346409.30222724314</v>
      </c>
      <c r="G439" s="4">
        <v>346409.68441550527</v>
      </c>
      <c r="H439" s="5">
        <f t="shared" si="4"/>
        <v>0</v>
      </c>
      <c r="I439" t="s">
        <v>257</v>
      </c>
      <c r="J439" t="s">
        <v>170</v>
      </c>
      <c r="K439" s="5">
        <f>60 / 86400</f>
        <v>6.9444444444444447E-4</v>
      </c>
      <c r="L439" s="5">
        <f>20 / 86400</f>
        <v>2.3148148148148149E-4</v>
      </c>
    </row>
    <row r="440" spans="1:12" x14ac:dyDescent="0.25">
      <c r="A440" s="3">
        <v>45691.683298611111</v>
      </c>
      <c r="B440" t="s">
        <v>291</v>
      </c>
      <c r="C440" s="3">
        <v>45691.683761574073</v>
      </c>
      <c r="D440" t="s">
        <v>145</v>
      </c>
      <c r="E440" s="4">
        <v>0.1312797753214836</v>
      </c>
      <c r="F440" s="4">
        <v>346409.80073023733</v>
      </c>
      <c r="G440" s="4">
        <v>346409.93201001262</v>
      </c>
      <c r="H440" s="5">
        <f t="shared" si="4"/>
        <v>0</v>
      </c>
      <c r="I440" t="s">
        <v>61</v>
      </c>
      <c r="J440" t="s">
        <v>155</v>
      </c>
      <c r="K440" s="5">
        <f>40 / 86400</f>
        <v>4.6296296296296298E-4</v>
      </c>
      <c r="L440" s="5">
        <f>12 / 86400</f>
        <v>1.3888888888888889E-4</v>
      </c>
    </row>
    <row r="441" spans="1:12" x14ac:dyDescent="0.25">
      <c r="A441" s="3">
        <v>45691.683900462958</v>
      </c>
      <c r="B441" t="s">
        <v>49</v>
      </c>
      <c r="C441" s="3">
        <v>45691.684432870374</v>
      </c>
      <c r="D441" t="s">
        <v>351</v>
      </c>
      <c r="E441" s="4">
        <v>0.21982810586690904</v>
      </c>
      <c r="F441" s="4">
        <v>346409.94882908097</v>
      </c>
      <c r="G441" s="4">
        <v>346410.16865718679</v>
      </c>
      <c r="H441" s="5">
        <f t="shared" si="4"/>
        <v>0</v>
      </c>
      <c r="I441" t="s">
        <v>40</v>
      </c>
      <c r="J441" t="s">
        <v>47</v>
      </c>
      <c r="K441" s="5">
        <f>46 / 86400</f>
        <v>5.3240740740740744E-4</v>
      </c>
      <c r="L441" s="5">
        <f>20 / 86400</f>
        <v>2.3148148148148149E-4</v>
      </c>
    </row>
    <row r="442" spans="1:12" x14ac:dyDescent="0.25">
      <c r="A442" s="3">
        <v>45691.684664351851</v>
      </c>
      <c r="B442" t="s">
        <v>352</v>
      </c>
      <c r="C442" s="3">
        <v>45691.685590277775</v>
      </c>
      <c r="D442" t="s">
        <v>300</v>
      </c>
      <c r="E442" s="4">
        <v>0.27325970059633253</v>
      </c>
      <c r="F442" s="4">
        <v>346410.25462562812</v>
      </c>
      <c r="G442" s="4">
        <v>346410.52788532869</v>
      </c>
      <c r="H442" s="5">
        <f t="shared" si="4"/>
        <v>0</v>
      </c>
      <c r="I442" t="s">
        <v>75</v>
      </c>
      <c r="J442" t="s">
        <v>155</v>
      </c>
      <c r="K442" s="5">
        <f>80 / 86400</f>
        <v>9.2592592592592596E-4</v>
      </c>
      <c r="L442" s="5">
        <f>40 / 86400</f>
        <v>4.6296296296296298E-4</v>
      </c>
    </row>
    <row r="443" spans="1:12" x14ac:dyDescent="0.25">
      <c r="A443" s="3">
        <v>45691.686053240745</v>
      </c>
      <c r="B443" t="s">
        <v>300</v>
      </c>
      <c r="C443" s="3">
        <v>45691.686782407407</v>
      </c>
      <c r="D443" t="s">
        <v>300</v>
      </c>
      <c r="E443" s="4">
        <v>0.15117015594244004</v>
      </c>
      <c r="F443" s="4">
        <v>346410.65739309957</v>
      </c>
      <c r="G443" s="4">
        <v>346410.80856325547</v>
      </c>
      <c r="H443" s="5">
        <f t="shared" si="4"/>
        <v>0</v>
      </c>
      <c r="I443" t="s">
        <v>135</v>
      </c>
      <c r="J443" t="s">
        <v>79</v>
      </c>
      <c r="K443" s="5">
        <f>63 / 86400</f>
        <v>7.291666666666667E-4</v>
      </c>
      <c r="L443" s="5">
        <f>20 / 86400</f>
        <v>2.3148148148148149E-4</v>
      </c>
    </row>
    <row r="444" spans="1:12" x14ac:dyDescent="0.25">
      <c r="A444" s="3">
        <v>45691.687013888892</v>
      </c>
      <c r="B444" t="s">
        <v>300</v>
      </c>
      <c r="C444" s="3">
        <v>45691.689340277779</v>
      </c>
      <c r="D444" t="s">
        <v>353</v>
      </c>
      <c r="E444" s="4">
        <v>0.95169499105215072</v>
      </c>
      <c r="F444" s="4">
        <v>346410.85205338703</v>
      </c>
      <c r="G444" s="4">
        <v>346411.80374837812</v>
      </c>
      <c r="H444" s="5">
        <f t="shared" si="4"/>
        <v>0</v>
      </c>
      <c r="I444" t="s">
        <v>159</v>
      </c>
      <c r="J444" t="s">
        <v>47</v>
      </c>
      <c r="K444" s="5">
        <f>201 / 86400</f>
        <v>2.3263888888888887E-3</v>
      </c>
      <c r="L444" s="5">
        <f>423 / 86400</f>
        <v>4.8958333333333336E-3</v>
      </c>
    </row>
    <row r="445" spans="1:12" x14ac:dyDescent="0.25">
      <c r="A445" s="3">
        <v>45691.694236111114</v>
      </c>
      <c r="B445" t="s">
        <v>353</v>
      </c>
      <c r="C445" s="3">
        <v>45691.709895833337</v>
      </c>
      <c r="D445" t="s">
        <v>185</v>
      </c>
      <c r="E445" s="4">
        <v>16.434759661138056</v>
      </c>
      <c r="F445" s="4">
        <v>346411.82166585338</v>
      </c>
      <c r="G445" s="4">
        <v>346428.25642551453</v>
      </c>
      <c r="H445" s="5">
        <f t="shared" si="4"/>
        <v>0</v>
      </c>
      <c r="I445" t="s">
        <v>187</v>
      </c>
      <c r="J445" t="s">
        <v>254</v>
      </c>
      <c r="K445" s="5">
        <f>1353 / 86400</f>
        <v>1.5659722222222221E-2</v>
      </c>
      <c r="L445" s="5">
        <f>20 / 86400</f>
        <v>2.3148148148148149E-4</v>
      </c>
    </row>
    <row r="446" spans="1:12" x14ac:dyDescent="0.25">
      <c r="A446" s="3">
        <v>45691.710127314815</v>
      </c>
      <c r="B446" t="s">
        <v>185</v>
      </c>
      <c r="C446" s="3">
        <v>45691.710590277777</v>
      </c>
      <c r="D446" t="s">
        <v>185</v>
      </c>
      <c r="E446" s="4">
        <v>0.31846140992641447</v>
      </c>
      <c r="F446" s="4">
        <v>346428.45333891467</v>
      </c>
      <c r="G446" s="4">
        <v>346428.77180032461</v>
      </c>
      <c r="H446" s="5">
        <f t="shared" si="4"/>
        <v>0</v>
      </c>
      <c r="I446" t="s">
        <v>258</v>
      </c>
      <c r="J446" t="s">
        <v>159</v>
      </c>
      <c r="K446" s="5">
        <f>40 / 86400</f>
        <v>4.6296296296296298E-4</v>
      </c>
      <c r="L446" s="5">
        <f>20 / 86400</f>
        <v>2.3148148148148149E-4</v>
      </c>
    </row>
    <row r="447" spans="1:12" x14ac:dyDescent="0.25">
      <c r="A447" s="3">
        <v>45691.710821759261</v>
      </c>
      <c r="B447" t="s">
        <v>184</v>
      </c>
      <c r="C447" s="3">
        <v>45691.711747685185</v>
      </c>
      <c r="D447" t="s">
        <v>185</v>
      </c>
      <c r="E447" s="4">
        <v>0.73050890040397642</v>
      </c>
      <c r="F447" s="4">
        <v>346428.8076535837</v>
      </c>
      <c r="G447" s="4">
        <v>346429.53816248412</v>
      </c>
      <c r="H447" s="5">
        <f t="shared" si="4"/>
        <v>0</v>
      </c>
      <c r="I447" t="s">
        <v>258</v>
      </c>
      <c r="J447" t="s">
        <v>197</v>
      </c>
      <c r="K447" s="5">
        <f>80 / 86400</f>
        <v>9.2592592592592596E-4</v>
      </c>
      <c r="L447" s="5">
        <f>81 / 86400</f>
        <v>9.3749999999999997E-4</v>
      </c>
    </row>
    <row r="448" spans="1:12" x14ac:dyDescent="0.25">
      <c r="A448" s="3">
        <v>45691.712685185186</v>
      </c>
      <c r="B448" t="s">
        <v>349</v>
      </c>
      <c r="C448" s="3">
        <v>45691.71402777778</v>
      </c>
      <c r="D448" t="s">
        <v>354</v>
      </c>
      <c r="E448" s="4">
        <v>0.99420907968282701</v>
      </c>
      <c r="F448" s="4">
        <v>346429.63642763108</v>
      </c>
      <c r="G448" s="4">
        <v>346430.63063671079</v>
      </c>
      <c r="H448" s="5">
        <f t="shared" si="4"/>
        <v>0</v>
      </c>
      <c r="I448" t="s">
        <v>181</v>
      </c>
      <c r="J448" t="s">
        <v>61</v>
      </c>
      <c r="K448" s="5">
        <f>116 / 86400</f>
        <v>1.3425925925925925E-3</v>
      </c>
      <c r="L448" s="5">
        <f>107 / 86400</f>
        <v>1.238425925925926E-3</v>
      </c>
    </row>
    <row r="449" spans="1:12" x14ac:dyDescent="0.25">
      <c r="A449" s="3">
        <v>45691.715266203704</v>
      </c>
      <c r="B449" t="s">
        <v>354</v>
      </c>
      <c r="C449" s="3">
        <v>45691.715671296297</v>
      </c>
      <c r="D449" t="s">
        <v>355</v>
      </c>
      <c r="E449" s="4">
        <v>5.1623441755771639E-2</v>
      </c>
      <c r="F449" s="4">
        <v>346430.63413719565</v>
      </c>
      <c r="G449" s="4">
        <v>346430.6857606374</v>
      </c>
      <c r="H449" s="5">
        <f t="shared" si="4"/>
        <v>0</v>
      </c>
      <c r="I449" t="s">
        <v>156</v>
      </c>
      <c r="J449" t="s">
        <v>136</v>
      </c>
      <c r="K449" s="5">
        <f>35 / 86400</f>
        <v>4.0509259259259258E-4</v>
      </c>
      <c r="L449" s="5">
        <f>20 / 86400</f>
        <v>2.3148148148148149E-4</v>
      </c>
    </row>
    <row r="450" spans="1:12" x14ac:dyDescent="0.25">
      <c r="A450" s="3">
        <v>45691.715902777782</v>
      </c>
      <c r="B450" t="s">
        <v>355</v>
      </c>
      <c r="C450" s="3">
        <v>45691.71806712963</v>
      </c>
      <c r="D450" t="s">
        <v>28</v>
      </c>
      <c r="E450" s="4">
        <v>0.78278748530149456</v>
      </c>
      <c r="F450" s="4">
        <v>346430.70475539693</v>
      </c>
      <c r="G450" s="4">
        <v>346431.48754288221</v>
      </c>
      <c r="H450" s="5">
        <f t="shared" si="4"/>
        <v>0</v>
      </c>
      <c r="I450" t="s">
        <v>24</v>
      </c>
      <c r="J450" t="s">
        <v>30</v>
      </c>
      <c r="K450" s="5">
        <f>187 / 86400</f>
        <v>2.1643518518518518E-3</v>
      </c>
      <c r="L450" s="5">
        <f>20 / 86400</f>
        <v>2.3148148148148149E-4</v>
      </c>
    </row>
    <row r="451" spans="1:12" x14ac:dyDescent="0.25">
      <c r="A451" s="3">
        <v>45691.718298611115</v>
      </c>
      <c r="B451" t="s">
        <v>28</v>
      </c>
      <c r="C451" s="3">
        <v>45691.718530092592</v>
      </c>
      <c r="D451" t="s">
        <v>28</v>
      </c>
      <c r="E451" s="4">
        <v>1.6877127766609192E-2</v>
      </c>
      <c r="F451" s="4">
        <v>346431.50047385384</v>
      </c>
      <c r="G451" s="4">
        <v>346431.51735098159</v>
      </c>
      <c r="H451" s="5">
        <f t="shared" si="4"/>
        <v>0</v>
      </c>
      <c r="I451" t="s">
        <v>128</v>
      </c>
      <c r="J451" t="s">
        <v>128</v>
      </c>
      <c r="K451" s="5">
        <f>20 / 86400</f>
        <v>2.3148148148148149E-4</v>
      </c>
      <c r="L451" s="5">
        <f>20 / 86400</f>
        <v>2.3148148148148149E-4</v>
      </c>
    </row>
    <row r="452" spans="1:12" x14ac:dyDescent="0.25">
      <c r="A452" s="3">
        <v>45691.71876157407</v>
      </c>
      <c r="B452" t="s">
        <v>28</v>
      </c>
      <c r="C452" s="3">
        <v>45691.718854166669</v>
      </c>
      <c r="D452" t="s">
        <v>28</v>
      </c>
      <c r="E452" s="4">
        <v>2.63888418674469E-4</v>
      </c>
      <c r="F452" s="4">
        <v>346431.51891151269</v>
      </c>
      <c r="G452" s="4">
        <v>346431.51917540107</v>
      </c>
      <c r="H452" s="5">
        <f t="shared" si="4"/>
        <v>0</v>
      </c>
      <c r="I452" t="s">
        <v>62</v>
      </c>
      <c r="J452" t="s">
        <v>33</v>
      </c>
      <c r="K452" s="5">
        <f>8 / 86400</f>
        <v>9.2592592592592588E-5</v>
      </c>
      <c r="L452" s="5">
        <f>24290 / 86400</f>
        <v>0.28113425925925928</v>
      </c>
    </row>
    <row r="453" spans="1:12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</row>
    <row r="454" spans="1:12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</row>
    <row r="455" spans="1:12" s="10" customFormat="1" ht="20.100000000000001" customHeight="1" x14ac:dyDescent="0.35">
      <c r="A455" s="12" t="s">
        <v>422</v>
      </c>
      <c r="B455" s="12"/>
      <c r="C455" s="12"/>
      <c r="D455" s="12"/>
      <c r="E455" s="12"/>
      <c r="F455" s="12"/>
      <c r="G455" s="12"/>
      <c r="H455" s="12"/>
      <c r="I455" s="12"/>
      <c r="J455" s="12"/>
    </row>
    <row r="456" spans="1:12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</row>
    <row r="457" spans="1:12" ht="30" x14ac:dyDescent="0.25">
      <c r="A457" s="2" t="s">
        <v>6</v>
      </c>
      <c r="B457" s="2" t="s">
        <v>7</v>
      </c>
      <c r="C457" s="2" t="s">
        <v>8</v>
      </c>
      <c r="D457" s="2" t="s">
        <v>9</v>
      </c>
      <c r="E457" s="2" t="s">
        <v>10</v>
      </c>
      <c r="F457" s="2" t="s">
        <v>11</v>
      </c>
      <c r="G457" s="2" t="s">
        <v>12</v>
      </c>
      <c r="H457" s="2" t="s">
        <v>13</v>
      </c>
      <c r="I457" s="2" t="s">
        <v>14</v>
      </c>
      <c r="J457" s="2" t="s">
        <v>15</v>
      </c>
      <c r="K457" s="2" t="s">
        <v>16</v>
      </c>
      <c r="L457" s="2" t="s">
        <v>17</v>
      </c>
    </row>
    <row r="458" spans="1:12" x14ac:dyDescent="0.25">
      <c r="A458" s="3">
        <v>45691.170219907406</v>
      </c>
      <c r="B458" t="s">
        <v>38</v>
      </c>
      <c r="C458" s="3">
        <v>45691.601516203707</v>
      </c>
      <c r="D458" t="s">
        <v>38</v>
      </c>
      <c r="E458" s="4">
        <v>164.68199999999999</v>
      </c>
      <c r="F458" s="4">
        <v>482796.43699999998</v>
      </c>
      <c r="G458" s="4">
        <v>482961.11900000001</v>
      </c>
      <c r="H458" s="5">
        <f>13058 / 86400</f>
        <v>0.15113425925925925</v>
      </c>
      <c r="I458" t="s">
        <v>39</v>
      </c>
      <c r="J458" t="s">
        <v>40</v>
      </c>
      <c r="K458" s="5">
        <f>37263 / 86400</f>
        <v>0.43128472222222225</v>
      </c>
      <c r="L458" s="5">
        <f>49135 / 86400</f>
        <v>0.56869212962962967</v>
      </c>
    </row>
    <row r="459" spans="1:12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</row>
    <row r="460" spans="1:12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</row>
    <row r="461" spans="1:12" s="10" customFormat="1" ht="20.100000000000001" customHeight="1" x14ac:dyDescent="0.35">
      <c r="A461" s="12" t="s">
        <v>423</v>
      </c>
      <c r="B461" s="12"/>
      <c r="C461" s="12"/>
      <c r="D461" s="12"/>
      <c r="E461" s="12"/>
      <c r="F461" s="12"/>
      <c r="G461" s="12"/>
      <c r="H461" s="12"/>
      <c r="I461" s="12"/>
      <c r="J461" s="12"/>
    </row>
    <row r="462" spans="1:12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</row>
    <row r="463" spans="1:12" ht="30" x14ac:dyDescent="0.25">
      <c r="A463" s="2" t="s">
        <v>6</v>
      </c>
      <c r="B463" s="2" t="s">
        <v>7</v>
      </c>
      <c r="C463" s="2" t="s">
        <v>8</v>
      </c>
      <c r="D463" s="2" t="s">
        <v>9</v>
      </c>
      <c r="E463" s="2" t="s">
        <v>10</v>
      </c>
      <c r="F463" s="2" t="s">
        <v>11</v>
      </c>
      <c r="G463" s="2" t="s">
        <v>12</v>
      </c>
      <c r="H463" s="2" t="s">
        <v>13</v>
      </c>
      <c r="I463" s="2" t="s">
        <v>14</v>
      </c>
      <c r="J463" s="2" t="s">
        <v>15</v>
      </c>
      <c r="K463" s="2" t="s">
        <v>16</v>
      </c>
      <c r="L463" s="2" t="s">
        <v>17</v>
      </c>
    </row>
    <row r="464" spans="1:12" x14ac:dyDescent="0.25">
      <c r="A464" s="3">
        <v>45691.130648148144</v>
      </c>
      <c r="B464" t="s">
        <v>41</v>
      </c>
      <c r="C464" s="3">
        <v>45691.141273148147</v>
      </c>
      <c r="D464" t="s">
        <v>157</v>
      </c>
      <c r="E464" s="4">
        <v>2.8919999999999999</v>
      </c>
      <c r="F464" s="4">
        <v>506008.58600000001</v>
      </c>
      <c r="G464" s="4">
        <v>506011.478</v>
      </c>
      <c r="H464" s="5">
        <f>299 / 86400</f>
        <v>3.460648148148148E-3</v>
      </c>
      <c r="I464" t="s">
        <v>196</v>
      </c>
      <c r="J464" t="s">
        <v>140</v>
      </c>
      <c r="K464" s="5">
        <f>918 / 86400</f>
        <v>1.0625000000000001E-2</v>
      </c>
      <c r="L464" s="5">
        <f>11405 / 86400</f>
        <v>0.13200231481481481</v>
      </c>
    </row>
    <row r="465" spans="1:12" x14ac:dyDescent="0.25">
      <c r="A465" s="3">
        <v>45691.14262731481</v>
      </c>
      <c r="B465" t="s">
        <v>157</v>
      </c>
      <c r="C465" s="3">
        <v>45691.221956018519</v>
      </c>
      <c r="D465" t="s">
        <v>220</v>
      </c>
      <c r="E465" s="4">
        <v>50.670999999999999</v>
      </c>
      <c r="F465" s="4">
        <v>506011.478</v>
      </c>
      <c r="G465" s="4">
        <v>506062.14899999998</v>
      </c>
      <c r="H465" s="5">
        <f>1301 / 86400</f>
        <v>1.5057870370370371E-2</v>
      </c>
      <c r="I465" t="s">
        <v>42</v>
      </c>
      <c r="J465" t="s">
        <v>131</v>
      </c>
      <c r="K465" s="5">
        <f>6854 / 86400</f>
        <v>7.9328703703703707E-2</v>
      </c>
      <c r="L465" s="5">
        <f>425 / 86400</f>
        <v>4.9189814814814816E-3</v>
      </c>
    </row>
    <row r="466" spans="1:12" x14ac:dyDescent="0.25">
      <c r="A466" s="3">
        <v>45691.226875</v>
      </c>
      <c r="B466" t="s">
        <v>222</v>
      </c>
      <c r="C466" s="3">
        <v>45691.326087962967</v>
      </c>
      <c r="D466" t="s">
        <v>142</v>
      </c>
      <c r="E466" s="4">
        <v>52.786999999999999</v>
      </c>
      <c r="F466" s="4">
        <v>506062.14899999998</v>
      </c>
      <c r="G466" s="4">
        <v>506114.93599999999</v>
      </c>
      <c r="H466" s="5">
        <f>1780 / 86400</f>
        <v>2.060185185185185E-2</v>
      </c>
      <c r="I466" t="s">
        <v>44</v>
      </c>
      <c r="J466" t="s">
        <v>24</v>
      </c>
      <c r="K466" s="5">
        <f>8571 / 86400</f>
        <v>9.9201388888888895E-2</v>
      </c>
      <c r="L466" s="5">
        <f>251 / 86400</f>
        <v>2.9050925925925928E-3</v>
      </c>
    </row>
    <row r="467" spans="1:12" x14ac:dyDescent="0.25">
      <c r="A467" s="3">
        <v>45691.328993055555</v>
      </c>
      <c r="B467" t="s">
        <v>142</v>
      </c>
      <c r="C467" s="3">
        <v>45691.559745370367</v>
      </c>
      <c r="D467" t="s">
        <v>127</v>
      </c>
      <c r="E467" s="4">
        <v>100.241</v>
      </c>
      <c r="F467" s="4">
        <v>506114.93599999999</v>
      </c>
      <c r="G467" s="4">
        <v>506215.17700000003</v>
      </c>
      <c r="H467" s="5">
        <f>6380 / 86400</f>
        <v>7.3842592592592599E-2</v>
      </c>
      <c r="I467" t="s">
        <v>90</v>
      </c>
      <c r="J467" t="s">
        <v>20</v>
      </c>
      <c r="K467" s="5">
        <f>19936 / 86400</f>
        <v>0.23074074074074075</v>
      </c>
      <c r="L467" s="5">
        <f>658 / 86400</f>
        <v>7.6157407407407406E-3</v>
      </c>
    </row>
    <row r="468" spans="1:12" x14ac:dyDescent="0.25">
      <c r="A468" s="3">
        <v>45691.567361111112</v>
      </c>
      <c r="B468" t="s">
        <v>127</v>
      </c>
      <c r="C468" s="3">
        <v>45691.573113425926</v>
      </c>
      <c r="D468" t="s">
        <v>356</v>
      </c>
      <c r="E468" s="4">
        <v>0.51800000000000002</v>
      </c>
      <c r="F468" s="4">
        <v>506215.17700000003</v>
      </c>
      <c r="G468" s="4">
        <v>506215.69500000001</v>
      </c>
      <c r="H468" s="5">
        <f>299 / 86400</f>
        <v>3.460648148148148E-3</v>
      </c>
      <c r="I468" t="s">
        <v>259</v>
      </c>
      <c r="J468" t="s">
        <v>132</v>
      </c>
      <c r="K468" s="5">
        <f>497 / 86400</f>
        <v>5.7523148148148151E-3</v>
      </c>
      <c r="L468" s="5">
        <f>57 / 86400</f>
        <v>6.5972222222222224E-4</v>
      </c>
    </row>
    <row r="469" spans="1:12" x14ac:dyDescent="0.25">
      <c r="A469" s="3">
        <v>45691.573773148149</v>
      </c>
      <c r="B469" t="s">
        <v>356</v>
      </c>
      <c r="C469" s="3">
        <v>45691.826678240745</v>
      </c>
      <c r="D469" t="s">
        <v>152</v>
      </c>
      <c r="E469" s="4">
        <v>93.546999999999997</v>
      </c>
      <c r="F469" s="4">
        <v>506215.69500000001</v>
      </c>
      <c r="G469" s="4">
        <v>506309.24200000003</v>
      </c>
      <c r="H469" s="5">
        <f>7879 / 86400</f>
        <v>9.1192129629629623E-2</v>
      </c>
      <c r="I469" t="s">
        <v>72</v>
      </c>
      <c r="J469" t="s">
        <v>30</v>
      </c>
      <c r="K469" s="5">
        <f>21851 / 86400</f>
        <v>0.25290509259259258</v>
      </c>
      <c r="L469" s="5">
        <f>631 / 86400</f>
        <v>7.3032407407407404E-3</v>
      </c>
    </row>
    <row r="470" spans="1:12" x14ac:dyDescent="0.25">
      <c r="A470" s="3">
        <v>45691.833981481483</v>
      </c>
      <c r="B470" t="s">
        <v>152</v>
      </c>
      <c r="C470" s="3">
        <v>45691.845821759256</v>
      </c>
      <c r="D470" t="s">
        <v>41</v>
      </c>
      <c r="E470" s="4">
        <v>3.2919999999999998</v>
      </c>
      <c r="F470" s="4">
        <v>506309.24200000003</v>
      </c>
      <c r="G470" s="4">
        <v>506312.53399999999</v>
      </c>
      <c r="H470" s="5">
        <f>199 / 86400</f>
        <v>2.3032407407407407E-3</v>
      </c>
      <c r="I470" t="s">
        <v>170</v>
      </c>
      <c r="J470" t="s">
        <v>155</v>
      </c>
      <c r="K470" s="5">
        <f>1022 / 86400</f>
        <v>1.1828703703703704E-2</v>
      </c>
      <c r="L470" s="5">
        <f>13320 / 86400</f>
        <v>0.15416666666666667</v>
      </c>
    </row>
    <row r="471" spans="1:12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</row>
    <row r="472" spans="1:12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</row>
    <row r="473" spans="1:12" s="10" customFormat="1" ht="20.100000000000001" customHeight="1" x14ac:dyDescent="0.35">
      <c r="A473" s="12" t="s">
        <v>424</v>
      </c>
      <c r="B473" s="12"/>
      <c r="C473" s="12"/>
      <c r="D473" s="12"/>
      <c r="E473" s="12"/>
      <c r="F473" s="12"/>
      <c r="G473" s="12"/>
      <c r="H473" s="12"/>
      <c r="I473" s="12"/>
      <c r="J473" s="12"/>
    </row>
    <row r="474" spans="1:12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</row>
    <row r="475" spans="1:12" ht="30" x14ac:dyDescent="0.25">
      <c r="A475" s="2" t="s">
        <v>6</v>
      </c>
      <c r="B475" s="2" t="s">
        <v>7</v>
      </c>
      <c r="C475" s="2" t="s">
        <v>8</v>
      </c>
      <c r="D475" s="2" t="s">
        <v>9</v>
      </c>
      <c r="E475" s="2" t="s">
        <v>10</v>
      </c>
      <c r="F475" s="2" t="s">
        <v>11</v>
      </c>
      <c r="G475" s="2" t="s">
        <v>12</v>
      </c>
      <c r="H475" s="2" t="s">
        <v>13</v>
      </c>
      <c r="I475" s="2" t="s">
        <v>14</v>
      </c>
      <c r="J475" s="2" t="s">
        <v>15</v>
      </c>
      <c r="K475" s="2" t="s">
        <v>16</v>
      </c>
      <c r="L475" s="2" t="s">
        <v>17</v>
      </c>
    </row>
    <row r="476" spans="1:12" x14ac:dyDescent="0.25">
      <c r="A476" s="3">
        <v>45691.241226851853</v>
      </c>
      <c r="B476" t="s">
        <v>43</v>
      </c>
      <c r="C476" s="3">
        <v>45691.24795138889</v>
      </c>
      <c r="D476" t="s">
        <v>142</v>
      </c>
      <c r="E476" s="4">
        <v>1.6319999999999999</v>
      </c>
      <c r="F476" s="4">
        <v>406467.755</v>
      </c>
      <c r="G476" s="4">
        <v>406469.38699999999</v>
      </c>
      <c r="H476" s="5">
        <f>99 / 86400</f>
        <v>1.1458333333333333E-3</v>
      </c>
      <c r="I476" t="s">
        <v>159</v>
      </c>
      <c r="J476" t="s">
        <v>156</v>
      </c>
      <c r="K476" s="5">
        <f>580 / 86400</f>
        <v>6.7129629629629631E-3</v>
      </c>
      <c r="L476" s="5">
        <f>21441 / 86400</f>
        <v>0.24815972222222221</v>
      </c>
    </row>
    <row r="477" spans="1:12" x14ac:dyDescent="0.25">
      <c r="A477" s="3">
        <v>45691.254884259259</v>
      </c>
      <c r="B477" t="s">
        <v>142</v>
      </c>
      <c r="C477" s="3">
        <v>45691.390231481477</v>
      </c>
      <c r="D477" t="s">
        <v>357</v>
      </c>
      <c r="E477" s="4">
        <v>51.343000000000004</v>
      </c>
      <c r="F477" s="4">
        <v>406469.38699999999</v>
      </c>
      <c r="G477" s="4">
        <v>406520.73</v>
      </c>
      <c r="H477" s="5">
        <f>3761 / 86400</f>
        <v>4.3530092592592592E-2</v>
      </c>
      <c r="I477" t="s">
        <v>187</v>
      </c>
      <c r="J477" t="s">
        <v>40</v>
      </c>
      <c r="K477" s="5">
        <f>11694 / 86400</f>
        <v>0.13534722222222223</v>
      </c>
      <c r="L477" s="5">
        <f>3166 / 86400</f>
        <v>3.664351851851852E-2</v>
      </c>
    </row>
    <row r="478" spans="1:12" x14ac:dyDescent="0.25">
      <c r="A478" s="3">
        <v>45691.426875000005</v>
      </c>
      <c r="B478" t="s">
        <v>357</v>
      </c>
      <c r="C478" s="3">
        <v>45691.427083333328</v>
      </c>
      <c r="D478" t="s">
        <v>357</v>
      </c>
      <c r="E478" s="4">
        <v>0</v>
      </c>
      <c r="F478" s="4">
        <v>406520.73</v>
      </c>
      <c r="G478" s="4">
        <v>406520.73</v>
      </c>
      <c r="H478" s="5">
        <f>0 / 86400</f>
        <v>0</v>
      </c>
      <c r="I478" t="s">
        <v>33</v>
      </c>
      <c r="J478" t="s">
        <v>33</v>
      </c>
      <c r="K478" s="5">
        <f>18 / 86400</f>
        <v>2.0833333333333335E-4</v>
      </c>
      <c r="L478" s="5">
        <f>1893 / 86400</f>
        <v>2.1909722222222223E-2</v>
      </c>
    </row>
    <row r="479" spans="1:12" x14ac:dyDescent="0.25">
      <c r="A479" s="3">
        <v>45691.448993055557</v>
      </c>
      <c r="B479" t="s">
        <v>357</v>
      </c>
      <c r="C479" s="3">
        <v>45691.595706018517</v>
      </c>
      <c r="D479" t="s">
        <v>358</v>
      </c>
      <c r="E479" s="4">
        <v>50.697000000000003</v>
      </c>
      <c r="F479" s="4">
        <v>406520.73</v>
      </c>
      <c r="G479" s="4">
        <v>406571.42700000003</v>
      </c>
      <c r="H479" s="5">
        <f>4279 / 86400</f>
        <v>4.9525462962962966E-2</v>
      </c>
      <c r="I479" t="s">
        <v>258</v>
      </c>
      <c r="J479" t="s">
        <v>45</v>
      </c>
      <c r="K479" s="5">
        <f>12675 / 86400</f>
        <v>0.1467013888888889</v>
      </c>
      <c r="L479" s="5">
        <f>1486 / 86400</f>
        <v>1.7199074074074075E-2</v>
      </c>
    </row>
    <row r="480" spans="1:12" x14ac:dyDescent="0.25">
      <c r="A480" s="3">
        <v>45691.612905092596</v>
      </c>
      <c r="B480" t="s">
        <v>358</v>
      </c>
      <c r="C480" s="3">
        <v>45691.615486111114</v>
      </c>
      <c r="D480" t="s">
        <v>130</v>
      </c>
      <c r="E480" s="4">
        <v>0.35399999999999998</v>
      </c>
      <c r="F480" s="4">
        <v>406571.42700000003</v>
      </c>
      <c r="G480" s="4">
        <v>406571.78100000002</v>
      </c>
      <c r="H480" s="5">
        <f>59 / 86400</f>
        <v>6.8287037037037036E-4</v>
      </c>
      <c r="I480" t="s">
        <v>75</v>
      </c>
      <c r="J480" t="s">
        <v>32</v>
      </c>
      <c r="K480" s="5">
        <f>222 / 86400</f>
        <v>2.5694444444444445E-3</v>
      </c>
      <c r="L480" s="5">
        <f>3310 / 86400</f>
        <v>3.8310185185185183E-2</v>
      </c>
    </row>
    <row r="481" spans="1:12" x14ac:dyDescent="0.25">
      <c r="A481" s="3">
        <v>45691.653796296298</v>
      </c>
      <c r="B481" t="s">
        <v>130</v>
      </c>
      <c r="C481" s="3">
        <v>45691.920381944445</v>
      </c>
      <c r="D481" t="s">
        <v>127</v>
      </c>
      <c r="E481" s="4">
        <v>94.926000000000002</v>
      </c>
      <c r="F481" s="4">
        <v>406571.78100000002</v>
      </c>
      <c r="G481" s="4">
        <v>406666.70699999999</v>
      </c>
      <c r="H481" s="5">
        <f>8521 / 86400</f>
        <v>9.8622685185185188E-2</v>
      </c>
      <c r="I481" t="s">
        <v>44</v>
      </c>
      <c r="J481" t="s">
        <v>30</v>
      </c>
      <c r="K481" s="5">
        <f>23033 / 86400</f>
        <v>0.26658564814814817</v>
      </c>
      <c r="L481" s="5">
        <f>4 / 86400</f>
        <v>4.6296296296296294E-5</v>
      </c>
    </row>
    <row r="482" spans="1:12" x14ac:dyDescent="0.25">
      <c r="A482" s="3">
        <v>45691.920428240745</v>
      </c>
      <c r="B482" t="s">
        <v>127</v>
      </c>
      <c r="C482" s="3">
        <v>45691.931064814809</v>
      </c>
      <c r="D482" t="s">
        <v>152</v>
      </c>
      <c r="E482" s="4">
        <v>0.20699999999999999</v>
      </c>
      <c r="F482" s="4">
        <v>406666.70699999999</v>
      </c>
      <c r="G482" s="4">
        <v>406666.91399999999</v>
      </c>
      <c r="H482" s="5">
        <f>800 / 86400</f>
        <v>9.2592592592592587E-3</v>
      </c>
      <c r="I482" t="s">
        <v>75</v>
      </c>
      <c r="J482" t="s">
        <v>62</v>
      </c>
      <c r="K482" s="5">
        <f>919 / 86400</f>
        <v>1.0636574074074074E-2</v>
      </c>
      <c r="L482" s="5">
        <f>20 / 86400</f>
        <v>2.3148148148148149E-4</v>
      </c>
    </row>
    <row r="483" spans="1:12" x14ac:dyDescent="0.25">
      <c r="A483" s="3">
        <v>45691.931296296301</v>
      </c>
      <c r="B483" t="s">
        <v>152</v>
      </c>
      <c r="C483" s="3">
        <v>45691.933993055558</v>
      </c>
      <c r="D483" t="s">
        <v>152</v>
      </c>
      <c r="E483" s="4">
        <v>3.2000000000000001E-2</v>
      </c>
      <c r="F483" s="4">
        <v>406666.91399999999</v>
      </c>
      <c r="G483" s="4">
        <v>406666.946</v>
      </c>
      <c r="H483" s="5">
        <f>199 / 86400</f>
        <v>2.3032407407407407E-3</v>
      </c>
      <c r="I483" t="s">
        <v>79</v>
      </c>
      <c r="J483" t="s">
        <v>33</v>
      </c>
      <c r="K483" s="5">
        <f>232 / 86400</f>
        <v>2.685185185185185E-3</v>
      </c>
      <c r="L483" s="5">
        <f>663 / 86400</f>
        <v>7.6736111111111111E-3</v>
      </c>
    </row>
    <row r="484" spans="1:12" x14ac:dyDescent="0.25">
      <c r="A484" s="3">
        <v>45691.941666666666</v>
      </c>
      <c r="B484" t="s">
        <v>152</v>
      </c>
      <c r="C484" s="3">
        <v>45691.942766203705</v>
      </c>
      <c r="D484" t="s">
        <v>154</v>
      </c>
      <c r="E484" s="4">
        <v>6.8000000000000005E-2</v>
      </c>
      <c r="F484" s="4">
        <v>406666.946</v>
      </c>
      <c r="G484" s="4">
        <v>406667.01400000002</v>
      </c>
      <c r="H484" s="5">
        <f>20 / 86400</f>
        <v>2.3148148148148149E-4</v>
      </c>
      <c r="I484" t="s">
        <v>76</v>
      </c>
      <c r="J484" t="s">
        <v>128</v>
      </c>
      <c r="K484" s="5">
        <f>95 / 86400</f>
        <v>1.0995370370370371E-3</v>
      </c>
      <c r="L484" s="5">
        <f>4 / 86400</f>
        <v>4.6296296296296294E-5</v>
      </c>
    </row>
    <row r="485" spans="1:12" x14ac:dyDescent="0.25">
      <c r="A485" s="3">
        <v>45691.942812499998</v>
      </c>
      <c r="B485" t="s">
        <v>154</v>
      </c>
      <c r="C485" s="3">
        <v>45691.943067129629</v>
      </c>
      <c r="D485" t="s">
        <v>154</v>
      </c>
      <c r="E485" s="4">
        <v>5.0000000000000001E-3</v>
      </c>
      <c r="F485" s="4">
        <v>406667.01400000002</v>
      </c>
      <c r="G485" s="4">
        <v>406667.01899999997</v>
      </c>
      <c r="H485" s="5">
        <f>0 / 86400</f>
        <v>0</v>
      </c>
      <c r="I485" t="s">
        <v>137</v>
      </c>
      <c r="J485" t="s">
        <v>62</v>
      </c>
      <c r="K485" s="5">
        <f>21 / 86400</f>
        <v>2.4305555555555555E-4</v>
      </c>
      <c r="L485" s="5">
        <f>1602 / 86400</f>
        <v>1.8541666666666668E-2</v>
      </c>
    </row>
    <row r="486" spans="1:12" x14ac:dyDescent="0.25">
      <c r="A486" s="3">
        <v>45691.961608796293</v>
      </c>
      <c r="B486" t="s">
        <v>154</v>
      </c>
      <c r="C486" s="3">
        <v>45691.967210648145</v>
      </c>
      <c r="D486" t="s">
        <v>43</v>
      </c>
      <c r="E486" s="4">
        <v>1.367</v>
      </c>
      <c r="F486" s="4">
        <v>406667.01899999997</v>
      </c>
      <c r="G486" s="4">
        <v>406668.386</v>
      </c>
      <c r="H486" s="5">
        <f>79 / 86400</f>
        <v>9.1435185185185185E-4</v>
      </c>
      <c r="I486" t="s">
        <v>159</v>
      </c>
      <c r="J486" t="s">
        <v>156</v>
      </c>
      <c r="K486" s="5">
        <f>483 / 86400</f>
        <v>5.5902777777777773E-3</v>
      </c>
      <c r="L486" s="5">
        <f>2832 / 86400</f>
        <v>3.2777777777777781E-2</v>
      </c>
    </row>
    <row r="487" spans="1:12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</row>
    <row r="488" spans="1:12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</row>
    <row r="489" spans="1:12" s="10" customFormat="1" ht="20.100000000000001" customHeight="1" x14ac:dyDescent="0.35">
      <c r="A489" s="12" t="s">
        <v>425</v>
      </c>
      <c r="B489" s="12"/>
      <c r="C489" s="12"/>
      <c r="D489" s="12"/>
      <c r="E489" s="12"/>
      <c r="F489" s="12"/>
      <c r="G489" s="12"/>
      <c r="H489" s="12"/>
      <c r="I489" s="12"/>
      <c r="J489" s="12"/>
    </row>
    <row r="490" spans="1:12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</row>
    <row r="491" spans="1:12" ht="30" x14ac:dyDescent="0.25">
      <c r="A491" s="2" t="s">
        <v>6</v>
      </c>
      <c r="B491" s="2" t="s">
        <v>7</v>
      </c>
      <c r="C491" s="2" t="s">
        <v>8</v>
      </c>
      <c r="D491" s="2" t="s">
        <v>9</v>
      </c>
      <c r="E491" s="2" t="s">
        <v>10</v>
      </c>
      <c r="F491" s="2" t="s">
        <v>11</v>
      </c>
      <c r="G491" s="2" t="s">
        <v>12</v>
      </c>
      <c r="H491" s="2" t="s">
        <v>13</v>
      </c>
      <c r="I491" s="2" t="s">
        <v>14</v>
      </c>
      <c r="J491" s="2" t="s">
        <v>15</v>
      </c>
      <c r="K491" s="2" t="s">
        <v>16</v>
      </c>
      <c r="L491" s="2" t="s">
        <v>17</v>
      </c>
    </row>
    <row r="492" spans="1:12" x14ac:dyDescent="0.25">
      <c r="A492" s="3">
        <v>45691.281585648147</v>
      </c>
      <c r="B492" t="s">
        <v>46</v>
      </c>
      <c r="C492" s="3">
        <v>45691.524733796294</v>
      </c>
      <c r="D492" t="s">
        <v>154</v>
      </c>
      <c r="E492" s="4">
        <v>101.039</v>
      </c>
      <c r="F492" s="4">
        <v>436195.82699999999</v>
      </c>
      <c r="G492" s="4">
        <v>436296.86599999998</v>
      </c>
      <c r="H492" s="5">
        <f>6950 / 86400</f>
        <v>8.0439814814814811E-2</v>
      </c>
      <c r="I492" t="s">
        <v>39</v>
      </c>
      <c r="J492" t="s">
        <v>47</v>
      </c>
      <c r="K492" s="5">
        <f>21007 / 86400</f>
        <v>0.24313657407407407</v>
      </c>
      <c r="L492" s="5">
        <f>24353 / 86400</f>
        <v>0.28186342592592595</v>
      </c>
    </row>
    <row r="493" spans="1:12" x14ac:dyDescent="0.25">
      <c r="A493" s="3">
        <v>45691.525011574078</v>
      </c>
      <c r="B493" t="s">
        <v>154</v>
      </c>
      <c r="C493" s="3">
        <v>45691.525185185186</v>
      </c>
      <c r="D493" t="s">
        <v>154</v>
      </c>
      <c r="E493" s="4">
        <v>0</v>
      </c>
      <c r="F493" s="4">
        <v>436296.86599999998</v>
      </c>
      <c r="G493" s="4">
        <v>436296.86599999998</v>
      </c>
      <c r="H493" s="5">
        <f>0 / 86400</f>
        <v>0</v>
      </c>
      <c r="I493" t="s">
        <v>33</v>
      </c>
      <c r="J493" t="s">
        <v>33</v>
      </c>
      <c r="K493" s="5">
        <f>15 / 86400</f>
        <v>1.7361111111111112E-4</v>
      </c>
      <c r="L493" s="5">
        <f>1591 / 86400</f>
        <v>1.8414351851851852E-2</v>
      </c>
    </row>
    <row r="494" spans="1:12" x14ac:dyDescent="0.25">
      <c r="A494" s="3">
        <v>45691.543599537035</v>
      </c>
      <c r="B494" t="s">
        <v>154</v>
      </c>
      <c r="C494" s="3">
        <v>45691.544803240744</v>
      </c>
      <c r="D494" t="s">
        <v>127</v>
      </c>
      <c r="E494" s="4">
        <v>8.7999999999999995E-2</v>
      </c>
      <c r="F494" s="4">
        <v>436296.86599999998</v>
      </c>
      <c r="G494" s="4">
        <v>436296.95400000003</v>
      </c>
      <c r="H494" s="5">
        <f>60 / 86400</f>
        <v>6.9444444444444447E-4</v>
      </c>
      <c r="I494" t="s">
        <v>47</v>
      </c>
      <c r="J494" t="s">
        <v>128</v>
      </c>
      <c r="K494" s="5">
        <f>103 / 86400</f>
        <v>1.1921296296296296E-3</v>
      </c>
      <c r="L494" s="5">
        <f>802 / 86400</f>
        <v>9.2824074074074076E-3</v>
      </c>
    </row>
    <row r="495" spans="1:12" x14ac:dyDescent="0.25">
      <c r="A495" s="3">
        <v>45691.554085648153</v>
      </c>
      <c r="B495" t="s">
        <v>127</v>
      </c>
      <c r="C495" s="3">
        <v>45691.557199074072</v>
      </c>
      <c r="D495" t="s">
        <v>142</v>
      </c>
      <c r="E495" s="4">
        <v>1.234</v>
      </c>
      <c r="F495" s="4">
        <v>436296.95400000003</v>
      </c>
      <c r="G495" s="4">
        <v>436298.18800000002</v>
      </c>
      <c r="H495" s="5">
        <f>21 / 86400</f>
        <v>2.4305555555555555E-4</v>
      </c>
      <c r="I495" t="s">
        <v>181</v>
      </c>
      <c r="J495" t="s">
        <v>47</v>
      </c>
      <c r="K495" s="5">
        <f>269 / 86400</f>
        <v>3.1134259259259257E-3</v>
      </c>
      <c r="L495" s="5">
        <f>1317 / 86400</f>
        <v>1.5243055555555555E-2</v>
      </c>
    </row>
    <row r="496" spans="1:12" x14ac:dyDescent="0.25">
      <c r="A496" s="3">
        <v>45691.572442129633</v>
      </c>
      <c r="B496" t="s">
        <v>142</v>
      </c>
      <c r="C496" s="3">
        <v>45691.795902777776</v>
      </c>
      <c r="D496" t="s">
        <v>127</v>
      </c>
      <c r="E496" s="4">
        <v>94.009</v>
      </c>
      <c r="F496" s="4">
        <v>436298.18800000002</v>
      </c>
      <c r="G496" s="4">
        <v>436392.19699999999</v>
      </c>
      <c r="H496" s="5">
        <f>5762 / 86400</f>
        <v>6.6689814814814813E-2</v>
      </c>
      <c r="I496" t="s">
        <v>359</v>
      </c>
      <c r="J496" t="s">
        <v>20</v>
      </c>
      <c r="K496" s="5">
        <f>19307 / 86400</f>
        <v>0.22346064814814814</v>
      </c>
      <c r="L496" s="5">
        <f>844 / 86400</f>
        <v>9.7685185185185184E-3</v>
      </c>
    </row>
    <row r="497" spans="1:12" x14ac:dyDescent="0.25">
      <c r="A497" s="3">
        <v>45691.805671296301</v>
      </c>
      <c r="B497" t="s">
        <v>127</v>
      </c>
      <c r="C497" s="3">
        <v>45691.810289351852</v>
      </c>
      <c r="D497" t="s">
        <v>46</v>
      </c>
      <c r="E497" s="4">
        <v>0.98499999999999999</v>
      </c>
      <c r="F497" s="4">
        <v>436392.19699999999</v>
      </c>
      <c r="G497" s="4">
        <v>436393.18199999997</v>
      </c>
      <c r="H497" s="5">
        <f>120 / 86400</f>
        <v>1.3888888888888889E-3</v>
      </c>
      <c r="I497" t="s">
        <v>176</v>
      </c>
      <c r="J497" t="s">
        <v>79</v>
      </c>
      <c r="K497" s="5">
        <f>399 / 86400</f>
        <v>4.6180555555555558E-3</v>
      </c>
      <c r="L497" s="5">
        <f>16390 / 86400</f>
        <v>0.18969907407407408</v>
      </c>
    </row>
    <row r="498" spans="1:12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</row>
    <row r="499" spans="1:12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</row>
    <row r="500" spans="1:12" s="10" customFormat="1" ht="20.100000000000001" customHeight="1" x14ac:dyDescent="0.35">
      <c r="A500" s="12" t="s">
        <v>426</v>
      </c>
      <c r="B500" s="12"/>
      <c r="C500" s="12"/>
      <c r="D500" s="12"/>
      <c r="E500" s="12"/>
      <c r="F500" s="12"/>
      <c r="G500" s="12"/>
      <c r="H500" s="12"/>
      <c r="I500" s="12"/>
      <c r="J500" s="12"/>
    </row>
    <row r="501" spans="1:12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</row>
    <row r="502" spans="1:12" ht="30" x14ac:dyDescent="0.25">
      <c r="A502" s="2" t="s">
        <v>6</v>
      </c>
      <c r="B502" s="2" t="s">
        <v>7</v>
      </c>
      <c r="C502" s="2" t="s">
        <v>8</v>
      </c>
      <c r="D502" s="2" t="s">
        <v>9</v>
      </c>
      <c r="E502" s="2" t="s">
        <v>10</v>
      </c>
      <c r="F502" s="2" t="s">
        <v>11</v>
      </c>
      <c r="G502" s="2" t="s">
        <v>12</v>
      </c>
      <c r="H502" s="2" t="s">
        <v>13</v>
      </c>
      <c r="I502" s="2" t="s">
        <v>14</v>
      </c>
      <c r="J502" s="2" t="s">
        <v>15</v>
      </c>
      <c r="K502" s="2" t="s">
        <v>16</v>
      </c>
      <c r="L502" s="2" t="s">
        <v>17</v>
      </c>
    </row>
    <row r="503" spans="1:12" x14ac:dyDescent="0.25">
      <c r="A503" s="3">
        <v>45691.1325</v>
      </c>
      <c r="B503" t="s">
        <v>21</v>
      </c>
      <c r="C503" s="3">
        <v>45691.302534722221</v>
      </c>
      <c r="D503" t="s">
        <v>142</v>
      </c>
      <c r="E503" s="4">
        <v>106.66</v>
      </c>
      <c r="F503" s="4">
        <v>51976.995000000003</v>
      </c>
      <c r="G503" s="4">
        <v>52083.654999999999</v>
      </c>
      <c r="H503" s="5">
        <f>3178 / 86400</f>
        <v>3.6782407407407409E-2</v>
      </c>
      <c r="I503" t="s">
        <v>48</v>
      </c>
      <c r="J503" t="s">
        <v>172</v>
      </c>
      <c r="K503" s="5">
        <f>14690 / 86400</f>
        <v>0.17002314814814815</v>
      </c>
      <c r="L503" s="5">
        <f>11695 / 86400</f>
        <v>0.1353587962962963</v>
      </c>
    </row>
    <row r="504" spans="1:12" x14ac:dyDescent="0.25">
      <c r="A504" s="3">
        <v>45691.305393518516</v>
      </c>
      <c r="B504" t="s">
        <v>142</v>
      </c>
      <c r="C504" s="3">
        <v>45691.305659722224</v>
      </c>
      <c r="D504" t="s">
        <v>142</v>
      </c>
      <c r="E504" s="4">
        <v>4.2999999999999997E-2</v>
      </c>
      <c r="F504" s="4">
        <v>52083.654999999999</v>
      </c>
      <c r="G504" s="4">
        <v>52083.697999999997</v>
      </c>
      <c r="H504" s="5">
        <f>0 / 86400</f>
        <v>0</v>
      </c>
      <c r="I504" t="s">
        <v>79</v>
      </c>
      <c r="J504" t="s">
        <v>76</v>
      </c>
      <c r="K504" s="5">
        <f>23 / 86400</f>
        <v>2.6620370370370372E-4</v>
      </c>
      <c r="L504" s="5">
        <f>94 / 86400</f>
        <v>1.0879629629629629E-3</v>
      </c>
    </row>
    <row r="505" spans="1:12" x14ac:dyDescent="0.25">
      <c r="A505" s="3">
        <v>45691.306747685187</v>
      </c>
      <c r="B505" t="s">
        <v>142</v>
      </c>
      <c r="C505" s="3">
        <v>45691.309895833328</v>
      </c>
      <c r="D505" t="s">
        <v>360</v>
      </c>
      <c r="E505" s="4">
        <v>0.434</v>
      </c>
      <c r="F505" s="4">
        <v>52083.697999999997</v>
      </c>
      <c r="G505" s="4">
        <v>52084.131999999998</v>
      </c>
      <c r="H505" s="5">
        <f>120 / 86400</f>
        <v>1.3888888888888889E-3</v>
      </c>
      <c r="I505" t="s">
        <v>170</v>
      </c>
      <c r="J505" t="s">
        <v>32</v>
      </c>
      <c r="K505" s="5">
        <f>272 / 86400</f>
        <v>3.1481481481481482E-3</v>
      </c>
      <c r="L505" s="5">
        <f>834 / 86400</f>
        <v>9.6527777777777775E-3</v>
      </c>
    </row>
    <row r="506" spans="1:12" x14ac:dyDescent="0.25">
      <c r="A506" s="3">
        <v>45691.319548611107</v>
      </c>
      <c r="B506" t="s">
        <v>360</v>
      </c>
      <c r="C506" s="3">
        <v>45691.557743055557</v>
      </c>
      <c r="D506" t="s">
        <v>127</v>
      </c>
      <c r="E506" s="4">
        <v>101.343</v>
      </c>
      <c r="F506" s="4">
        <v>52084.131999999998</v>
      </c>
      <c r="G506" s="4">
        <v>52185.474999999999</v>
      </c>
      <c r="H506" s="5">
        <f>6906 / 86400</f>
        <v>7.993055555555556E-2</v>
      </c>
      <c r="I506" t="s">
        <v>48</v>
      </c>
      <c r="J506" t="s">
        <v>20</v>
      </c>
      <c r="K506" s="5">
        <f>20580 / 86400</f>
        <v>0.23819444444444443</v>
      </c>
      <c r="L506" s="5">
        <f>17 / 86400</f>
        <v>1.9675925925925926E-4</v>
      </c>
    </row>
    <row r="507" spans="1:12" x14ac:dyDescent="0.25">
      <c r="A507" s="3">
        <v>45691.557939814811</v>
      </c>
      <c r="B507" t="s">
        <v>127</v>
      </c>
      <c r="C507" s="3">
        <v>45691.558067129634</v>
      </c>
      <c r="D507" t="s">
        <v>127</v>
      </c>
      <c r="E507" s="4">
        <v>8.0000000000000002E-3</v>
      </c>
      <c r="F507" s="4">
        <v>52185.474999999999</v>
      </c>
      <c r="G507" s="4">
        <v>52185.483</v>
      </c>
      <c r="H507" s="5">
        <f>0 / 86400</f>
        <v>0</v>
      </c>
      <c r="I507" t="s">
        <v>32</v>
      </c>
      <c r="J507" t="s">
        <v>128</v>
      </c>
      <c r="K507" s="5">
        <f>11 / 86400</f>
        <v>1.273148148148148E-4</v>
      </c>
      <c r="L507" s="5">
        <f>321 / 86400</f>
        <v>3.7152777777777778E-3</v>
      </c>
    </row>
    <row r="508" spans="1:12" x14ac:dyDescent="0.25">
      <c r="A508" s="3">
        <v>45691.561782407407</v>
      </c>
      <c r="B508" t="s">
        <v>127</v>
      </c>
      <c r="C508" s="3">
        <v>45691.562650462962</v>
      </c>
      <c r="D508" t="s">
        <v>152</v>
      </c>
      <c r="E508" s="4">
        <v>0.191</v>
      </c>
      <c r="F508" s="4">
        <v>52185.483</v>
      </c>
      <c r="G508" s="4">
        <v>52185.673999999999</v>
      </c>
      <c r="H508" s="5">
        <f>0 / 86400</f>
        <v>0</v>
      </c>
      <c r="I508" t="s">
        <v>20</v>
      </c>
      <c r="J508" t="s">
        <v>79</v>
      </c>
      <c r="K508" s="5">
        <f>74 / 86400</f>
        <v>8.564814814814815E-4</v>
      </c>
      <c r="L508" s="5">
        <f>207 / 86400</f>
        <v>2.3958333333333331E-3</v>
      </c>
    </row>
    <row r="509" spans="1:12" x14ac:dyDescent="0.25">
      <c r="A509" s="3">
        <v>45691.565046296295</v>
      </c>
      <c r="B509" t="s">
        <v>152</v>
      </c>
      <c r="C509" s="3">
        <v>45691.566377314812</v>
      </c>
      <c r="D509" t="s">
        <v>127</v>
      </c>
      <c r="E509" s="4">
        <v>0.32300000000000001</v>
      </c>
      <c r="F509" s="4">
        <v>52185.673999999999</v>
      </c>
      <c r="G509" s="4">
        <v>52185.997000000003</v>
      </c>
      <c r="H509" s="5">
        <f>0 / 86400</f>
        <v>0</v>
      </c>
      <c r="I509" t="s">
        <v>20</v>
      </c>
      <c r="J509" t="s">
        <v>156</v>
      </c>
      <c r="K509" s="5">
        <f>114 / 86400</f>
        <v>1.3194444444444445E-3</v>
      </c>
      <c r="L509" s="5">
        <f>3 / 86400</f>
        <v>3.4722222222222222E-5</v>
      </c>
    </row>
    <row r="510" spans="1:12" x14ac:dyDescent="0.25">
      <c r="A510" s="3">
        <v>45691.566412037035</v>
      </c>
      <c r="B510" t="s">
        <v>127</v>
      </c>
      <c r="C510" s="3">
        <v>45691.567326388889</v>
      </c>
      <c r="D510" t="s">
        <v>127</v>
      </c>
      <c r="E510" s="4">
        <v>0.01</v>
      </c>
      <c r="F510" s="4">
        <v>52185.997000000003</v>
      </c>
      <c r="G510" s="4">
        <v>52186.006999999998</v>
      </c>
      <c r="H510" s="5">
        <f>59 / 86400</f>
        <v>6.8287037037037036E-4</v>
      </c>
      <c r="I510" t="s">
        <v>33</v>
      </c>
      <c r="J510" t="s">
        <v>33</v>
      </c>
      <c r="K510" s="5">
        <f>78 / 86400</f>
        <v>9.0277777777777774E-4</v>
      </c>
      <c r="L510" s="5">
        <f>191 / 86400</f>
        <v>2.2106481481481482E-3</v>
      </c>
    </row>
    <row r="511" spans="1:12" x14ac:dyDescent="0.25">
      <c r="A511" s="3">
        <v>45691.569537037038</v>
      </c>
      <c r="B511" t="s">
        <v>127</v>
      </c>
      <c r="C511" s="3">
        <v>45691.56962962963</v>
      </c>
      <c r="D511" t="s">
        <v>127</v>
      </c>
      <c r="E511" s="4">
        <v>0</v>
      </c>
      <c r="F511" s="4">
        <v>52186.006999999998</v>
      </c>
      <c r="G511" s="4">
        <v>52186.006999999998</v>
      </c>
      <c r="H511" s="5">
        <f>0 / 86400</f>
        <v>0</v>
      </c>
      <c r="I511" t="s">
        <v>33</v>
      </c>
      <c r="J511" t="s">
        <v>33</v>
      </c>
      <c r="K511" s="5">
        <f>7 / 86400</f>
        <v>8.1018518518518516E-5</v>
      </c>
      <c r="L511" s="5">
        <f>306 / 86400</f>
        <v>3.5416666666666665E-3</v>
      </c>
    </row>
    <row r="512" spans="1:12" x14ac:dyDescent="0.25">
      <c r="A512" s="3">
        <v>45691.573171296295</v>
      </c>
      <c r="B512" t="s">
        <v>127</v>
      </c>
      <c r="C512" s="3">
        <v>45691.576053240744</v>
      </c>
      <c r="D512" t="s">
        <v>134</v>
      </c>
      <c r="E512" s="4">
        <v>0.4</v>
      </c>
      <c r="F512" s="4">
        <v>52186.006999999998</v>
      </c>
      <c r="G512" s="4">
        <v>52186.406999999999</v>
      </c>
      <c r="H512" s="5">
        <f>59 / 86400</f>
        <v>6.8287037037037036E-4</v>
      </c>
      <c r="I512" t="s">
        <v>40</v>
      </c>
      <c r="J512" t="s">
        <v>32</v>
      </c>
      <c r="K512" s="5">
        <f>248 / 86400</f>
        <v>2.8703703703703703E-3</v>
      </c>
      <c r="L512" s="5">
        <f>394 / 86400</f>
        <v>4.5601851851851853E-3</v>
      </c>
    </row>
    <row r="513" spans="1:12" x14ac:dyDescent="0.25">
      <c r="A513" s="3">
        <v>45691.580613425926</v>
      </c>
      <c r="B513" t="s">
        <v>134</v>
      </c>
      <c r="C513" s="3">
        <v>45691.686574074076</v>
      </c>
      <c r="D513" t="s">
        <v>361</v>
      </c>
      <c r="E513" s="4">
        <v>46.911000000000001</v>
      </c>
      <c r="F513" s="4">
        <v>52186.406999999999</v>
      </c>
      <c r="G513" s="4">
        <v>52233.317999999999</v>
      </c>
      <c r="H513" s="5">
        <f>3120 / 86400</f>
        <v>3.6111111111111108E-2</v>
      </c>
      <c r="I513" t="s">
        <v>23</v>
      </c>
      <c r="J513" t="s">
        <v>20</v>
      </c>
      <c r="K513" s="5">
        <f>9154 / 86400</f>
        <v>0.10594907407407407</v>
      </c>
      <c r="L513" s="5">
        <f>58 / 86400</f>
        <v>6.7129629629629625E-4</v>
      </c>
    </row>
    <row r="514" spans="1:12" x14ac:dyDescent="0.25">
      <c r="A514" s="3">
        <v>45691.687245370369</v>
      </c>
      <c r="B514" t="s">
        <v>361</v>
      </c>
      <c r="C514" s="3">
        <v>45691.814664351856</v>
      </c>
      <c r="D514" t="s">
        <v>89</v>
      </c>
      <c r="E514" s="4">
        <v>46.970999999999997</v>
      </c>
      <c r="F514" s="4">
        <v>52233.317999999999</v>
      </c>
      <c r="G514" s="4">
        <v>52280.288999999997</v>
      </c>
      <c r="H514" s="5">
        <f>4090 / 86400</f>
        <v>4.7337962962962964E-2</v>
      </c>
      <c r="I514" t="s">
        <v>78</v>
      </c>
      <c r="J514" t="s">
        <v>30</v>
      </c>
      <c r="K514" s="5">
        <f>11009 / 86400</f>
        <v>0.12741898148148148</v>
      </c>
      <c r="L514" s="5">
        <f>600 / 86400</f>
        <v>6.9444444444444441E-3</v>
      </c>
    </row>
    <row r="515" spans="1:12" x14ac:dyDescent="0.25">
      <c r="A515" s="3">
        <v>45691.821608796294</v>
      </c>
      <c r="B515" t="s">
        <v>89</v>
      </c>
      <c r="C515" s="3">
        <v>45691.82366898148</v>
      </c>
      <c r="D515" t="s">
        <v>21</v>
      </c>
      <c r="E515" s="4">
        <v>0.29699999999999999</v>
      </c>
      <c r="F515" s="4">
        <v>52280.288999999997</v>
      </c>
      <c r="G515" s="4">
        <v>52280.586000000003</v>
      </c>
      <c r="H515" s="5">
        <f>0 / 86400</f>
        <v>0</v>
      </c>
      <c r="I515" t="s">
        <v>20</v>
      </c>
      <c r="J515" t="s">
        <v>32</v>
      </c>
      <c r="K515" s="5">
        <f>178 / 86400</f>
        <v>2.0601851851851853E-3</v>
      </c>
      <c r="L515" s="5">
        <f>8832 / 86400</f>
        <v>0.10222222222222223</v>
      </c>
    </row>
    <row r="516" spans="1:12" x14ac:dyDescent="0.25">
      <c r="A516" s="3">
        <v>45691.925891203704</v>
      </c>
      <c r="B516" t="s">
        <v>21</v>
      </c>
      <c r="C516" s="3">
        <v>45691.926180555558</v>
      </c>
      <c r="D516" t="s">
        <v>21</v>
      </c>
      <c r="E516" s="4">
        <v>8.9999999999999993E-3</v>
      </c>
      <c r="F516" s="4">
        <v>52280.586000000003</v>
      </c>
      <c r="G516" s="4">
        <v>52280.595000000001</v>
      </c>
      <c r="H516" s="5">
        <f>0 / 86400</f>
        <v>0</v>
      </c>
      <c r="I516" t="s">
        <v>62</v>
      </c>
      <c r="J516" t="s">
        <v>62</v>
      </c>
      <c r="K516" s="5">
        <f>24 / 86400</f>
        <v>2.7777777777777778E-4</v>
      </c>
      <c r="L516" s="5">
        <f>6377 / 86400</f>
        <v>7.3807870370370371E-2</v>
      </c>
    </row>
    <row r="517" spans="1:12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</row>
    <row r="518" spans="1:12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</row>
    <row r="519" spans="1:12" s="10" customFormat="1" ht="20.100000000000001" customHeight="1" x14ac:dyDescent="0.35">
      <c r="A519" s="12" t="s">
        <v>427</v>
      </c>
      <c r="B519" s="12"/>
      <c r="C519" s="12"/>
      <c r="D519" s="12"/>
      <c r="E519" s="12"/>
      <c r="F519" s="12"/>
      <c r="G519" s="12"/>
      <c r="H519" s="12"/>
      <c r="I519" s="12"/>
      <c r="J519" s="12"/>
    </row>
    <row r="520" spans="1:12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</row>
    <row r="521" spans="1:12" ht="30" x14ac:dyDescent="0.25">
      <c r="A521" s="2" t="s">
        <v>6</v>
      </c>
      <c r="B521" s="2" t="s">
        <v>7</v>
      </c>
      <c r="C521" s="2" t="s">
        <v>8</v>
      </c>
      <c r="D521" s="2" t="s">
        <v>9</v>
      </c>
      <c r="E521" s="2" t="s">
        <v>10</v>
      </c>
      <c r="F521" s="2" t="s">
        <v>11</v>
      </c>
      <c r="G521" s="2" t="s">
        <v>12</v>
      </c>
      <c r="H521" s="2" t="s">
        <v>13</v>
      </c>
      <c r="I521" s="2" t="s">
        <v>14</v>
      </c>
      <c r="J521" s="2" t="s">
        <v>15</v>
      </c>
      <c r="K521" s="2" t="s">
        <v>16</v>
      </c>
      <c r="L521" s="2" t="s">
        <v>17</v>
      </c>
    </row>
    <row r="522" spans="1:12" x14ac:dyDescent="0.25">
      <c r="A522" s="3">
        <v>45691</v>
      </c>
      <c r="B522" t="s">
        <v>49</v>
      </c>
      <c r="C522" s="3">
        <v>45691.009293981479</v>
      </c>
      <c r="D522" t="s">
        <v>50</v>
      </c>
      <c r="E522" s="4">
        <v>4.3719999999999999</v>
      </c>
      <c r="F522" s="4">
        <v>214024.55300000001</v>
      </c>
      <c r="G522" s="4">
        <v>214028.92499999999</v>
      </c>
      <c r="H522" s="5">
        <f>20 / 86400</f>
        <v>2.3148148148148149E-4</v>
      </c>
      <c r="I522" t="s">
        <v>248</v>
      </c>
      <c r="J522" t="s">
        <v>75</v>
      </c>
      <c r="K522" s="5">
        <f>803 / 86400</f>
        <v>9.2939814814814812E-3</v>
      </c>
      <c r="L522" s="5">
        <f>897 / 86400</f>
        <v>1.0381944444444444E-2</v>
      </c>
    </row>
    <row r="523" spans="1:12" x14ac:dyDescent="0.25">
      <c r="A523" s="3">
        <v>45691.019675925927</v>
      </c>
      <c r="B523" t="s">
        <v>50</v>
      </c>
      <c r="C523" s="3">
        <v>45691.022175925929</v>
      </c>
      <c r="D523" t="s">
        <v>50</v>
      </c>
      <c r="E523" s="4">
        <v>0.17499999999999999</v>
      </c>
      <c r="F523" s="4">
        <v>214028.92499999999</v>
      </c>
      <c r="G523" s="4">
        <v>214029.1</v>
      </c>
      <c r="H523" s="5">
        <f>120 / 86400</f>
        <v>1.3888888888888889E-3</v>
      </c>
      <c r="I523" t="s">
        <v>76</v>
      </c>
      <c r="J523" t="s">
        <v>128</v>
      </c>
      <c r="K523" s="5">
        <f>215 / 86400</f>
        <v>2.488425925925926E-3</v>
      </c>
      <c r="L523" s="5">
        <f>897 / 86400</f>
        <v>1.0381944444444444E-2</v>
      </c>
    </row>
    <row r="524" spans="1:12" x14ac:dyDescent="0.25">
      <c r="A524" s="3">
        <v>45691.032557870371</v>
      </c>
      <c r="B524" t="s">
        <v>50</v>
      </c>
      <c r="C524" s="3">
        <v>45691.03334490741</v>
      </c>
      <c r="D524" t="s">
        <v>50</v>
      </c>
      <c r="E524" s="4">
        <v>2.1000000000000001E-2</v>
      </c>
      <c r="F524" s="4">
        <v>214029.1</v>
      </c>
      <c r="G524" s="4">
        <v>214029.12100000001</v>
      </c>
      <c r="H524" s="5">
        <f>40 / 86400</f>
        <v>4.6296296296296298E-4</v>
      </c>
      <c r="I524" t="s">
        <v>136</v>
      </c>
      <c r="J524" t="s">
        <v>62</v>
      </c>
      <c r="K524" s="5">
        <f>67 / 86400</f>
        <v>7.7546296296296293E-4</v>
      </c>
      <c r="L524" s="5">
        <f>15883 / 86400</f>
        <v>0.18383101851851852</v>
      </c>
    </row>
    <row r="525" spans="1:12" x14ac:dyDescent="0.25">
      <c r="A525" s="3">
        <v>45691.217175925922</v>
      </c>
      <c r="B525" t="s">
        <v>50</v>
      </c>
      <c r="C525" s="3">
        <v>45691.218310185184</v>
      </c>
      <c r="D525" t="s">
        <v>50</v>
      </c>
      <c r="E525" s="4">
        <v>2.1000000000000001E-2</v>
      </c>
      <c r="F525" s="4">
        <v>214029.12100000001</v>
      </c>
      <c r="G525" s="4">
        <v>214029.14199999999</v>
      </c>
      <c r="H525" s="5">
        <f>39 / 86400</f>
        <v>4.5138888888888887E-4</v>
      </c>
      <c r="I525" t="s">
        <v>132</v>
      </c>
      <c r="J525" t="s">
        <v>62</v>
      </c>
      <c r="K525" s="5">
        <f>97 / 86400</f>
        <v>1.1226851851851851E-3</v>
      </c>
      <c r="L525" s="5">
        <f>157 / 86400</f>
        <v>1.8171296296296297E-3</v>
      </c>
    </row>
    <row r="526" spans="1:12" x14ac:dyDescent="0.25">
      <c r="A526" s="3">
        <v>45691.220127314809</v>
      </c>
      <c r="B526" t="s">
        <v>50</v>
      </c>
      <c r="C526" s="3">
        <v>45691.221921296295</v>
      </c>
      <c r="D526" t="s">
        <v>50</v>
      </c>
      <c r="E526" s="4">
        <v>5.8000000000000003E-2</v>
      </c>
      <c r="F526" s="4">
        <v>214029.14199999999</v>
      </c>
      <c r="G526" s="4">
        <v>214029.2</v>
      </c>
      <c r="H526" s="5">
        <f>99 / 86400</f>
        <v>1.1458333333333333E-3</v>
      </c>
      <c r="I526" t="s">
        <v>76</v>
      </c>
      <c r="J526" t="s">
        <v>62</v>
      </c>
      <c r="K526" s="5">
        <f>154 / 86400</f>
        <v>1.7824074074074075E-3</v>
      </c>
      <c r="L526" s="5">
        <f>21 / 86400</f>
        <v>2.4305555555555555E-4</v>
      </c>
    </row>
    <row r="527" spans="1:12" x14ac:dyDescent="0.25">
      <c r="A527" s="3">
        <v>45691.222164351857</v>
      </c>
      <c r="B527" t="s">
        <v>50</v>
      </c>
      <c r="C527" s="3">
        <v>45691.222685185188</v>
      </c>
      <c r="D527" t="s">
        <v>50</v>
      </c>
      <c r="E527" s="4">
        <v>0</v>
      </c>
      <c r="F527" s="4">
        <v>214029.2</v>
      </c>
      <c r="G527" s="4">
        <v>214029.2</v>
      </c>
      <c r="H527" s="5">
        <f>39 / 86400</f>
        <v>4.5138888888888887E-4</v>
      </c>
      <c r="I527" t="s">
        <v>33</v>
      </c>
      <c r="J527" t="s">
        <v>33</v>
      </c>
      <c r="K527" s="5">
        <f>44 / 86400</f>
        <v>5.0925925925925921E-4</v>
      </c>
      <c r="L527" s="5">
        <f>10 / 86400</f>
        <v>1.1574074074074075E-4</v>
      </c>
    </row>
    <row r="528" spans="1:12" x14ac:dyDescent="0.25">
      <c r="A528" s="3">
        <v>45691.222800925927</v>
      </c>
      <c r="B528" t="s">
        <v>50</v>
      </c>
      <c r="C528" s="3">
        <v>45691.222986111112</v>
      </c>
      <c r="D528" t="s">
        <v>50</v>
      </c>
      <c r="E528" s="4">
        <v>0</v>
      </c>
      <c r="F528" s="4">
        <v>214029.2</v>
      </c>
      <c r="G528" s="4">
        <v>214029.2</v>
      </c>
      <c r="H528" s="5">
        <f>5 / 86400</f>
        <v>5.7870370370370373E-5</v>
      </c>
      <c r="I528" t="s">
        <v>33</v>
      </c>
      <c r="J528" t="s">
        <v>33</v>
      </c>
      <c r="K528" s="5">
        <f>16 / 86400</f>
        <v>1.8518518518518518E-4</v>
      </c>
      <c r="L528" s="5">
        <f>18 / 86400</f>
        <v>2.0833333333333335E-4</v>
      </c>
    </row>
    <row r="529" spans="1:12" x14ac:dyDescent="0.25">
      <c r="A529" s="3">
        <v>45691.223194444443</v>
      </c>
      <c r="B529" t="s">
        <v>50</v>
      </c>
      <c r="C529" s="3">
        <v>45691.223460648151</v>
      </c>
      <c r="D529" t="s">
        <v>50</v>
      </c>
      <c r="E529" s="4">
        <v>0</v>
      </c>
      <c r="F529" s="4">
        <v>214029.2</v>
      </c>
      <c r="G529" s="4">
        <v>214029.2</v>
      </c>
      <c r="H529" s="5">
        <f>0 / 86400</f>
        <v>0</v>
      </c>
      <c r="I529" t="s">
        <v>62</v>
      </c>
      <c r="J529" t="s">
        <v>33</v>
      </c>
      <c r="K529" s="5">
        <f>22 / 86400</f>
        <v>2.5462962962962961E-4</v>
      </c>
      <c r="L529" s="5">
        <f>20 / 86400</f>
        <v>2.3148148148148149E-4</v>
      </c>
    </row>
    <row r="530" spans="1:12" x14ac:dyDescent="0.25">
      <c r="A530" s="3">
        <v>45691.223692129628</v>
      </c>
      <c r="B530" t="s">
        <v>50</v>
      </c>
      <c r="C530" s="3">
        <v>45691.234560185185</v>
      </c>
      <c r="D530" t="s">
        <v>160</v>
      </c>
      <c r="E530" s="4">
        <v>1.4590000000000001</v>
      </c>
      <c r="F530" s="4">
        <v>214029.2</v>
      </c>
      <c r="G530" s="4">
        <v>214030.65900000001</v>
      </c>
      <c r="H530" s="5">
        <f>520 / 86400</f>
        <v>6.0185185185185185E-3</v>
      </c>
      <c r="I530" t="s">
        <v>35</v>
      </c>
      <c r="J530" t="s">
        <v>32</v>
      </c>
      <c r="K530" s="5">
        <f>939 / 86400</f>
        <v>1.0868055555555556E-2</v>
      </c>
      <c r="L530" s="5">
        <f>325 / 86400</f>
        <v>3.7615740740740739E-3</v>
      </c>
    </row>
    <row r="531" spans="1:12" x14ac:dyDescent="0.25">
      <c r="A531" s="3">
        <v>45691.238321759258</v>
      </c>
      <c r="B531" t="s">
        <v>160</v>
      </c>
      <c r="C531" s="3">
        <v>45691.239479166667</v>
      </c>
      <c r="D531" t="s">
        <v>152</v>
      </c>
      <c r="E531" s="4">
        <v>0.38400000000000001</v>
      </c>
      <c r="F531" s="4">
        <v>214030.65900000001</v>
      </c>
      <c r="G531" s="4">
        <v>214031.04300000001</v>
      </c>
      <c r="H531" s="5">
        <f>0 / 86400</f>
        <v>0</v>
      </c>
      <c r="I531" t="s">
        <v>165</v>
      </c>
      <c r="J531" t="s">
        <v>45</v>
      </c>
      <c r="K531" s="5">
        <f>100 / 86400</f>
        <v>1.1574074074074073E-3</v>
      </c>
      <c r="L531" s="5">
        <f>405 / 86400</f>
        <v>4.6874999999999998E-3</v>
      </c>
    </row>
    <row r="532" spans="1:12" x14ac:dyDescent="0.25">
      <c r="A532" s="3">
        <v>45691.244166666671</v>
      </c>
      <c r="B532" t="s">
        <v>152</v>
      </c>
      <c r="C532" s="3">
        <v>45691.506562499999</v>
      </c>
      <c r="D532" t="s">
        <v>127</v>
      </c>
      <c r="E532" s="4">
        <v>100.3</v>
      </c>
      <c r="F532" s="4">
        <v>214031.04300000001</v>
      </c>
      <c r="G532" s="4">
        <v>214131.34299999999</v>
      </c>
      <c r="H532" s="5">
        <f>8446 / 86400</f>
        <v>9.7754629629629636E-2</v>
      </c>
      <c r="I532" t="s">
        <v>51</v>
      </c>
      <c r="J532" t="s">
        <v>40</v>
      </c>
      <c r="K532" s="5">
        <f>22671 / 86400</f>
        <v>0.26239583333333333</v>
      </c>
      <c r="L532" s="5">
        <f>623 / 86400</f>
        <v>7.2106481481481483E-3</v>
      </c>
    </row>
    <row r="533" spans="1:12" x14ac:dyDescent="0.25">
      <c r="A533" s="3">
        <v>45691.513773148152</v>
      </c>
      <c r="B533" t="s">
        <v>127</v>
      </c>
      <c r="C533" s="3">
        <v>45691.518437499995</v>
      </c>
      <c r="D533" t="s">
        <v>50</v>
      </c>
      <c r="E533" s="4">
        <v>0.85499999999999998</v>
      </c>
      <c r="F533" s="4">
        <v>214131.34299999999</v>
      </c>
      <c r="G533" s="4">
        <v>214132.198</v>
      </c>
      <c r="H533" s="5">
        <f>240 / 86400</f>
        <v>2.7777777777777779E-3</v>
      </c>
      <c r="I533" t="s">
        <v>126</v>
      </c>
      <c r="J533" t="s">
        <v>151</v>
      </c>
      <c r="K533" s="5">
        <f>403 / 86400</f>
        <v>4.6643518518518518E-3</v>
      </c>
      <c r="L533" s="5">
        <f>207 / 86400</f>
        <v>2.3958333333333331E-3</v>
      </c>
    </row>
    <row r="534" spans="1:12" x14ac:dyDescent="0.25">
      <c r="A534" s="3">
        <v>45691.520833333328</v>
      </c>
      <c r="B534" t="s">
        <v>50</v>
      </c>
      <c r="C534" s="3">
        <v>45691.575057870374</v>
      </c>
      <c r="D534" t="s">
        <v>71</v>
      </c>
      <c r="E534" s="4">
        <v>25.826000000000001</v>
      </c>
      <c r="F534" s="4">
        <v>214132.198</v>
      </c>
      <c r="G534" s="4">
        <v>214158.024</v>
      </c>
      <c r="H534" s="5">
        <f>1499 / 86400</f>
        <v>1.7349537037037038E-2</v>
      </c>
      <c r="I534" t="s">
        <v>72</v>
      </c>
      <c r="J534" t="s">
        <v>75</v>
      </c>
      <c r="K534" s="5">
        <f>4685 / 86400</f>
        <v>5.4224537037037036E-2</v>
      </c>
      <c r="L534" s="5">
        <f>103 / 86400</f>
        <v>1.1921296296296296E-3</v>
      </c>
    </row>
    <row r="535" spans="1:12" x14ac:dyDescent="0.25">
      <c r="A535" s="3">
        <v>45691.576249999998</v>
      </c>
      <c r="B535" t="s">
        <v>71</v>
      </c>
      <c r="C535" s="3">
        <v>45691.784733796296</v>
      </c>
      <c r="D535" t="s">
        <v>127</v>
      </c>
      <c r="E535" s="4">
        <v>75.748999999999995</v>
      </c>
      <c r="F535" s="4">
        <v>214158.024</v>
      </c>
      <c r="G535" s="4">
        <v>214233.77299999999</v>
      </c>
      <c r="H535" s="5">
        <f>6280 / 86400</f>
        <v>7.2685185185185186E-2</v>
      </c>
      <c r="I535" t="s">
        <v>305</v>
      </c>
      <c r="J535" t="s">
        <v>30</v>
      </c>
      <c r="K535" s="5">
        <f>18012 / 86400</f>
        <v>0.20847222222222223</v>
      </c>
      <c r="L535" s="5">
        <f>928 / 86400</f>
        <v>1.074074074074074E-2</v>
      </c>
    </row>
    <row r="536" spans="1:12" x14ac:dyDescent="0.25">
      <c r="A536" s="3">
        <v>45691.795474537037</v>
      </c>
      <c r="B536" t="s">
        <v>127</v>
      </c>
      <c r="C536" s="3">
        <v>45691.801574074074</v>
      </c>
      <c r="D536" t="s">
        <v>50</v>
      </c>
      <c r="E536" s="4">
        <v>0.88200000000000001</v>
      </c>
      <c r="F536" s="4">
        <v>214233.77299999999</v>
      </c>
      <c r="G536" s="4">
        <v>214234.655</v>
      </c>
      <c r="H536" s="5">
        <f>200 / 86400</f>
        <v>2.3148148148148147E-3</v>
      </c>
      <c r="I536" t="s">
        <v>170</v>
      </c>
      <c r="J536" t="s">
        <v>32</v>
      </c>
      <c r="K536" s="5">
        <f>526 / 86400</f>
        <v>6.0879629629629626E-3</v>
      </c>
      <c r="L536" s="5">
        <f>17143 / 86400</f>
        <v>0.19841435185185186</v>
      </c>
    </row>
    <row r="537" spans="1:12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</row>
    <row r="538" spans="1:12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</row>
    <row r="539" spans="1:12" s="10" customFormat="1" ht="20.100000000000001" customHeight="1" x14ac:dyDescent="0.35">
      <c r="A539" s="12" t="s">
        <v>428</v>
      </c>
      <c r="B539" s="12"/>
      <c r="C539" s="12"/>
      <c r="D539" s="12"/>
      <c r="E539" s="12"/>
      <c r="F539" s="12"/>
      <c r="G539" s="12"/>
      <c r="H539" s="12"/>
      <c r="I539" s="12"/>
      <c r="J539" s="12"/>
    </row>
    <row r="540" spans="1:12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</row>
    <row r="541" spans="1:12" ht="30" x14ac:dyDescent="0.25">
      <c r="A541" s="2" t="s">
        <v>6</v>
      </c>
      <c r="B541" s="2" t="s">
        <v>7</v>
      </c>
      <c r="C541" s="2" t="s">
        <v>8</v>
      </c>
      <c r="D541" s="2" t="s">
        <v>9</v>
      </c>
      <c r="E541" s="2" t="s">
        <v>10</v>
      </c>
      <c r="F541" s="2" t="s">
        <v>11</v>
      </c>
      <c r="G541" s="2" t="s">
        <v>12</v>
      </c>
      <c r="H541" s="2" t="s">
        <v>13</v>
      </c>
      <c r="I541" s="2" t="s">
        <v>14</v>
      </c>
      <c r="J541" s="2" t="s">
        <v>15</v>
      </c>
      <c r="K541" s="2" t="s">
        <v>16</v>
      </c>
      <c r="L541" s="2" t="s">
        <v>17</v>
      </c>
    </row>
    <row r="542" spans="1:12" x14ac:dyDescent="0.25">
      <c r="A542" s="3">
        <v>45691.255509259259</v>
      </c>
      <c r="B542" t="s">
        <v>52</v>
      </c>
      <c r="C542" s="3">
        <v>45691.263472222221</v>
      </c>
      <c r="D542" t="s">
        <v>112</v>
      </c>
      <c r="E542" s="4">
        <v>1.556</v>
      </c>
      <c r="F542" s="4">
        <v>523387.56599999999</v>
      </c>
      <c r="G542" s="4">
        <v>523389.12199999997</v>
      </c>
      <c r="H542" s="5">
        <f>239 / 86400</f>
        <v>2.7662037037037039E-3</v>
      </c>
      <c r="I542" t="s">
        <v>196</v>
      </c>
      <c r="J542" t="s">
        <v>151</v>
      </c>
      <c r="K542" s="5">
        <f>687 / 86400</f>
        <v>7.951388888888888E-3</v>
      </c>
      <c r="L542" s="5">
        <f>22495 / 86400</f>
        <v>0.26035879629629627</v>
      </c>
    </row>
    <row r="543" spans="1:12" x14ac:dyDescent="0.25">
      <c r="A543" s="3">
        <v>45691.268321759257</v>
      </c>
      <c r="B543" t="s">
        <v>38</v>
      </c>
      <c r="C543" s="3">
        <v>45691.490243055552</v>
      </c>
      <c r="D543" t="s">
        <v>50</v>
      </c>
      <c r="E543" s="4">
        <v>63.601999999999997</v>
      </c>
      <c r="F543" s="4">
        <v>523389.12199999997</v>
      </c>
      <c r="G543" s="4">
        <v>523452.72399999999</v>
      </c>
      <c r="H543" s="5">
        <f>11105 / 86400</f>
        <v>0.1285300925925926</v>
      </c>
      <c r="I543" t="s">
        <v>44</v>
      </c>
      <c r="J543" t="s">
        <v>155</v>
      </c>
      <c r="K543" s="5">
        <f>19174 / 86400</f>
        <v>0.22192129629629628</v>
      </c>
      <c r="L543" s="5">
        <f>1458 / 86400</f>
        <v>1.6875000000000001E-2</v>
      </c>
    </row>
    <row r="544" spans="1:12" x14ac:dyDescent="0.25">
      <c r="A544" s="3">
        <v>45691.507118055553</v>
      </c>
      <c r="B544" t="s">
        <v>50</v>
      </c>
      <c r="C544" s="3">
        <v>45691.509976851856</v>
      </c>
      <c r="D544" t="s">
        <v>154</v>
      </c>
      <c r="E544" s="4">
        <v>0.92900000000000005</v>
      </c>
      <c r="F544" s="4">
        <v>523452.72399999999</v>
      </c>
      <c r="G544" s="4">
        <v>523453.65299999999</v>
      </c>
      <c r="H544" s="5">
        <f>19 / 86400</f>
        <v>2.199074074074074E-4</v>
      </c>
      <c r="I544" t="s">
        <v>264</v>
      </c>
      <c r="J544" t="s">
        <v>45</v>
      </c>
      <c r="K544" s="5">
        <f>246 / 86400</f>
        <v>2.8472222222222223E-3</v>
      </c>
      <c r="L544" s="5">
        <f>216 / 86400</f>
        <v>2.5000000000000001E-3</v>
      </c>
    </row>
    <row r="545" spans="1:12" x14ac:dyDescent="0.25">
      <c r="A545" s="3">
        <v>45691.512476851851</v>
      </c>
      <c r="B545" t="s">
        <v>127</v>
      </c>
      <c r="C545" s="3">
        <v>45691.51362268519</v>
      </c>
      <c r="D545" t="s">
        <v>127</v>
      </c>
      <c r="E545" s="4">
        <v>3.5000000000000003E-2</v>
      </c>
      <c r="F545" s="4">
        <v>523453.65299999999</v>
      </c>
      <c r="G545" s="4">
        <v>523453.68800000002</v>
      </c>
      <c r="H545" s="5">
        <f>61 / 86400</f>
        <v>7.0601851851851847E-4</v>
      </c>
      <c r="I545" t="s">
        <v>76</v>
      </c>
      <c r="J545" t="s">
        <v>62</v>
      </c>
      <c r="K545" s="5">
        <f>99 / 86400</f>
        <v>1.1458333333333333E-3</v>
      </c>
      <c r="L545" s="5">
        <f>194 / 86400</f>
        <v>2.2453703703703702E-3</v>
      </c>
    </row>
    <row r="546" spans="1:12" x14ac:dyDescent="0.25">
      <c r="A546" s="3">
        <v>45691.515868055554</v>
      </c>
      <c r="B546" t="s">
        <v>127</v>
      </c>
      <c r="C546" s="3">
        <v>45691.516666666663</v>
      </c>
      <c r="D546" t="s">
        <v>154</v>
      </c>
      <c r="E546" s="4">
        <v>0.108</v>
      </c>
      <c r="F546" s="4">
        <v>523453.68800000002</v>
      </c>
      <c r="G546" s="4">
        <v>523453.79599999997</v>
      </c>
      <c r="H546" s="5">
        <f>20 / 86400</f>
        <v>2.3148148148148149E-4</v>
      </c>
      <c r="I546" t="s">
        <v>20</v>
      </c>
      <c r="J546" t="s">
        <v>32</v>
      </c>
      <c r="K546" s="5">
        <f>69 / 86400</f>
        <v>7.9861111111111116E-4</v>
      </c>
      <c r="L546" s="5">
        <f>405 / 86400</f>
        <v>4.6874999999999998E-3</v>
      </c>
    </row>
    <row r="547" spans="1:12" x14ac:dyDescent="0.25">
      <c r="A547" s="3">
        <v>45691.521354166667</v>
      </c>
      <c r="B547" t="s">
        <v>154</v>
      </c>
      <c r="C547" s="3">
        <v>45691.524652777778</v>
      </c>
      <c r="D547" t="s">
        <v>356</v>
      </c>
      <c r="E547" s="4">
        <v>0.52400000000000002</v>
      </c>
      <c r="F547" s="4">
        <v>523453.79599999997</v>
      </c>
      <c r="G547" s="4">
        <v>523454.32</v>
      </c>
      <c r="H547" s="5">
        <f>159 / 86400</f>
        <v>1.8402777777777777E-3</v>
      </c>
      <c r="I547" t="s">
        <v>131</v>
      </c>
      <c r="J547" t="s">
        <v>76</v>
      </c>
      <c r="K547" s="5">
        <f>285 / 86400</f>
        <v>3.2986111111111111E-3</v>
      </c>
      <c r="L547" s="5">
        <f>396 / 86400</f>
        <v>4.5833333333333334E-3</v>
      </c>
    </row>
    <row r="548" spans="1:12" x14ac:dyDescent="0.25">
      <c r="A548" s="3">
        <v>45691.529236111106</v>
      </c>
      <c r="B548" t="s">
        <v>157</v>
      </c>
      <c r="C548" s="3">
        <v>45691.787847222222</v>
      </c>
      <c r="D548" t="s">
        <v>38</v>
      </c>
      <c r="E548" s="4">
        <v>118.717</v>
      </c>
      <c r="F548" s="4">
        <v>523454.32</v>
      </c>
      <c r="G548" s="4">
        <v>523573.03700000001</v>
      </c>
      <c r="H548" s="5">
        <f>8568 / 86400</f>
        <v>9.9166666666666667E-2</v>
      </c>
      <c r="I548" t="s">
        <v>23</v>
      </c>
      <c r="J548" t="s">
        <v>35</v>
      </c>
      <c r="K548" s="5">
        <f>22344 / 86400</f>
        <v>0.25861111111111112</v>
      </c>
      <c r="L548" s="5">
        <f>1577 / 86400</f>
        <v>1.8252314814814815E-2</v>
      </c>
    </row>
    <row r="549" spans="1:12" x14ac:dyDescent="0.25">
      <c r="A549" s="3">
        <v>45691.806099537032</v>
      </c>
      <c r="B549" t="s">
        <v>38</v>
      </c>
      <c r="C549" s="3">
        <v>45691.811249999999</v>
      </c>
      <c r="D549" t="s">
        <v>52</v>
      </c>
      <c r="E549" s="4">
        <v>2.1179999999999999</v>
      </c>
      <c r="F549" s="4">
        <v>523573.03700000001</v>
      </c>
      <c r="G549" s="4">
        <v>523575.15500000003</v>
      </c>
      <c r="H549" s="5">
        <f>40 / 86400</f>
        <v>4.6296296296296298E-4</v>
      </c>
      <c r="I549" t="s">
        <v>211</v>
      </c>
      <c r="J549" t="s">
        <v>47</v>
      </c>
      <c r="K549" s="5">
        <f>445 / 86400</f>
        <v>5.1504629629629626E-3</v>
      </c>
      <c r="L549" s="5">
        <f>16307 / 86400</f>
        <v>0.18873842592592593</v>
      </c>
    </row>
    <row r="550" spans="1:12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</row>
    <row r="551" spans="1:12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</row>
    <row r="552" spans="1:12" s="10" customFormat="1" ht="20.100000000000001" customHeight="1" x14ac:dyDescent="0.35">
      <c r="A552" s="12" t="s">
        <v>429</v>
      </c>
      <c r="B552" s="12"/>
      <c r="C552" s="12"/>
      <c r="D552" s="12"/>
      <c r="E552" s="12"/>
      <c r="F552" s="12"/>
      <c r="G552" s="12"/>
      <c r="H552" s="12"/>
      <c r="I552" s="12"/>
      <c r="J552" s="12"/>
    </row>
    <row r="553" spans="1:12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</row>
    <row r="554" spans="1:12" ht="30" x14ac:dyDescent="0.25">
      <c r="A554" s="2" t="s">
        <v>6</v>
      </c>
      <c r="B554" s="2" t="s">
        <v>7</v>
      </c>
      <c r="C554" s="2" t="s">
        <v>8</v>
      </c>
      <c r="D554" s="2" t="s">
        <v>9</v>
      </c>
      <c r="E554" s="2" t="s">
        <v>10</v>
      </c>
      <c r="F554" s="2" t="s">
        <v>11</v>
      </c>
      <c r="G554" s="2" t="s">
        <v>12</v>
      </c>
      <c r="H554" s="2" t="s">
        <v>13</v>
      </c>
      <c r="I554" s="2" t="s">
        <v>14</v>
      </c>
      <c r="J554" s="2" t="s">
        <v>15</v>
      </c>
      <c r="K554" s="2" t="s">
        <v>16</v>
      </c>
      <c r="L554" s="2" t="s">
        <v>17</v>
      </c>
    </row>
    <row r="555" spans="1:12" x14ac:dyDescent="0.25">
      <c r="A555" s="3">
        <v>45691.254965277782</v>
      </c>
      <c r="B555" t="s">
        <v>53</v>
      </c>
      <c r="C555" s="3">
        <v>45691.260023148148</v>
      </c>
      <c r="D555" t="s">
        <v>127</v>
      </c>
      <c r="E555" s="4">
        <v>0.58799999999999997</v>
      </c>
      <c r="F555" s="4">
        <v>343547.24300000002</v>
      </c>
      <c r="G555" s="4">
        <v>343547.83100000001</v>
      </c>
      <c r="H555" s="5">
        <f>239 / 86400</f>
        <v>2.7662037037037039E-3</v>
      </c>
      <c r="I555" t="s">
        <v>170</v>
      </c>
      <c r="J555" t="s">
        <v>136</v>
      </c>
      <c r="K555" s="5">
        <f>436 / 86400</f>
        <v>5.0462962962962961E-3</v>
      </c>
      <c r="L555" s="5">
        <f>22868 / 86400</f>
        <v>0.26467592592592593</v>
      </c>
    </row>
    <row r="556" spans="1:12" x14ac:dyDescent="0.25">
      <c r="A556" s="3">
        <v>45691.269733796296</v>
      </c>
      <c r="B556" t="s">
        <v>127</v>
      </c>
      <c r="C556" s="3">
        <v>45691.270752314813</v>
      </c>
      <c r="D556" t="s">
        <v>154</v>
      </c>
      <c r="E556" s="4">
        <v>0.124</v>
      </c>
      <c r="F556" s="4">
        <v>343547.83100000001</v>
      </c>
      <c r="G556" s="4">
        <v>343547.95500000002</v>
      </c>
      <c r="H556" s="5">
        <f>20 / 86400</f>
        <v>2.3148148148148149E-4</v>
      </c>
      <c r="I556" t="s">
        <v>76</v>
      </c>
      <c r="J556" t="s">
        <v>136</v>
      </c>
      <c r="K556" s="5">
        <f>87 / 86400</f>
        <v>1.0069444444444444E-3</v>
      </c>
      <c r="L556" s="5">
        <f>219 / 86400</f>
        <v>2.5347222222222221E-3</v>
      </c>
    </row>
    <row r="557" spans="1:12" x14ac:dyDescent="0.25">
      <c r="A557" s="3">
        <v>45691.273287037038</v>
      </c>
      <c r="B557" t="s">
        <v>127</v>
      </c>
      <c r="C557" s="3">
        <v>45691.274039351847</v>
      </c>
      <c r="D557" t="s">
        <v>154</v>
      </c>
      <c r="E557" s="4">
        <v>0.123</v>
      </c>
      <c r="F557" s="4">
        <v>343547.95500000002</v>
      </c>
      <c r="G557" s="4">
        <v>343548.07799999998</v>
      </c>
      <c r="H557" s="5">
        <f>0 / 86400</f>
        <v>0</v>
      </c>
      <c r="I557" t="s">
        <v>47</v>
      </c>
      <c r="J557" t="s">
        <v>76</v>
      </c>
      <c r="K557" s="5">
        <f>65 / 86400</f>
        <v>7.5231481481481482E-4</v>
      </c>
      <c r="L557" s="5">
        <f>1370 / 86400</f>
        <v>1.5856481481481482E-2</v>
      </c>
    </row>
    <row r="558" spans="1:12" x14ac:dyDescent="0.25">
      <c r="A558" s="3">
        <v>45691.289895833332</v>
      </c>
      <c r="B558" t="s">
        <v>154</v>
      </c>
      <c r="C558" s="3">
        <v>45691.292372685188</v>
      </c>
      <c r="D558" t="s">
        <v>142</v>
      </c>
      <c r="E558" s="4">
        <v>1.1299999999999999</v>
      </c>
      <c r="F558" s="4">
        <v>343548.07799999998</v>
      </c>
      <c r="G558" s="4">
        <v>343549.20799999998</v>
      </c>
      <c r="H558" s="5">
        <f>0 / 86400</f>
        <v>0</v>
      </c>
      <c r="I558" t="s">
        <v>262</v>
      </c>
      <c r="J558" t="s">
        <v>35</v>
      </c>
      <c r="K558" s="5">
        <f>214 / 86400</f>
        <v>2.476851851851852E-3</v>
      </c>
      <c r="L558" s="5">
        <f>114 / 86400</f>
        <v>1.3194444444444445E-3</v>
      </c>
    </row>
    <row r="559" spans="1:12" x14ac:dyDescent="0.25">
      <c r="A559" s="3">
        <v>45691.293692129635</v>
      </c>
      <c r="B559" t="s">
        <v>142</v>
      </c>
      <c r="C559" s="3">
        <v>45691.293935185182</v>
      </c>
      <c r="D559" t="s">
        <v>142</v>
      </c>
      <c r="E559" s="4">
        <v>1.7999999999999999E-2</v>
      </c>
      <c r="F559" s="4">
        <v>343549.20799999998</v>
      </c>
      <c r="G559" s="4">
        <v>343549.22600000002</v>
      </c>
      <c r="H559" s="5">
        <f>0 / 86400</f>
        <v>0</v>
      </c>
      <c r="I559" t="s">
        <v>32</v>
      </c>
      <c r="J559" t="s">
        <v>128</v>
      </c>
      <c r="K559" s="5">
        <f>21 / 86400</f>
        <v>2.4305555555555555E-4</v>
      </c>
      <c r="L559" s="5">
        <f>208 / 86400</f>
        <v>2.4074074074074076E-3</v>
      </c>
    </row>
    <row r="560" spans="1:12" x14ac:dyDescent="0.25">
      <c r="A560" s="3">
        <v>45691.296342592592</v>
      </c>
      <c r="B560" t="s">
        <v>142</v>
      </c>
      <c r="C560" s="3">
        <v>45691.300902777773</v>
      </c>
      <c r="D560" t="s">
        <v>157</v>
      </c>
      <c r="E560" s="4">
        <v>0.77700000000000002</v>
      </c>
      <c r="F560" s="4">
        <v>343549.22600000002</v>
      </c>
      <c r="G560" s="4">
        <v>343550.00300000003</v>
      </c>
      <c r="H560" s="5">
        <f>200 / 86400</f>
        <v>2.3148148148148147E-3</v>
      </c>
      <c r="I560" t="s">
        <v>135</v>
      </c>
      <c r="J560" t="s">
        <v>76</v>
      </c>
      <c r="K560" s="5">
        <f>394 / 86400</f>
        <v>4.5601851851851853E-3</v>
      </c>
      <c r="L560" s="5">
        <f>33 / 86400</f>
        <v>3.8194444444444446E-4</v>
      </c>
    </row>
    <row r="561" spans="1:12" x14ac:dyDescent="0.25">
      <c r="A561" s="3">
        <v>45691.301284722227</v>
      </c>
      <c r="B561" t="s">
        <v>157</v>
      </c>
      <c r="C561" s="3">
        <v>45691.427650462967</v>
      </c>
      <c r="D561" t="s">
        <v>362</v>
      </c>
      <c r="E561" s="4">
        <v>50.241999999999997</v>
      </c>
      <c r="F561" s="4">
        <v>343550.00300000003</v>
      </c>
      <c r="G561" s="4">
        <v>343600.245</v>
      </c>
      <c r="H561" s="5">
        <f>3718 / 86400</f>
        <v>4.3032407407407408E-2</v>
      </c>
      <c r="I561" t="s">
        <v>54</v>
      </c>
      <c r="J561" t="s">
        <v>47</v>
      </c>
      <c r="K561" s="5">
        <f>10918 / 86400</f>
        <v>0.12636574074074075</v>
      </c>
      <c r="L561" s="5">
        <f>1299 / 86400</f>
        <v>1.5034722222222222E-2</v>
      </c>
    </row>
    <row r="562" spans="1:12" x14ac:dyDescent="0.25">
      <c r="A562" s="3">
        <v>45691.442685185189</v>
      </c>
      <c r="B562" t="s">
        <v>363</v>
      </c>
      <c r="C562" s="3">
        <v>45691.469780092593</v>
      </c>
      <c r="D562" t="s">
        <v>332</v>
      </c>
      <c r="E562" s="4">
        <v>4.5529999999999999</v>
      </c>
      <c r="F562" s="4">
        <v>343600.245</v>
      </c>
      <c r="G562" s="4">
        <v>343604.79800000001</v>
      </c>
      <c r="H562" s="5">
        <f>1579 / 86400</f>
        <v>1.8275462962962962E-2</v>
      </c>
      <c r="I562" t="s">
        <v>187</v>
      </c>
      <c r="J562" t="s">
        <v>76</v>
      </c>
      <c r="K562" s="5">
        <f>2341 / 86400</f>
        <v>2.7094907407407408E-2</v>
      </c>
      <c r="L562" s="5">
        <f>149 / 86400</f>
        <v>1.724537037037037E-3</v>
      </c>
    </row>
    <row r="563" spans="1:12" x14ac:dyDescent="0.25">
      <c r="A563" s="3">
        <v>45691.471504629633</v>
      </c>
      <c r="B563" t="s">
        <v>331</v>
      </c>
      <c r="C563" s="3">
        <v>45691.474907407406</v>
      </c>
      <c r="D563" t="s">
        <v>331</v>
      </c>
      <c r="E563" s="4">
        <v>0</v>
      </c>
      <c r="F563" s="4">
        <v>343604.79800000001</v>
      </c>
      <c r="G563" s="4">
        <v>343604.79800000001</v>
      </c>
      <c r="H563" s="5">
        <f>259 / 86400</f>
        <v>2.9976851851851853E-3</v>
      </c>
      <c r="I563" t="s">
        <v>137</v>
      </c>
      <c r="J563" t="s">
        <v>33</v>
      </c>
      <c r="K563" s="5">
        <f>293 / 86400</f>
        <v>3.3912037037037036E-3</v>
      </c>
      <c r="L563" s="5">
        <f>90 / 86400</f>
        <v>1.0416666666666667E-3</v>
      </c>
    </row>
    <row r="564" spans="1:12" x14ac:dyDescent="0.25">
      <c r="A564" s="3">
        <v>45691.475949074069</v>
      </c>
      <c r="B564" t="s">
        <v>332</v>
      </c>
      <c r="C564" s="3">
        <v>45691.574155092589</v>
      </c>
      <c r="D564" t="s">
        <v>364</v>
      </c>
      <c r="E564" s="4">
        <v>45.524999999999999</v>
      </c>
      <c r="F564" s="4">
        <v>343604.79800000001</v>
      </c>
      <c r="G564" s="4">
        <v>343650.32299999997</v>
      </c>
      <c r="H564" s="5">
        <f>2279 / 86400</f>
        <v>2.6377314814814815E-2</v>
      </c>
      <c r="I564" t="s">
        <v>44</v>
      </c>
      <c r="J564" t="s">
        <v>35</v>
      </c>
      <c r="K564" s="5">
        <f>8485 / 86400</f>
        <v>9.8206018518518512E-2</v>
      </c>
      <c r="L564" s="5">
        <f>434 / 86400</f>
        <v>5.0231481481481481E-3</v>
      </c>
    </row>
    <row r="565" spans="1:12" x14ac:dyDescent="0.25">
      <c r="A565" s="3">
        <v>45691.57917824074</v>
      </c>
      <c r="B565" t="s">
        <v>364</v>
      </c>
      <c r="C565" s="3">
        <v>45691.591712962967</v>
      </c>
      <c r="D565" t="s">
        <v>127</v>
      </c>
      <c r="E565" s="4">
        <v>2.355</v>
      </c>
      <c r="F565" s="4">
        <v>343650.32299999997</v>
      </c>
      <c r="G565" s="4">
        <v>343652.67800000001</v>
      </c>
      <c r="H565" s="5">
        <f>439 / 86400</f>
        <v>5.0810185185185186E-3</v>
      </c>
      <c r="I565" t="s">
        <v>170</v>
      </c>
      <c r="J565" t="s">
        <v>151</v>
      </c>
      <c r="K565" s="5">
        <f>1082 / 86400</f>
        <v>1.2523148148148148E-2</v>
      </c>
      <c r="L565" s="5">
        <f>161 / 86400</f>
        <v>1.8634259259259259E-3</v>
      </c>
    </row>
    <row r="566" spans="1:12" x14ac:dyDescent="0.25">
      <c r="A566" s="3">
        <v>45691.593576388885</v>
      </c>
      <c r="B566" t="s">
        <v>127</v>
      </c>
      <c r="C566" s="3">
        <v>45691.594027777777</v>
      </c>
      <c r="D566" t="s">
        <v>127</v>
      </c>
      <c r="E566" s="4">
        <v>8.9999999999999993E-3</v>
      </c>
      <c r="F566" s="4">
        <v>343652.67800000001</v>
      </c>
      <c r="G566" s="4">
        <v>343652.68699999998</v>
      </c>
      <c r="H566" s="5">
        <f>19 / 86400</f>
        <v>2.199074074074074E-4</v>
      </c>
      <c r="I566" t="s">
        <v>33</v>
      </c>
      <c r="J566" t="s">
        <v>62</v>
      </c>
      <c r="K566" s="5">
        <f>38 / 86400</f>
        <v>4.3981481481481481E-4</v>
      </c>
      <c r="L566" s="5">
        <f>237 / 86400</f>
        <v>2.7430555555555554E-3</v>
      </c>
    </row>
    <row r="567" spans="1:12" x14ac:dyDescent="0.25">
      <c r="A567" s="3">
        <v>45691.596770833334</v>
      </c>
      <c r="B567" t="s">
        <v>127</v>
      </c>
      <c r="C567" s="3">
        <v>45691.599305555559</v>
      </c>
      <c r="D567" t="s">
        <v>154</v>
      </c>
      <c r="E567" s="4">
        <v>0.249</v>
      </c>
      <c r="F567" s="4">
        <v>343652.68699999998</v>
      </c>
      <c r="G567" s="4">
        <v>343652.93599999999</v>
      </c>
      <c r="H567" s="5">
        <f>119 / 86400</f>
        <v>1.3773148148148147E-3</v>
      </c>
      <c r="I567" t="s">
        <v>40</v>
      </c>
      <c r="J567" t="s">
        <v>132</v>
      </c>
      <c r="K567" s="5">
        <f>219 / 86400</f>
        <v>2.5347222222222221E-3</v>
      </c>
      <c r="L567" s="5">
        <f>191 / 86400</f>
        <v>2.2106481481481482E-3</v>
      </c>
    </row>
    <row r="568" spans="1:12" x14ac:dyDescent="0.25">
      <c r="A568" s="3">
        <v>45691.601516203707</v>
      </c>
      <c r="B568" t="s">
        <v>154</v>
      </c>
      <c r="C568" s="3">
        <v>45691.603715277779</v>
      </c>
      <c r="D568" t="s">
        <v>154</v>
      </c>
      <c r="E568" s="4">
        <v>0.11</v>
      </c>
      <c r="F568" s="4">
        <v>343652.93599999999</v>
      </c>
      <c r="G568" s="4">
        <v>343653.04599999997</v>
      </c>
      <c r="H568" s="5">
        <f>119 / 86400</f>
        <v>1.3773148148148147E-3</v>
      </c>
      <c r="I568" t="s">
        <v>155</v>
      </c>
      <c r="J568" t="s">
        <v>137</v>
      </c>
      <c r="K568" s="5">
        <f>189 / 86400</f>
        <v>2.1875000000000002E-3</v>
      </c>
      <c r="L568" s="5">
        <f>2638 / 86400</f>
        <v>3.0532407407407407E-2</v>
      </c>
    </row>
    <row r="569" spans="1:12" x14ac:dyDescent="0.25">
      <c r="A569" s="3">
        <v>45691.634247685186</v>
      </c>
      <c r="B569" t="s">
        <v>154</v>
      </c>
      <c r="C569" s="3">
        <v>45691.635601851856</v>
      </c>
      <c r="D569" t="s">
        <v>152</v>
      </c>
      <c r="E569" s="4">
        <v>0.14399999999999999</v>
      </c>
      <c r="F569" s="4">
        <v>343653.04599999997</v>
      </c>
      <c r="G569" s="4">
        <v>343653.19</v>
      </c>
      <c r="H569" s="5">
        <f>39 / 86400</f>
        <v>4.5138888888888887E-4</v>
      </c>
      <c r="I569" t="s">
        <v>140</v>
      </c>
      <c r="J569" t="s">
        <v>132</v>
      </c>
      <c r="K569" s="5">
        <f>117 / 86400</f>
        <v>1.3541666666666667E-3</v>
      </c>
      <c r="L569" s="5">
        <f>845 / 86400</f>
        <v>9.780092592592592E-3</v>
      </c>
    </row>
    <row r="570" spans="1:12" x14ac:dyDescent="0.25">
      <c r="A570" s="3">
        <v>45691.645381944443</v>
      </c>
      <c r="B570" t="s">
        <v>152</v>
      </c>
      <c r="C570" s="3">
        <v>45691.647129629629</v>
      </c>
      <c r="D570" t="s">
        <v>86</v>
      </c>
      <c r="E570" s="4">
        <v>0.46700000000000003</v>
      </c>
      <c r="F570" s="4">
        <v>343653.19</v>
      </c>
      <c r="G570" s="4">
        <v>343653.65700000001</v>
      </c>
      <c r="H570" s="5">
        <f>0 / 86400</f>
        <v>0</v>
      </c>
      <c r="I570" t="s">
        <v>172</v>
      </c>
      <c r="J570" t="s">
        <v>140</v>
      </c>
      <c r="K570" s="5">
        <f>151 / 86400</f>
        <v>1.7476851851851852E-3</v>
      </c>
      <c r="L570" s="5">
        <f>1066 / 86400</f>
        <v>1.2337962962962964E-2</v>
      </c>
    </row>
    <row r="571" spans="1:12" x14ac:dyDescent="0.25">
      <c r="A571" s="3">
        <v>45691.659467592588</v>
      </c>
      <c r="B571" t="s">
        <v>86</v>
      </c>
      <c r="C571" s="3">
        <v>45691.66033564815</v>
      </c>
      <c r="D571" t="s">
        <v>133</v>
      </c>
      <c r="E571" s="4">
        <v>2.8000000000000001E-2</v>
      </c>
      <c r="F571" s="4">
        <v>343653.65700000001</v>
      </c>
      <c r="G571" s="4">
        <v>343653.685</v>
      </c>
      <c r="H571" s="5">
        <f>59 / 86400</f>
        <v>6.8287037037037036E-4</v>
      </c>
      <c r="I571" t="s">
        <v>156</v>
      </c>
      <c r="J571" t="s">
        <v>62</v>
      </c>
      <c r="K571" s="5">
        <f>75 / 86400</f>
        <v>8.6805555555555551E-4</v>
      </c>
      <c r="L571" s="5">
        <f>1336 / 86400</f>
        <v>1.5462962962962963E-2</v>
      </c>
    </row>
    <row r="572" spans="1:12" x14ac:dyDescent="0.25">
      <c r="A572" s="3">
        <v>45691.675798611112</v>
      </c>
      <c r="B572" t="s">
        <v>133</v>
      </c>
      <c r="C572" s="3">
        <v>45691.796990740739</v>
      </c>
      <c r="D572" t="s">
        <v>365</v>
      </c>
      <c r="E572" s="4">
        <v>49.33</v>
      </c>
      <c r="F572" s="4">
        <v>343653.685</v>
      </c>
      <c r="G572" s="4">
        <v>343703.01500000001</v>
      </c>
      <c r="H572" s="5">
        <f>3499 / 86400</f>
        <v>4.0497685185185185E-2</v>
      </c>
      <c r="I572" t="s">
        <v>29</v>
      </c>
      <c r="J572" t="s">
        <v>47</v>
      </c>
      <c r="K572" s="5">
        <f>10471 / 86400</f>
        <v>0.12119212962962964</v>
      </c>
      <c r="L572" s="5">
        <f>173 / 86400</f>
        <v>2.0023148148148148E-3</v>
      </c>
    </row>
    <row r="573" spans="1:12" x14ac:dyDescent="0.25">
      <c r="A573" s="3">
        <v>45691.798993055556</v>
      </c>
      <c r="B573" t="s">
        <v>365</v>
      </c>
      <c r="C573" s="3">
        <v>45691.917071759264</v>
      </c>
      <c r="D573" t="s">
        <v>366</v>
      </c>
      <c r="E573" s="4">
        <v>48.951999999999998</v>
      </c>
      <c r="F573" s="4">
        <v>343703.01500000001</v>
      </c>
      <c r="G573" s="4">
        <v>343751.967</v>
      </c>
      <c r="H573" s="5">
        <f>3341 / 86400</f>
        <v>3.8668981481481485E-2</v>
      </c>
      <c r="I573" t="s">
        <v>187</v>
      </c>
      <c r="J573" t="s">
        <v>47</v>
      </c>
      <c r="K573" s="5">
        <f>10202 / 86400</f>
        <v>0.1180787037037037</v>
      </c>
      <c r="L573" s="5">
        <f>793 / 86400</f>
        <v>9.1782407407407403E-3</v>
      </c>
    </row>
    <row r="574" spans="1:12" x14ac:dyDescent="0.25">
      <c r="A574" s="3">
        <v>45691.926250000004</v>
      </c>
      <c r="B574" t="s">
        <v>366</v>
      </c>
      <c r="C574" s="3">
        <v>45691.929143518515</v>
      </c>
      <c r="D574" t="s">
        <v>53</v>
      </c>
      <c r="E574" s="4">
        <v>0.34</v>
      </c>
      <c r="F574" s="4">
        <v>343751.967</v>
      </c>
      <c r="G574" s="4">
        <v>343752.30699999997</v>
      </c>
      <c r="H574" s="5">
        <f>100 / 86400</f>
        <v>1.1574074074074073E-3</v>
      </c>
      <c r="I574" t="s">
        <v>170</v>
      </c>
      <c r="J574" t="s">
        <v>136</v>
      </c>
      <c r="K574" s="5">
        <f>249 / 86400</f>
        <v>2.8819444444444444E-3</v>
      </c>
      <c r="L574" s="5">
        <f>6121 / 86400</f>
        <v>7.0844907407407412E-2</v>
      </c>
    </row>
    <row r="575" spans="1:12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</row>
    <row r="576" spans="1:12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</row>
    <row r="577" spans="1:12" s="10" customFormat="1" ht="20.100000000000001" customHeight="1" x14ac:dyDescent="0.35">
      <c r="A577" s="12" t="s">
        <v>430</v>
      </c>
      <c r="B577" s="12"/>
      <c r="C577" s="12"/>
      <c r="D577" s="12"/>
      <c r="E577" s="12"/>
      <c r="F577" s="12"/>
      <c r="G577" s="12"/>
      <c r="H577" s="12"/>
      <c r="I577" s="12"/>
      <c r="J577" s="12"/>
    </row>
    <row r="578" spans="1:12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</row>
    <row r="579" spans="1:12" ht="30" x14ac:dyDescent="0.25">
      <c r="A579" s="2" t="s">
        <v>6</v>
      </c>
      <c r="B579" s="2" t="s">
        <v>7</v>
      </c>
      <c r="C579" s="2" t="s">
        <v>8</v>
      </c>
      <c r="D579" s="2" t="s">
        <v>9</v>
      </c>
      <c r="E579" s="2" t="s">
        <v>10</v>
      </c>
      <c r="F579" s="2" t="s">
        <v>11</v>
      </c>
      <c r="G579" s="2" t="s">
        <v>12</v>
      </c>
      <c r="H579" s="2" t="s">
        <v>13</v>
      </c>
      <c r="I579" s="2" t="s">
        <v>14</v>
      </c>
      <c r="J579" s="2" t="s">
        <v>15</v>
      </c>
      <c r="K579" s="2" t="s">
        <v>16</v>
      </c>
      <c r="L579" s="2" t="s">
        <v>17</v>
      </c>
    </row>
    <row r="580" spans="1:12" x14ac:dyDescent="0.25">
      <c r="A580" s="3">
        <v>45691.254108796296</v>
      </c>
      <c r="B580" t="s">
        <v>55</v>
      </c>
      <c r="C580" s="3">
        <v>45691.257349537038</v>
      </c>
      <c r="D580" t="s">
        <v>125</v>
      </c>
      <c r="E580" s="4">
        <v>0.35899999999999999</v>
      </c>
      <c r="F580" s="4">
        <v>424594.66399999999</v>
      </c>
      <c r="G580" s="4">
        <v>424595.02299999999</v>
      </c>
      <c r="H580" s="5">
        <f>140 / 86400</f>
        <v>1.6203703703703703E-3</v>
      </c>
      <c r="I580" t="s">
        <v>40</v>
      </c>
      <c r="J580" t="s">
        <v>136</v>
      </c>
      <c r="K580" s="5">
        <f>280 / 86400</f>
        <v>3.2407407407407406E-3</v>
      </c>
      <c r="L580" s="5">
        <f>22390 / 86400</f>
        <v>0.25914351851851852</v>
      </c>
    </row>
    <row r="581" spans="1:12" x14ac:dyDescent="0.25">
      <c r="A581" s="3">
        <v>45691.262384259258</v>
      </c>
      <c r="B581" t="s">
        <v>125</v>
      </c>
      <c r="C581" s="3">
        <v>45691.348703703705</v>
      </c>
      <c r="D581" t="s">
        <v>127</v>
      </c>
      <c r="E581" s="4">
        <v>46.069000000000003</v>
      </c>
      <c r="F581" s="4">
        <v>424595.02299999999</v>
      </c>
      <c r="G581" s="4">
        <v>424641.092</v>
      </c>
      <c r="H581" s="5">
        <f>1680 / 86400</f>
        <v>1.9444444444444445E-2</v>
      </c>
      <c r="I581" t="s">
        <v>139</v>
      </c>
      <c r="J581" t="s">
        <v>24</v>
      </c>
      <c r="K581" s="5">
        <f>7457 / 86400</f>
        <v>8.6307870370370368E-2</v>
      </c>
      <c r="L581" s="5">
        <f>1426 / 86400</f>
        <v>1.650462962962963E-2</v>
      </c>
    </row>
    <row r="582" spans="1:12" x14ac:dyDescent="0.25">
      <c r="A582" s="3">
        <v>45691.365208333329</v>
      </c>
      <c r="B582" t="s">
        <v>127</v>
      </c>
      <c r="C582" s="3">
        <v>45691.368703703702</v>
      </c>
      <c r="D582" t="s">
        <v>142</v>
      </c>
      <c r="E582" s="4">
        <v>1.2989999999999999</v>
      </c>
      <c r="F582" s="4">
        <v>424641.092</v>
      </c>
      <c r="G582" s="4">
        <v>424642.391</v>
      </c>
      <c r="H582" s="5">
        <f>39 / 86400</f>
        <v>4.5138888888888887E-4</v>
      </c>
      <c r="I582" t="s">
        <v>131</v>
      </c>
      <c r="J582" t="s">
        <v>30</v>
      </c>
      <c r="K582" s="5">
        <f>302 / 86400</f>
        <v>3.4953703703703705E-3</v>
      </c>
      <c r="L582" s="5">
        <f>1688 / 86400</f>
        <v>1.9537037037037037E-2</v>
      </c>
    </row>
    <row r="583" spans="1:12" x14ac:dyDescent="0.25">
      <c r="A583" s="3">
        <v>45691.388240740736</v>
      </c>
      <c r="B583" t="s">
        <v>142</v>
      </c>
      <c r="C583" s="3">
        <v>45691.507048611107</v>
      </c>
      <c r="D583" t="s">
        <v>367</v>
      </c>
      <c r="E583" s="4">
        <v>51.369</v>
      </c>
      <c r="F583" s="4">
        <v>424642.391</v>
      </c>
      <c r="G583" s="4">
        <v>424693.76000000001</v>
      </c>
      <c r="H583" s="5">
        <f>2879 / 86400</f>
        <v>3.3321759259259259E-2</v>
      </c>
      <c r="I583" t="s">
        <v>169</v>
      </c>
      <c r="J583" t="s">
        <v>20</v>
      </c>
      <c r="K583" s="5">
        <f>10265 / 86400</f>
        <v>0.11880787037037037</v>
      </c>
      <c r="L583" s="5">
        <f>542 / 86400</f>
        <v>6.2731481481481484E-3</v>
      </c>
    </row>
    <row r="584" spans="1:12" x14ac:dyDescent="0.25">
      <c r="A584" s="3">
        <v>45691.513321759259</v>
      </c>
      <c r="B584" t="s">
        <v>367</v>
      </c>
      <c r="C584" s="3">
        <v>45691.634988425925</v>
      </c>
      <c r="D584" t="s">
        <v>154</v>
      </c>
      <c r="E584" s="4">
        <v>51.029000000000003</v>
      </c>
      <c r="F584" s="4">
        <v>424693.76000000001</v>
      </c>
      <c r="G584" s="4">
        <v>424744.78899999999</v>
      </c>
      <c r="H584" s="5">
        <f>3280 / 86400</f>
        <v>3.7962962962962962E-2</v>
      </c>
      <c r="I584" t="s">
        <v>167</v>
      </c>
      <c r="J584" t="s">
        <v>47</v>
      </c>
      <c r="K584" s="5">
        <f>10512 / 86400</f>
        <v>0.12166666666666667</v>
      </c>
      <c r="L584" s="5">
        <f>3268 / 86400</f>
        <v>3.7824074074074072E-2</v>
      </c>
    </row>
    <row r="585" spans="1:12" x14ac:dyDescent="0.25">
      <c r="A585" s="3">
        <v>45691.672812500001</v>
      </c>
      <c r="B585" t="s">
        <v>154</v>
      </c>
      <c r="C585" s="3">
        <v>45691.674467592587</v>
      </c>
      <c r="D585" t="s">
        <v>127</v>
      </c>
      <c r="E585" s="4">
        <v>0.104</v>
      </c>
      <c r="F585" s="4">
        <v>424744.78899999999</v>
      </c>
      <c r="G585" s="4">
        <v>424744.89299999998</v>
      </c>
      <c r="H585" s="5">
        <f>79 / 86400</f>
        <v>9.1435185185185185E-4</v>
      </c>
      <c r="I585" t="s">
        <v>155</v>
      </c>
      <c r="J585" t="s">
        <v>128</v>
      </c>
      <c r="K585" s="5">
        <f>142 / 86400</f>
        <v>1.6435185185185185E-3</v>
      </c>
      <c r="L585" s="5">
        <f>553 / 86400</f>
        <v>6.4004629629629628E-3</v>
      </c>
    </row>
    <row r="586" spans="1:12" x14ac:dyDescent="0.25">
      <c r="A586" s="3">
        <v>45691.680868055555</v>
      </c>
      <c r="B586" t="s">
        <v>127</v>
      </c>
      <c r="C586" s="3">
        <v>45691.687719907408</v>
      </c>
      <c r="D586" t="s">
        <v>152</v>
      </c>
      <c r="E586" s="4">
        <v>0.27100000000000002</v>
      </c>
      <c r="F586" s="4">
        <v>424744.89299999998</v>
      </c>
      <c r="G586" s="4">
        <v>424745.16399999999</v>
      </c>
      <c r="H586" s="5">
        <f>460 / 86400</f>
        <v>5.324074074074074E-3</v>
      </c>
      <c r="I586" t="s">
        <v>47</v>
      </c>
      <c r="J586" t="s">
        <v>137</v>
      </c>
      <c r="K586" s="5">
        <f>591 / 86400</f>
        <v>6.8402777777777776E-3</v>
      </c>
      <c r="L586" s="5">
        <f>1304 / 86400</f>
        <v>1.5092592592592593E-2</v>
      </c>
    </row>
    <row r="587" spans="1:12" x14ac:dyDescent="0.25">
      <c r="A587" s="3">
        <v>45691.7028125</v>
      </c>
      <c r="B587" t="s">
        <v>152</v>
      </c>
      <c r="C587" s="3">
        <v>45691.79278935185</v>
      </c>
      <c r="D587" t="s">
        <v>368</v>
      </c>
      <c r="E587" s="4">
        <v>41.354999999999997</v>
      </c>
      <c r="F587" s="4">
        <v>424745.16399999999</v>
      </c>
      <c r="G587" s="4">
        <v>424786.51899999997</v>
      </c>
      <c r="H587" s="5">
        <f>2200 / 86400</f>
        <v>2.5462962962962962E-2</v>
      </c>
      <c r="I587" t="s">
        <v>56</v>
      </c>
      <c r="J587" t="s">
        <v>35</v>
      </c>
      <c r="K587" s="5">
        <f>7774 / 86400</f>
        <v>8.997685185185185E-2</v>
      </c>
      <c r="L587" s="5">
        <f>108 / 86400</f>
        <v>1.25E-3</v>
      </c>
    </row>
    <row r="588" spans="1:12" x14ac:dyDescent="0.25">
      <c r="A588" s="3">
        <v>45691.794039351851</v>
      </c>
      <c r="B588" t="s">
        <v>368</v>
      </c>
      <c r="C588" s="3">
        <v>45691.824861111112</v>
      </c>
      <c r="D588" t="s">
        <v>369</v>
      </c>
      <c r="E588" s="4">
        <v>9.4930000000000003</v>
      </c>
      <c r="F588" s="4">
        <v>424786.51899999997</v>
      </c>
      <c r="G588" s="4">
        <v>424796.01199999999</v>
      </c>
      <c r="H588" s="5">
        <f>999 / 86400</f>
        <v>1.15625E-2</v>
      </c>
      <c r="I588" t="s">
        <v>282</v>
      </c>
      <c r="J588" t="s">
        <v>59</v>
      </c>
      <c r="K588" s="5">
        <f>2663 / 86400</f>
        <v>3.0821759259259261E-2</v>
      </c>
      <c r="L588" s="5">
        <f>287 / 86400</f>
        <v>3.3217592592592591E-3</v>
      </c>
    </row>
    <row r="589" spans="1:12" x14ac:dyDescent="0.25">
      <c r="A589" s="3">
        <v>45691.828182870369</v>
      </c>
      <c r="B589" t="s">
        <v>369</v>
      </c>
      <c r="C589" s="3">
        <v>45691.83289351852</v>
      </c>
      <c r="D589" t="s">
        <v>55</v>
      </c>
      <c r="E589" s="4">
        <v>0.377</v>
      </c>
      <c r="F589" s="4">
        <v>424796.01199999999</v>
      </c>
      <c r="G589" s="4">
        <v>424796.38900000002</v>
      </c>
      <c r="H589" s="5">
        <f>200 / 86400</f>
        <v>2.3148148148148147E-3</v>
      </c>
      <c r="I589" t="s">
        <v>155</v>
      </c>
      <c r="J589" t="s">
        <v>128</v>
      </c>
      <c r="K589" s="5">
        <f>406 / 86400</f>
        <v>4.6990740740740743E-3</v>
      </c>
      <c r="L589" s="5">
        <f>14437 / 86400</f>
        <v>0.1670949074074074</v>
      </c>
    </row>
    <row r="590" spans="1:12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</row>
    <row r="591" spans="1:12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</row>
    <row r="592" spans="1:12" s="10" customFormat="1" ht="20.100000000000001" customHeight="1" x14ac:dyDescent="0.35">
      <c r="A592" s="12" t="s">
        <v>431</v>
      </c>
      <c r="B592" s="12"/>
      <c r="C592" s="12"/>
      <c r="D592" s="12"/>
      <c r="E592" s="12"/>
      <c r="F592" s="12"/>
      <c r="G592" s="12"/>
      <c r="H592" s="12"/>
      <c r="I592" s="12"/>
      <c r="J592" s="12"/>
    </row>
    <row r="593" spans="1:12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</row>
    <row r="594" spans="1:12" ht="30" x14ac:dyDescent="0.25">
      <c r="A594" s="2" t="s">
        <v>6</v>
      </c>
      <c r="B594" s="2" t="s">
        <v>7</v>
      </c>
      <c r="C594" s="2" t="s">
        <v>8</v>
      </c>
      <c r="D594" s="2" t="s">
        <v>9</v>
      </c>
      <c r="E594" s="2" t="s">
        <v>10</v>
      </c>
      <c r="F594" s="2" t="s">
        <v>11</v>
      </c>
      <c r="G594" s="2" t="s">
        <v>12</v>
      </c>
      <c r="H594" s="2" t="s">
        <v>13</v>
      </c>
      <c r="I594" s="2" t="s">
        <v>14</v>
      </c>
      <c r="J594" s="2" t="s">
        <v>15</v>
      </c>
      <c r="K594" s="2" t="s">
        <v>16</v>
      </c>
      <c r="L594" s="2" t="s">
        <v>17</v>
      </c>
    </row>
    <row r="595" spans="1:12" x14ac:dyDescent="0.25">
      <c r="A595" s="3">
        <v>45691.227743055555</v>
      </c>
      <c r="B595" t="s">
        <v>28</v>
      </c>
      <c r="C595" s="3">
        <v>45691.315844907411</v>
      </c>
      <c r="D595" t="s">
        <v>370</v>
      </c>
      <c r="E595" s="4">
        <v>30.675999999999998</v>
      </c>
      <c r="F595" s="4">
        <v>11236.875</v>
      </c>
      <c r="G595" s="4">
        <v>11267.550999999999</v>
      </c>
      <c r="H595" s="5">
        <f>3019 / 86400</f>
        <v>3.4942129629629629E-2</v>
      </c>
      <c r="I595" t="s">
        <v>57</v>
      </c>
      <c r="J595" t="s">
        <v>30</v>
      </c>
      <c r="K595" s="5">
        <f>7612 / 86400</f>
        <v>8.8101851851851848E-2</v>
      </c>
      <c r="L595" s="5">
        <f>19778 / 86400</f>
        <v>0.22891203703703702</v>
      </c>
    </row>
    <row r="596" spans="1:12" x14ac:dyDescent="0.25">
      <c r="A596" s="3">
        <v>45691.317013888889</v>
      </c>
      <c r="B596" t="s">
        <v>371</v>
      </c>
      <c r="C596" s="3">
        <v>45691.375706018516</v>
      </c>
      <c r="D596" t="s">
        <v>74</v>
      </c>
      <c r="E596" s="4">
        <v>13.510999999999999</v>
      </c>
      <c r="F596" s="4">
        <v>11267.550999999999</v>
      </c>
      <c r="G596" s="4">
        <v>11281.062</v>
      </c>
      <c r="H596" s="5">
        <f>2720 / 86400</f>
        <v>3.1481481481481478E-2</v>
      </c>
      <c r="I596" t="s">
        <v>240</v>
      </c>
      <c r="J596" t="s">
        <v>156</v>
      </c>
      <c r="K596" s="5">
        <f>5071 / 86400</f>
        <v>5.8692129629629629E-2</v>
      </c>
      <c r="L596" s="5">
        <f>43 / 86400</f>
        <v>4.9768518518518521E-4</v>
      </c>
    </row>
    <row r="597" spans="1:12" x14ac:dyDescent="0.25">
      <c r="A597" s="3">
        <v>45691.376203703709</v>
      </c>
      <c r="B597" t="s">
        <v>74</v>
      </c>
      <c r="C597" s="3">
        <v>45691.378900462965</v>
      </c>
      <c r="D597" t="s">
        <v>74</v>
      </c>
      <c r="E597" s="4">
        <v>1.2E-2</v>
      </c>
      <c r="F597" s="4">
        <v>11281.062</v>
      </c>
      <c r="G597" s="4">
        <v>11281.074000000001</v>
      </c>
      <c r="H597" s="5">
        <f>219 / 86400</f>
        <v>2.5347222222222221E-3</v>
      </c>
      <c r="I597" t="s">
        <v>33</v>
      </c>
      <c r="J597" t="s">
        <v>33</v>
      </c>
      <c r="K597" s="5">
        <f>233 / 86400</f>
        <v>2.6967592592592594E-3</v>
      </c>
      <c r="L597" s="5">
        <f>189 / 86400</f>
        <v>2.1875000000000002E-3</v>
      </c>
    </row>
    <row r="598" spans="1:12" x14ac:dyDescent="0.25">
      <c r="A598" s="3">
        <v>45691.38108796296</v>
      </c>
      <c r="B598" t="s">
        <v>74</v>
      </c>
      <c r="C598" s="3">
        <v>45691.387916666667</v>
      </c>
      <c r="D598" t="s">
        <v>74</v>
      </c>
      <c r="E598" s="4">
        <v>5.0000000000000001E-3</v>
      </c>
      <c r="F598" s="4">
        <v>11281.074000000001</v>
      </c>
      <c r="G598" s="4">
        <v>11281.079</v>
      </c>
      <c r="H598" s="5">
        <f>579 / 86400</f>
        <v>6.7013888888888887E-3</v>
      </c>
      <c r="I598" t="s">
        <v>33</v>
      </c>
      <c r="J598" t="s">
        <v>33</v>
      </c>
      <c r="K598" s="5">
        <f>589 / 86400</f>
        <v>6.8171296296296296E-3</v>
      </c>
      <c r="L598" s="5">
        <f>91 / 86400</f>
        <v>1.0532407407407407E-3</v>
      </c>
    </row>
    <row r="599" spans="1:12" x14ac:dyDescent="0.25">
      <c r="A599" s="3">
        <v>45691.388969907406</v>
      </c>
      <c r="B599" t="s">
        <v>74</v>
      </c>
      <c r="C599" s="3">
        <v>45691.505648148144</v>
      </c>
      <c r="D599" t="s">
        <v>127</v>
      </c>
      <c r="E599" s="4">
        <v>49.924999999999997</v>
      </c>
      <c r="F599" s="4">
        <v>11281.079</v>
      </c>
      <c r="G599" s="4">
        <v>11331.004000000001</v>
      </c>
      <c r="H599" s="5">
        <f>3399 / 86400</f>
        <v>3.934027777777778E-2</v>
      </c>
      <c r="I599" t="s">
        <v>44</v>
      </c>
      <c r="J599" t="s">
        <v>20</v>
      </c>
      <c r="K599" s="5">
        <f>10081 / 86400</f>
        <v>0.11667824074074074</v>
      </c>
      <c r="L599" s="5">
        <f>666 / 86400</f>
        <v>7.7083333333333335E-3</v>
      </c>
    </row>
    <row r="600" spans="1:12" x14ac:dyDescent="0.25">
      <c r="A600" s="3">
        <v>45691.513356481482</v>
      </c>
      <c r="B600" t="s">
        <v>127</v>
      </c>
      <c r="C600" s="3">
        <v>45691.5153125</v>
      </c>
      <c r="D600" t="s">
        <v>50</v>
      </c>
      <c r="E600" s="4">
        <v>0.90100000000000002</v>
      </c>
      <c r="F600" s="4">
        <v>11331.004000000001</v>
      </c>
      <c r="G600" s="4">
        <v>11331.905000000001</v>
      </c>
      <c r="H600" s="5">
        <f>20 / 86400</f>
        <v>2.3148148148148149E-4</v>
      </c>
      <c r="I600" t="s">
        <v>264</v>
      </c>
      <c r="J600" t="s">
        <v>35</v>
      </c>
      <c r="K600" s="5">
        <f>168 / 86400</f>
        <v>1.9444444444444444E-3</v>
      </c>
      <c r="L600" s="5">
        <f>1788 / 86400</f>
        <v>2.0694444444444446E-2</v>
      </c>
    </row>
    <row r="601" spans="1:12" x14ac:dyDescent="0.25">
      <c r="A601" s="3">
        <v>45691.536006944443</v>
      </c>
      <c r="B601" t="s">
        <v>50</v>
      </c>
      <c r="C601" s="3">
        <v>45691.538842592592</v>
      </c>
      <c r="D601" t="s">
        <v>142</v>
      </c>
      <c r="E601" s="4">
        <v>0.79</v>
      </c>
      <c r="F601" s="4">
        <v>11331.905000000001</v>
      </c>
      <c r="G601" s="4">
        <v>11332.695</v>
      </c>
      <c r="H601" s="5">
        <f>0 / 86400</f>
        <v>0</v>
      </c>
      <c r="I601" t="s">
        <v>170</v>
      </c>
      <c r="J601" t="s">
        <v>155</v>
      </c>
      <c r="K601" s="5">
        <f>245 / 86400</f>
        <v>2.8356481481481483E-3</v>
      </c>
      <c r="L601" s="5">
        <f>1642 / 86400</f>
        <v>1.9004629629629628E-2</v>
      </c>
    </row>
    <row r="602" spans="1:12" x14ac:dyDescent="0.25">
      <c r="A602" s="3">
        <v>45691.557847222226</v>
      </c>
      <c r="B602" t="s">
        <v>142</v>
      </c>
      <c r="C602" s="3">
        <v>45691.662604166668</v>
      </c>
      <c r="D602" t="s">
        <v>74</v>
      </c>
      <c r="E602" s="4">
        <v>44.683999999999997</v>
      </c>
      <c r="F602" s="4">
        <v>11332.695</v>
      </c>
      <c r="G602" s="4">
        <v>11377.379000000001</v>
      </c>
      <c r="H602" s="5">
        <f>3407 / 86400</f>
        <v>3.9432870370370368E-2</v>
      </c>
      <c r="I602" t="s">
        <v>305</v>
      </c>
      <c r="J602" t="s">
        <v>20</v>
      </c>
      <c r="K602" s="5">
        <f>9051 / 86400</f>
        <v>0.10475694444444444</v>
      </c>
      <c r="L602" s="5">
        <f>132 / 86400</f>
        <v>1.5277777777777779E-3</v>
      </c>
    </row>
    <row r="603" spans="1:12" x14ac:dyDescent="0.25">
      <c r="A603" s="3">
        <v>45691.664131944446</v>
      </c>
      <c r="B603" t="s">
        <v>74</v>
      </c>
      <c r="C603" s="3">
        <v>45691.667395833334</v>
      </c>
      <c r="D603" t="s">
        <v>74</v>
      </c>
      <c r="E603" s="4">
        <v>5.0000000000000001E-3</v>
      </c>
      <c r="F603" s="4">
        <v>11377.379000000001</v>
      </c>
      <c r="G603" s="4">
        <v>11377.384</v>
      </c>
      <c r="H603" s="5">
        <f>279 / 86400</f>
        <v>3.2291666666666666E-3</v>
      </c>
      <c r="I603" t="s">
        <v>33</v>
      </c>
      <c r="J603" t="s">
        <v>33</v>
      </c>
      <c r="K603" s="5">
        <f>282 / 86400</f>
        <v>3.2638888888888891E-3</v>
      </c>
      <c r="L603" s="5">
        <f>150 / 86400</f>
        <v>1.736111111111111E-3</v>
      </c>
    </row>
    <row r="604" spans="1:12" x14ac:dyDescent="0.25">
      <c r="A604" s="3">
        <v>45691.669131944444</v>
      </c>
      <c r="B604" t="s">
        <v>74</v>
      </c>
      <c r="C604" s="3">
        <v>45691.670486111107</v>
      </c>
      <c r="D604" t="s">
        <v>74</v>
      </c>
      <c r="E604" s="4">
        <v>3.0000000000000001E-3</v>
      </c>
      <c r="F604" s="4">
        <v>11377.384</v>
      </c>
      <c r="G604" s="4">
        <v>11377.387000000001</v>
      </c>
      <c r="H604" s="5">
        <f>99 / 86400</f>
        <v>1.1458333333333333E-3</v>
      </c>
      <c r="I604" t="s">
        <v>33</v>
      </c>
      <c r="J604" t="s">
        <v>33</v>
      </c>
      <c r="K604" s="5">
        <f>116 / 86400</f>
        <v>1.3425925925925925E-3</v>
      </c>
      <c r="L604" s="5">
        <f>225 / 86400</f>
        <v>2.6041666666666665E-3</v>
      </c>
    </row>
    <row r="605" spans="1:12" x14ac:dyDescent="0.25">
      <c r="A605" s="3">
        <v>45691.673090277778</v>
      </c>
      <c r="B605" t="s">
        <v>74</v>
      </c>
      <c r="C605" s="3">
        <v>45691.70103009259</v>
      </c>
      <c r="D605" t="s">
        <v>372</v>
      </c>
      <c r="E605" s="4">
        <v>5.8490000000000002</v>
      </c>
      <c r="F605" s="4">
        <v>11377.387000000001</v>
      </c>
      <c r="G605" s="4">
        <v>11383.236000000001</v>
      </c>
      <c r="H605" s="5">
        <f>1399 / 86400</f>
        <v>1.6192129629629629E-2</v>
      </c>
      <c r="I605" t="s">
        <v>194</v>
      </c>
      <c r="J605" t="s">
        <v>79</v>
      </c>
      <c r="K605" s="5">
        <f>2414 / 86400</f>
        <v>2.7939814814814813E-2</v>
      </c>
      <c r="L605" s="5">
        <f>67 / 86400</f>
        <v>7.7546296296296293E-4</v>
      </c>
    </row>
    <row r="606" spans="1:12" x14ac:dyDescent="0.25">
      <c r="A606" s="3">
        <v>45691.701805555553</v>
      </c>
      <c r="B606" t="s">
        <v>220</v>
      </c>
      <c r="C606" s="3">
        <v>45691.822546296295</v>
      </c>
      <c r="D606" t="s">
        <v>163</v>
      </c>
      <c r="E606" s="4">
        <v>35.951000000000001</v>
      </c>
      <c r="F606" s="4">
        <v>11383.236000000001</v>
      </c>
      <c r="G606" s="4">
        <v>11419.187</v>
      </c>
      <c r="H606" s="5">
        <f>4659 / 86400</f>
        <v>5.392361111111111E-2</v>
      </c>
      <c r="I606" t="s">
        <v>139</v>
      </c>
      <c r="J606" t="s">
        <v>155</v>
      </c>
      <c r="K606" s="5">
        <f>10431 / 86400</f>
        <v>0.12072916666666667</v>
      </c>
      <c r="L606" s="5">
        <f>493 / 86400</f>
        <v>5.7060185185185183E-3</v>
      </c>
    </row>
    <row r="607" spans="1:12" x14ac:dyDescent="0.25">
      <c r="A607" s="3">
        <v>45691.828252314815</v>
      </c>
      <c r="B607" t="s">
        <v>163</v>
      </c>
      <c r="C607" s="3">
        <v>45691.833680555559</v>
      </c>
      <c r="D607" t="s">
        <v>28</v>
      </c>
      <c r="E607" s="4">
        <v>1.423</v>
      </c>
      <c r="F607" s="4">
        <v>11419.187</v>
      </c>
      <c r="G607" s="4">
        <v>11420.61</v>
      </c>
      <c r="H607" s="5">
        <f>159 / 86400</f>
        <v>1.8402777777777777E-3</v>
      </c>
      <c r="I607" t="s">
        <v>159</v>
      </c>
      <c r="J607" t="s">
        <v>140</v>
      </c>
      <c r="K607" s="5">
        <f>469 / 86400</f>
        <v>5.4282407407407404E-3</v>
      </c>
      <c r="L607" s="5">
        <f>14369 / 86400</f>
        <v>0.16630787037037037</v>
      </c>
    </row>
    <row r="608" spans="1:12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</row>
    <row r="609" spans="1:12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</row>
    <row r="610" spans="1:12" s="10" customFormat="1" ht="20.100000000000001" customHeight="1" x14ac:dyDescent="0.35">
      <c r="A610" s="12" t="s">
        <v>432</v>
      </c>
      <c r="B610" s="12"/>
      <c r="C610" s="12"/>
      <c r="D610" s="12"/>
      <c r="E610" s="12"/>
      <c r="F610" s="12"/>
      <c r="G610" s="12"/>
      <c r="H610" s="12"/>
      <c r="I610" s="12"/>
      <c r="J610" s="12"/>
    </row>
    <row r="611" spans="1:12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</row>
    <row r="612" spans="1:12" ht="30" x14ac:dyDescent="0.25">
      <c r="A612" s="2" t="s">
        <v>6</v>
      </c>
      <c r="B612" s="2" t="s">
        <v>7</v>
      </c>
      <c r="C612" s="2" t="s">
        <v>8</v>
      </c>
      <c r="D612" s="2" t="s">
        <v>9</v>
      </c>
      <c r="E612" s="2" t="s">
        <v>10</v>
      </c>
      <c r="F612" s="2" t="s">
        <v>11</v>
      </c>
      <c r="G612" s="2" t="s">
        <v>12</v>
      </c>
      <c r="H612" s="2" t="s">
        <v>13</v>
      </c>
      <c r="I612" s="2" t="s">
        <v>14</v>
      </c>
      <c r="J612" s="2" t="s">
        <v>15</v>
      </c>
      <c r="K612" s="2" t="s">
        <v>16</v>
      </c>
      <c r="L612" s="2" t="s">
        <v>17</v>
      </c>
    </row>
    <row r="613" spans="1:12" x14ac:dyDescent="0.25">
      <c r="A613" s="3">
        <v>45691.231064814812</v>
      </c>
      <c r="B613" t="s">
        <v>58</v>
      </c>
      <c r="C613" s="3">
        <v>45691.241446759261</v>
      </c>
      <c r="D613" t="s">
        <v>373</v>
      </c>
      <c r="E613" s="4">
        <v>2.9580000000000002</v>
      </c>
      <c r="F613" s="4">
        <v>137244.073</v>
      </c>
      <c r="G613" s="4">
        <v>137247.03099999999</v>
      </c>
      <c r="H613" s="5">
        <f>459 / 86400</f>
        <v>5.3125000000000004E-3</v>
      </c>
      <c r="I613" t="s">
        <v>339</v>
      </c>
      <c r="J613" t="s">
        <v>155</v>
      </c>
      <c r="K613" s="5">
        <f>896 / 86400</f>
        <v>1.037037037037037E-2</v>
      </c>
      <c r="L613" s="5">
        <f>20795 / 86400</f>
        <v>0.24068287037037037</v>
      </c>
    </row>
    <row r="614" spans="1:12" x14ac:dyDescent="0.25">
      <c r="A614" s="3">
        <v>45691.251064814816</v>
      </c>
      <c r="B614" t="s">
        <v>373</v>
      </c>
      <c r="C614" s="3">
        <v>45691.46707175926</v>
      </c>
      <c r="D614" t="s">
        <v>50</v>
      </c>
      <c r="E614" s="4">
        <v>91.54</v>
      </c>
      <c r="F614" s="4">
        <v>137247.03099999999</v>
      </c>
      <c r="G614" s="4">
        <v>137338.571</v>
      </c>
      <c r="H614" s="5">
        <f>5960 / 86400</f>
        <v>6.8981481481481477E-2</v>
      </c>
      <c r="I614" t="s">
        <v>57</v>
      </c>
      <c r="J614" t="s">
        <v>20</v>
      </c>
      <c r="K614" s="5">
        <f>18663 / 86400</f>
        <v>0.21600694444444443</v>
      </c>
      <c r="L614" s="5">
        <f>2213 / 86400</f>
        <v>2.5613425925925925E-2</v>
      </c>
    </row>
    <row r="615" spans="1:12" x14ac:dyDescent="0.25">
      <c r="A615" s="3">
        <v>45691.492685185185</v>
      </c>
      <c r="B615" t="s">
        <v>50</v>
      </c>
      <c r="C615" s="3">
        <v>45691.495648148149</v>
      </c>
      <c r="D615" t="s">
        <v>130</v>
      </c>
      <c r="E615" s="4">
        <v>0.81</v>
      </c>
      <c r="F615" s="4">
        <v>137338.571</v>
      </c>
      <c r="G615" s="4">
        <v>137339.38099999999</v>
      </c>
      <c r="H615" s="5">
        <f>0 / 86400</f>
        <v>0</v>
      </c>
      <c r="I615" t="s">
        <v>197</v>
      </c>
      <c r="J615" t="s">
        <v>140</v>
      </c>
      <c r="K615" s="5">
        <f>256 / 86400</f>
        <v>2.9629629629629628E-3</v>
      </c>
      <c r="L615" s="5">
        <f>4071 / 86400</f>
        <v>4.7118055555555559E-2</v>
      </c>
    </row>
    <row r="616" spans="1:12" x14ac:dyDescent="0.25">
      <c r="A616" s="3">
        <v>45691.542766203704</v>
      </c>
      <c r="B616" t="s">
        <v>130</v>
      </c>
      <c r="C616" s="3">
        <v>45691.548645833333</v>
      </c>
      <c r="D616" t="s">
        <v>154</v>
      </c>
      <c r="E616" s="4">
        <v>1.3380000000000001</v>
      </c>
      <c r="F616" s="4">
        <v>137339.38099999999</v>
      </c>
      <c r="G616" s="4">
        <v>137340.71900000001</v>
      </c>
      <c r="H616" s="5">
        <f>159 / 86400</f>
        <v>1.8402777777777777E-3</v>
      </c>
      <c r="I616" t="s">
        <v>24</v>
      </c>
      <c r="J616" t="s">
        <v>79</v>
      </c>
      <c r="K616" s="5">
        <f>508 / 86400</f>
        <v>5.8796296296296296E-3</v>
      </c>
      <c r="L616" s="5">
        <f>47 / 86400</f>
        <v>5.4398148148148144E-4</v>
      </c>
    </row>
    <row r="617" spans="1:12" x14ac:dyDescent="0.25">
      <c r="A617" s="3">
        <v>45691.549189814818</v>
      </c>
      <c r="B617" t="s">
        <v>154</v>
      </c>
      <c r="C617" s="3">
        <v>45691.800254629634</v>
      </c>
      <c r="D617" t="s">
        <v>127</v>
      </c>
      <c r="E617" s="4">
        <v>99.543000000000006</v>
      </c>
      <c r="F617" s="4">
        <v>137340.71900000001</v>
      </c>
      <c r="G617" s="4">
        <v>137440.26199999999</v>
      </c>
      <c r="H617" s="5">
        <f>7516 / 86400</f>
        <v>8.6990740740740743E-2</v>
      </c>
      <c r="I617" t="s">
        <v>51</v>
      </c>
      <c r="J617" t="s">
        <v>47</v>
      </c>
      <c r="K617" s="5">
        <f>21691 / 86400</f>
        <v>0.25105324074074076</v>
      </c>
      <c r="L617" s="5">
        <f>316 / 86400</f>
        <v>3.6574074074074074E-3</v>
      </c>
    </row>
    <row r="618" spans="1:12" x14ac:dyDescent="0.25">
      <c r="A618" s="3">
        <v>45691.803912037038</v>
      </c>
      <c r="B618" t="s">
        <v>127</v>
      </c>
      <c r="C618" s="3">
        <v>45691.839965277773</v>
      </c>
      <c r="D618" t="s">
        <v>374</v>
      </c>
      <c r="E618" s="4">
        <v>24.143999999999998</v>
      </c>
      <c r="F618" s="4">
        <v>137440.26199999999</v>
      </c>
      <c r="G618" s="4">
        <v>137464.40599999999</v>
      </c>
      <c r="H618" s="5">
        <f>600 / 86400</f>
        <v>6.9444444444444441E-3</v>
      </c>
      <c r="I618" t="s">
        <v>54</v>
      </c>
      <c r="J618" t="s">
        <v>196</v>
      </c>
      <c r="K618" s="5">
        <f>3115 / 86400</f>
        <v>3.605324074074074E-2</v>
      </c>
      <c r="L618" s="5">
        <f>409 / 86400</f>
        <v>4.7337962962962967E-3</v>
      </c>
    </row>
    <row r="619" spans="1:12" x14ac:dyDescent="0.25">
      <c r="A619" s="3">
        <v>45691.844699074078</v>
      </c>
      <c r="B619" t="s">
        <v>375</v>
      </c>
      <c r="C619" s="3">
        <v>45691.855104166665</v>
      </c>
      <c r="D619" t="s">
        <v>58</v>
      </c>
      <c r="E619" s="4">
        <v>3.3839999999999999</v>
      </c>
      <c r="F619" s="4">
        <v>137464.40599999999</v>
      </c>
      <c r="G619" s="4">
        <v>137467.79</v>
      </c>
      <c r="H619" s="5">
        <f>220 / 86400</f>
        <v>2.5462962962962965E-3</v>
      </c>
      <c r="I619" t="s">
        <v>189</v>
      </c>
      <c r="J619" t="s">
        <v>45</v>
      </c>
      <c r="K619" s="5">
        <f>899 / 86400</f>
        <v>1.0405092592592593E-2</v>
      </c>
      <c r="L619" s="5">
        <f>12518 / 86400</f>
        <v>0.14488425925925927</v>
      </c>
    </row>
    <row r="620" spans="1:12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</row>
    <row r="621" spans="1:12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</row>
    <row r="622" spans="1:12" s="10" customFormat="1" ht="20.100000000000001" customHeight="1" x14ac:dyDescent="0.35">
      <c r="A622" s="12" t="s">
        <v>433</v>
      </c>
      <c r="B622" s="12"/>
      <c r="C622" s="12"/>
      <c r="D622" s="12"/>
      <c r="E622" s="12"/>
      <c r="F622" s="12"/>
      <c r="G622" s="12"/>
      <c r="H622" s="12"/>
      <c r="I622" s="12"/>
      <c r="J622" s="12"/>
    </row>
    <row r="623" spans="1:12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</row>
    <row r="624" spans="1:12" ht="30" x14ac:dyDescent="0.25">
      <c r="A624" s="2" t="s">
        <v>6</v>
      </c>
      <c r="B624" s="2" t="s">
        <v>7</v>
      </c>
      <c r="C624" s="2" t="s">
        <v>8</v>
      </c>
      <c r="D624" s="2" t="s">
        <v>9</v>
      </c>
      <c r="E624" s="2" t="s">
        <v>10</v>
      </c>
      <c r="F624" s="2" t="s">
        <v>11</v>
      </c>
      <c r="G624" s="2" t="s">
        <v>12</v>
      </c>
      <c r="H624" s="2" t="s">
        <v>13</v>
      </c>
      <c r="I624" s="2" t="s">
        <v>14</v>
      </c>
      <c r="J624" s="2" t="s">
        <v>15</v>
      </c>
      <c r="K624" s="2" t="s">
        <v>16</v>
      </c>
      <c r="L624" s="2" t="s">
        <v>17</v>
      </c>
    </row>
    <row r="625" spans="1:12" x14ac:dyDescent="0.25">
      <c r="A625" s="3">
        <v>45691.227731481486</v>
      </c>
      <c r="B625" t="s">
        <v>28</v>
      </c>
      <c r="C625" s="3">
        <v>45691.232662037037</v>
      </c>
      <c r="D625" t="s">
        <v>28</v>
      </c>
      <c r="E625" s="4">
        <v>0</v>
      </c>
      <c r="F625" s="4">
        <v>4020.5720000000001</v>
      </c>
      <c r="G625" s="4">
        <v>4020.5720000000001</v>
      </c>
      <c r="H625" s="5">
        <f>419 / 86400</f>
        <v>4.8495370370370368E-3</v>
      </c>
      <c r="I625" t="s">
        <v>33</v>
      </c>
      <c r="J625" t="s">
        <v>33</v>
      </c>
      <c r="K625" s="5">
        <f>425 / 86400</f>
        <v>4.9189814814814816E-3</v>
      </c>
      <c r="L625" s="5">
        <f>22959 / 86400</f>
        <v>0.26572916666666668</v>
      </c>
    </row>
    <row r="626" spans="1:12" x14ac:dyDescent="0.25">
      <c r="A626" s="3">
        <v>45691.27065972222</v>
      </c>
      <c r="B626" t="s">
        <v>28</v>
      </c>
      <c r="C626" s="3">
        <v>45691.530115740738</v>
      </c>
      <c r="D626" t="s">
        <v>127</v>
      </c>
      <c r="E626" s="4">
        <v>80.725999999999999</v>
      </c>
      <c r="F626" s="4">
        <v>4020.5720000000001</v>
      </c>
      <c r="G626" s="4">
        <v>4101.2979999999998</v>
      </c>
      <c r="H626" s="5">
        <f>11073 / 86400</f>
        <v>0.12815972222222222</v>
      </c>
      <c r="I626" t="s">
        <v>95</v>
      </c>
      <c r="J626" t="s">
        <v>59</v>
      </c>
      <c r="K626" s="5">
        <f>22416 / 86400</f>
        <v>0.25944444444444442</v>
      </c>
      <c r="L626" s="5">
        <f>302 / 86400</f>
        <v>3.4953703703703705E-3</v>
      </c>
    </row>
    <row r="627" spans="1:12" x14ac:dyDescent="0.25">
      <c r="A627" s="3">
        <v>45691.53361111111</v>
      </c>
      <c r="B627" t="s">
        <v>127</v>
      </c>
      <c r="C627" s="3">
        <v>45691.5387037037</v>
      </c>
      <c r="D627" t="s">
        <v>154</v>
      </c>
      <c r="E627" s="4">
        <v>6.9000000000000006E-2</v>
      </c>
      <c r="F627" s="4">
        <v>4101.2979999999998</v>
      </c>
      <c r="G627" s="4">
        <v>4101.3670000000002</v>
      </c>
      <c r="H627" s="5">
        <f>360 / 86400</f>
        <v>4.1666666666666666E-3</v>
      </c>
      <c r="I627" t="s">
        <v>32</v>
      </c>
      <c r="J627" t="s">
        <v>62</v>
      </c>
      <c r="K627" s="5">
        <f>440 / 86400</f>
        <v>5.092592592592593E-3</v>
      </c>
      <c r="L627" s="5">
        <f>554 / 86400</f>
        <v>6.4120370370370373E-3</v>
      </c>
    </row>
    <row r="628" spans="1:12" x14ac:dyDescent="0.25">
      <c r="A628" s="3">
        <v>45691.545115740737</v>
      </c>
      <c r="B628" t="s">
        <v>154</v>
      </c>
      <c r="C628" s="3">
        <v>45691.546493055561</v>
      </c>
      <c r="D628" t="s">
        <v>376</v>
      </c>
      <c r="E628" s="4">
        <v>0.23300000000046567</v>
      </c>
      <c r="F628" s="4">
        <v>4101.3670000000002</v>
      </c>
      <c r="G628" s="4">
        <v>4101.6000000000004</v>
      </c>
      <c r="H628" s="5">
        <f>20 / 86400</f>
        <v>2.3148148148148149E-4</v>
      </c>
      <c r="I628" t="s">
        <v>155</v>
      </c>
      <c r="J628" t="s">
        <v>76</v>
      </c>
      <c r="K628" s="5">
        <f>119 / 86400</f>
        <v>1.3773148148148147E-3</v>
      </c>
      <c r="L628" s="5">
        <f>551 / 86400</f>
        <v>6.3773148148148148E-3</v>
      </c>
    </row>
    <row r="629" spans="1:12" x14ac:dyDescent="0.25">
      <c r="A629" s="3">
        <v>45691.552870370375</v>
      </c>
      <c r="B629" t="s">
        <v>154</v>
      </c>
      <c r="C629" s="3">
        <v>45691.558749999997</v>
      </c>
      <c r="D629" t="s">
        <v>130</v>
      </c>
      <c r="E629" s="4">
        <v>1.1129999999990687</v>
      </c>
      <c r="F629" s="4">
        <v>4101.6000000000004</v>
      </c>
      <c r="G629" s="4">
        <v>4102.7129999999997</v>
      </c>
      <c r="H629" s="5">
        <f>180 / 86400</f>
        <v>2.0833333333333333E-3</v>
      </c>
      <c r="I629" t="s">
        <v>24</v>
      </c>
      <c r="J629" t="s">
        <v>151</v>
      </c>
      <c r="K629" s="5">
        <f>507 / 86400</f>
        <v>5.8680555555555552E-3</v>
      </c>
      <c r="L629" s="5">
        <f>2414 / 86400</f>
        <v>2.7939814814814813E-2</v>
      </c>
    </row>
    <row r="630" spans="1:12" x14ac:dyDescent="0.25">
      <c r="A630" s="3">
        <v>45691.586689814816</v>
      </c>
      <c r="B630" t="s">
        <v>130</v>
      </c>
      <c r="C630" s="3">
        <v>45691.589479166665</v>
      </c>
      <c r="D630" t="s">
        <v>160</v>
      </c>
      <c r="E630" s="4">
        <v>0.69500000000093132</v>
      </c>
      <c r="F630" s="4">
        <v>4102.7129999999997</v>
      </c>
      <c r="G630" s="4">
        <v>4103.4080000000004</v>
      </c>
      <c r="H630" s="5">
        <f>0 / 86400</f>
        <v>0</v>
      </c>
      <c r="I630" t="s">
        <v>35</v>
      </c>
      <c r="J630" t="s">
        <v>156</v>
      </c>
      <c r="K630" s="5">
        <f>241 / 86400</f>
        <v>2.7893518518518519E-3</v>
      </c>
      <c r="L630" s="5">
        <f>3356 / 86400</f>
        <v>3.8842592592592595E-2</v>
      </c>
    </row>
    <row r="631" spans="1:12" x14ac:dyDescent="0.25">
      <c r="A631" s="3">
        <v>45691.628321759257</v>
      </c>
      <c r="B631" t="s">
        <v>160</v>
      </c>
      <c r="C631" s="3">
        <v>45691.902881944443</v>
      </c>
      <c r="D631" t="s">
        <v>85</v>
      </c>
      <c r="E631" s="4">
        <v>89.201999999999074</v>
      </c>
      <c r="F631" s="4">
        <v>4103.4080000000004</v>
      </c>
      <c r="G631" s="4">
        <v>4192.6099999999997</v>
      </c>
      <c r="H631" s="5">
        <f>10839 / 86400</f>
        <v>0.12545138888888888</v>
      </c>
      <c r="I631" t="s">
        <v>34</v>
      </c>
      <c r="J631" t="s">
        <v>45</v>
      </c>
      <c r="K631" s="5">
        <f>23722 / 86400</f>
        <v>0.27456018518518521</v>
      </c>
      <c r="L631" s="5">
        <f>459 / 86400</f>
        <v>5.3125000000000004E-3</v>
      </c>
    </row>
    <row r="632" spans="1:12" x14ac:dyDescent="0.25">
      <c r="A632" s="3">
        <v>45691.908194444448</v>
      </c>
      <c r="B632" t="s">
        <v>85</v>
      </c>
      <c r="C632" s="3">
        <v>45691.915243055555</v>
      </c>
      <c r="D632" t="s">
        <v>28</v>
      </c>
      <c r="E632" s="4">
        <v>0.43500000000046568</v>
      </c>
      <c r="F632" s="4">
        <v>4192.6099999999997</v>
      </c>
      <c r="G632" s="4">
        <v>4193.0450000000001</v>
      </c>
      <c r="H632" s="5">
        <f>459 / 86400</f>
        <v>5.3125000000000004E-3</v>
      </c>
      <c r="I632" t="s">
        <v>45</v>
      </c>
      <c r="J632" t="s">
        <v>128</v>
      </c>
      <c r="K632" s="5">
        <f>609 / 86400</f>
        <v>7.0486111111111114E-3</v>
      </c>
      <c r="L632" s="5">
        <f>7322 / 86400</f>
        <v>8.4745370370370374E-2</v>
      </c>
    </row>
    <row r="633" spans="1:12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</row>
    <row r="634" spans="1:12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</row>
    <row r="635" spans="1:12" s="10" customFormat="1" ht="20.100000000000001" customHeight="1" x14ac:dyDescent="0.35">
      <c r="A635" s="12" t="s">
        <v>434</v>
      </c>
      <c r="B635" s="12"/>
      <c r="C635" s="12"/>
      <c r="D635" s="12"/>
      <c r="E635" s="12"/>
      <c r="F635" s="12"/>
      <c r="G635" s="12"/>
      <c r="H635" s="12"/>
      <c r="I635" s="12"/>
      <c r="J635" s="12"/>
    </row>
    <row r="636" spans="1:12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</row>
    <row r="637" spans="1:12" ht="30" x14ac:dyDescent="0.25">
      <c r="A637" s="2" t="s">
        <v>6</v>
      </c>
      <c r="B637" s="2" t="s">
        <v>7</v>
      </c>
      <c r="C637" s="2" t="s">
        <v>8</v>
      </c>
      <c r="D637" s="2" t="s">
        <v>9</v>
      </c>
      <c r="E637" s="2" t="s">
        <v>10</v>
      </c>
      <c r="F637" s="2" t="s">
        <v>11</v>
      </c>
      <c r="G637" s="2" t="s">
        <v>12</v>
      </c>
      <c r="H637" s="2" t="s">
        <v>13</v>
      </c>
      <c r="I637" s="2" t="s">
        <v>14</v>
      </c>
      <c r="J637" s="2" t="s">
        <v>15</v>
      </c>
      <c r="K637" s="2" t="s">
        <v>16</v>
      </c>
      <c r="L637" s="2" t="s">
        <v>17</v>
      </c>
    </row>
    <row r="638" spans="1:12" x14ac:dyDescent="0.25">
      <c r="A638" s="3">
        <v>45691.209652777776</v>
      </c>
      <c r="B638" t="s">
        <v>38</v>
      </c>
      <c r="C638" s="3">
        <v>45691.418437500004</v>
      </c>
      <c r="D638" t="s">
        <v>46</v>
      </c>
      <c r="E638" s="4">
        <v>81.498000000000005</v>
      </c>
      <c r="F638" s="4">
        <v>385259.60399999999</v>
      </c>
      <c r="G638" s="4">
        <v>385341.10200000001</v>
      </c>
      <c r="H638" s="5">
        <f>6212 / 86400</f>
        <v>7.1898148148148142E-2</v>
      </c>
      <c r="I638" t="s">
        <v>167</v>
      </c>
      <c r="J638" t="s">
        <v>40</v>
      </c>
      <c r="K638" s="5">
        <f>18038 / 86400</f>
        <v>0.20877314814814815</v>
      </c>
      <c r="L638" s="5">
        <f>18769 / 86400</f>
        <v>0.2172337962962963</v>
      </c>
    </row>
    <row r="639" spans="1:12" x14ac:dyDescent="0.25">
      <c r="A639" s="3">
        <v>45691.426018518519</v>
      </c>
      <c r="B639" t="s">
        <v>46</v>
      </c>
      <c r="C639" s="3">
        <v>45691.426423611112</v>
      </c>
      <c r="D639" t="s">
        <v>46</v>
      </c>
      <c r="E639" s="4">
        <v>2.1999999999999999E-2</v>
      </c>
      <c r="F639" s="4">
        <v>385341.10200000001</v>
      </c>
      <c r="G639" s="4">
        <v>385341.12400000001</v>
      </c>
      <c r="H639" s="5">
        <f>0 / 86400</f>
        <v>0</v>
      </c>
      <c r="I639" t="s">
        <v>32</v>
      </c>
      <c r="J639" t="s">
        <v>137</v>
      </c>
      <c r="K639" s="5">
        <f>34 / 86400</f>
        <v>3.9351851851851852E-4</v>
      </c>
      <c r="L639" s="5">
        <f>448 / 86400</f>
        <v>5.185185185185185E-3</v>
      </c>
    </row>
    <row r="640" spans="1:12" x14ac:dyDescent="0.25">
      <c r="A640" s="3">
        <v>45691.431608796294</v>
      </c>
      <c r="B640" t="s">
        <v>46</v>
      </c>
      <c r="C640" s="3">
        <v>45691.433599537035</v>
      </c>
      <c r="D640" t="s">
        <v>46</v>
      </c>
      <c r="E640" s="4">
        <v>0.216</v>
      </c>
      <c r="F640" s="4">
        <v>385341.12400000001</v>
      </c>
      <c r="G640" s="4">
        <v>385341.34</v>
      </c>
      <c r="H640" s="5">
        <f>60 / 86400</f>
        <v>6.9444444444444447E-4</v>
      </c>
      <c r="I640" t="s">
        <v>79</v>
      </c>
      <c r="J640" t="s">
        <v>136</v>
      </c>
      <c r="K640" s="5">
        <f>171 / 86400</f>
        <v>1.9791666666666668E-3</v>
      </c>
      <c r="L640" s="5">
        <f>1896 / 86400</f>
        <v>2.1944444444444444E-2</v>
      </c>
    </row>
    <row r="641" spans="1:12" x14ac:dyDescent="0.25">
      <c r="A641" s="3">
        <v>45691.455543981487</v>
      </c>
      <c r="B641" t="s">
        <v>46</v>
      </c>
      <c r="C641" s="3">
        <v>45691.458993055552</v>
      </c>
      <c r="D641" t="s">
        <v>130</v>
      </c>
      <c r="E641" s="4">
        <v>1.1990000000000001</v>
      </c>
      <c r="F641" s="4">
        <v>385341.34</v>
      </c>
      <c r="G641" s="4">
        <v>385342.53899999999</v>
      </c>
      <c r="H641" s="5">
        <f>0 / 86400</f>
        <v>0</v>
      </c>
      <c r="I641" t="s">
        <v>120</v>
      </c>
      <c r="J641" t="s">
        <v>45</v>
      </c>
      <c r="K641" s="5">
        <f>298 / 86400</f>
        <v>3.449074074074074E-3</v>
      </c>
      <c r="L641" s="5">
        <f>1884 / 86400</f>
        <v>2.1805555555555557E-2</v>
      </c>
    </row>
    <row r="642" spans="1:12" x14ac:dyDescent="0.25">
      <c r="A642" s="3">
        <v>45691.480798611112</v>
      </c>
      <c r="B642" t="s">
        <v>130</v>
      </c>
      <c r="C642" s="3">
        <v>45691.711192129631</v>
      </c>
      <c r="D642" t="s">
        <v>377</v>
      </c>
      <c r="E642" s="4">
        <v>104.738</v>
      </c>
      <c r="F642" s="4">
        <v>385342.53899999999</v>
      </c>
      <c r="G642" s="4">
        <v>385447.277</v>
      </c>
      <c r="H642" s="5">
        <f>5600 / 86400</f>
        <v>6.4814814814814811E-2</v>
      </c>
      <c r="I642" t="s">
        <v>56</v>
      </c>
      <c r="J642" t="s">
        <v>35</v>
      </c>
      <c r="K642" s="5">
        <f>19906 / 86400</f>
        <v>0.23039351851851853</v>
      </c>
      <c r="L642" s="5">
        <f>377 / 86400</f>
        <v>4.363425925925926E-3</v>
      </c>
    </row>
    <row r="643" spans="1:12" x14ac:dyDescent="0.25">
      <c r="A643" s="3">
        <v>45691.715555555551</v>
      </c>
      <c r="B643" t="s">
        <v>377</v>
      </c>
      <c r="C643" s="3">
        <v>45691.718692129631</v>
      </c>
      <c r="D643" t="s">
        <v>38</v>
      </c>
      <c r="E643" s="4">
        <v>1.3959999999999999</v>
      </c>
      <c r="F643" s="4">
        <v>385447.277</v>
      </c>
      <c r="G643" s="4">
        <v>385448.67300000001</v>
      </c>
      <c r="H643" s="5">
        <f>20 / 86400</f>
        <v>2.3148148148148149E-4</v>
      </c>
      <c r="I643" t="s">
        <v>61</v>
      </c>
      <c r="J643" t="s">
        <v>35</v>
      </c>
      <c r="K643" s="5">
        <f>271 / 86400</f>
        <v>3.1365740740740742E-3</v>
      </c>
      <c r="L643" s="5">
        <f>24304 / 86400</f>
        <v>0.28129629629629632</v>
      </c>
    </row>
    <row r="644" spans="1:12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</row>
    <row r="645" spans="1:12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</row>
    <row r="646" spans="1:12" s="10" customFormat="1" ht="20.100000000000001" customHeight="1" x14ac:dyDescent="0.35">
      <c r="A646" s="12" t="s">
        <v>435</v>
      </c>
      <c r="B646" s="12"/>
      <c r="C646" s="12"/>
      <c r="D646" s="12"/>
      <c r="E646" s="12"/>
      <c r="F646" s="12"/>
      <c r="G646" s="12"/>
      <c r="H646" s="12"/>
      <c r="I646" s="12"/>
      <c r="J646" s="12"/>
    </row>
    <row r="647" spans="1:12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</row>
    <row r="648" spans="1:12" ht="30" x14ac:dyDescent="0.25">
      <c r="A648" s="2" t="s">
        <v>6</v>
      </c>
      <c r="B648" s="2" t="s">
        <v>7</v>
      </c>
      <c r="C648" s="2" t="s">
        <v>8</v>
      </c>
      <c r="D648" s="2" t="s">
        <v>9</v>
      </c>
      <c r="E648" s="2" t="s">
        <v>10</v>
      </c>
      <c r="F648" s="2" t="s">
        <v>11</v>
      </c>
      <c r="G648" s="2" t="s">
        <v>12</v>
      </c>
      <c r="H648" s="2" t="s">
        <v>13</v>
      </c>
      <c r="I648" s="2" t="s">
        <v>14</v>
      </c>
      <c r="J648" s="2" t="s">
        <v>15</v>
      </c>
      <c r="K648" s="2" t="s">
        <v>16</v>
      </c>
      <c r="L648" s="2" t="s">
        <v>17</v>
      </c>
    </row>
    <row r="649" spans="1:12" x14ac:dyDescent="0.25">
      <c r="A649" s="3">
        <v>45691.290960648148</v>
      </c>
      <c r="B649" t="s">
        <v>60</v>
      </c>
      <c r="C649" s="3">
        <v>45691.295416666668</v>
      </c>
      <c r="D649" t="s">
        <v>378</v>
      </c>
      <c r="E649" s="4">
        <v>0.54800000000000004</v>
      </c>
      <c r="F649" s="4">
        <v>391072.571</v>
      </c>
      <c r="G649" s="4">
        <v>391073.11900000001</v>
      </c>
      <c r="H649" s="5">
        <f>239 / 86400</f>
        <v>2.7662037037037039E-3</v>
      </c>
      <c r="I649" t="s">
        <v>172</v>
      </c>
      <c r="J649" t="s">
        <v>136</v>
      </c>
      <c r="K649" s="5">
        <f>384 / 86400</f>
        <v>4.4444444444444444E-3</v>
      </c>
      <c r="L649" s="5">
        <f>26442 / 86400</f>
        <v>0.30604166666666666</v>
      </c>
    </row>
    <row r="650" spans="1:12" x14ac:dyDescent="0.25">
      <c r="A650" s="3">
        <v>45691.31049768519</v>
      </c>
      <c r="B650" t="s">
        <v>378</v>
      </c>
      <c r="C650" s="3">
        <v>45691.31459490741</v>
      </c>
      <c r="D650" t="s">
        <v>60</v>
      </c>
      <c r="E650" s="4">
        <v>0.58599999999999997</v>
      </c>
      <c r="F650" s="4">
        <v>391073.11900000001</v>
      </c>
      <c r="G650" s="4">
        <v>391073.70500000002</v>
      </c>
      <c r="H650" s="5">
        <f>212 / 86400</f>
        <v>2.4537037037037036E-3</v>
      </c>
      <c r="I650" t="s">
        <v>61</v>
      </c>
      <c r="J650" t="s">
        <v>32</v>
      </c>
      <c r="K650" s="5">
        <f>353 / 86400</f>
        <v>4.0856481481481481E-3</v>
      </c>
      <c r="L650" s="5">
        <f>313 / 86400</f>
        <v>3.6226851851851854E-3</v>
      </c>
    </row>
    <row r="651" spans="1:12" x14ac:dyDescent="0.25">
      <c r="A651" s="3">
        <v>45691.31821759259</v>
      </c>
      <c r="B651" t="s">
        <v>60</v>
      </c>
      <c r="C651" s="3">
        <v>45691.318749999999</v>
      </c>
      <c r="D651" t="s">
        <v>60</v>
      </c>
      <c r="E651" s="4">
        <v>8.0000000000000002E-3</v>
      </c>
      <c r="F651" s="4">
        <v>391073.70500000002</v>
      </c>
      <c r="G651" s="4">
        <v>391073.71299999999</v>
      </c>
      <c r="H651" s="5">
        <f>39 / 86400</f>
        <v>4.5138888888888887E-4</v>
      </c>
      <c r="I651" t="s">
        <v>33</v>
      </c>
      <c r="J651" t="s">
        <v>62</v>
      </c>
      <c r="K651" s="5">
        <f>45 / 86400</f>
        <v>5.2083333333333333E-4</v>
      </c>
      <c r="L651" s="5">
        <f>20 / 86400</f>
        <v>2.3148148148148149E-4</v>
      </c>
    </row>
    <row r="652" spans="1:12" x14ac:dyDescent="0.25">
      <c r="A652" s="3">
        <v>45691.318981481483</v>
      </c>
      <c r="B652" t="s">
        <v>60</v>
      </c>
      <c r="C652" s="3">
        <v>45691.31931712963</v>
      </c>
      <c r="D652" t="s">
        <v>60</v>
      </c>
      <c r="E652" s="4">
        <v>1E-3</v>
      </c>
      <c r="F652" s="4">
        <v>391073.71299999999</v>
      </c>
      <c r="G652" s="4">
        <v>391073.71399999998</v>
      </c>
      <c r="H652" s="5">
        <f>19 / 86400</f>
        <v>2.199074074074074E-4</v>
      </c>
      <c r="I652" t="s">
        <v>33</v>
      </c>
      <c r="J652" t="s">
        <v>33</v>
      </c>
      <c r="K652" s="5">
        <f>28 / 86400</f>
        <v>3.2407407407407406E-4</v>
      </c>
      <c r="L652" s="5">
        <f>37198 / 86400</f>
        <v>0.43053240740740739</v>
      </c>
    </row>
    <row r="653" spans="1:12" x14ac:dyDescent="0.25">
      <c r="A653" s="3">
        <v>45691.749849537038</v>
      </c>
      <c r="B653" t="s">
        <v>60</v>
      </c>
      <c r="C653" s="3">
        <v>45691.751620370371</v>
      </c>
      <c r="D653" t="s">
        <v>60</v>
      </c>
      <c r="E653" s="4">
        <v>0</v>
      </c>
      <c r="F653" s="4">
        <v>391073.71399999998</v>
      </c>
      <c r="G653" s="4">
        <v>391073.71399999998</v>
      </c>
      <c r="H653" s="5">
        <f>139 / 86400</f>
        <v>1.6087962962962963E-3</v>
      </c>
      <c r="I653" t="s">
        <v>33</v>
      </c>
      <c r="J653" t="s">
        <v>33</v>
      </c>
      <c r="K653" s="5">
        <f>152 / 86400</f>
        <v>1.7592592592592592E-3</v>
      </c>
      <c r="L653" s="5">
        <f>4 / 86400</f>
        <v>4.6296296296296294E-5</v>
      </c>
    </row>
    <row r="654" spans="1:12" x14ac:dyDescent="0.25">
      <c r="A654" s="3">
        <v>45691.751666666663</v>
      </c>
      <c r="B654" t="s">
        <v>60</v>
      </c>
      <c r="C654" s="3">
        <v>45691.819282407407</v>
      </c>
      <c r="D654" t="s">
        <v>60</v>
      </c>
      <c r="E654" s="4">
        <v>0</v>
      </c>
      <c r="F654" s="4">
        <v>391073.71399999998</v>
      </c>
      <c r="G654" s="4">
        <v>391073.71399999998</v>
      </c>
      <c r="H654" s="5">
        <f>5823 / 86400</f>
        <v>6.7395833333333335E-2</v>
      </c>
      <c r="I654" t="s">
        <v>33</v>
      </c>
      <c r="J654" t="s">
        <v>33</v>
      </c>
      <c r="K654" s="5">
        <f>5842 / 86400</f>
        <v>6.761574074074074E-2</v>
      </c>
      <c r="L654" s="5">
        <f>15613 / 86400</f>
        <v>0.18070601851851853</v>
      </c>
    </row>
    <row r="655" spans="1:12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</row>
    <row r="656" spans="1:12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</row>
    <row r="657" spans="1:12" s="10" customFormat="1" ht="20.100000000000001" customHeight="1" x14ac:dyDescent="0.35">
      <c r="A657" s="12" t="s">
        <v>436</v>
      </c>
      <c r="B657" s="12"/>
      <c r="C657" s="12"/>
      <c r="D657" s="12"/>
      <c r="E657" s="12"/>
      <c r="F657" s="12"/>
      <c r="G657" s="12"/>
      <c r="H657" s="12"/>
      <c r="I657" s="12"/>
      <c r="J657" s="12"/>
    </row>
    <row r="658" spans="1:12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</row>
    <row r="659" spans="1:12" ht="30" x14ac:dyDescent="0.25">
      <c r="A659" s="2" t="s">
        <v>6</v>
      </c>
      <c r="B659" s="2" t="s">
        <v>7</v>
      </c>
      <c r="C659" s="2" t="s">
        <v>8</v>
      </c>
      <c r="D659" s="2" t="s">
        <v>9</v>
      </c>
      <c r="E659" s="2" t="s">
        <v>10</v>
      </c>
      <c r="F659" s="2" t="s">
        <v>11</v>
      </c>
      <c r="G659" s="2" t="s">
        <v>12</v>
      </c>
      <c r="H659" s="2" t="s">
        <v>13</v>
      </c>
      <c r="I659" s="2" t="s">
        <v>14</v>
      </c>
      <c r="J659" s="2" t="s">
        <v>15</v>
      </c>
      <c r="K659" s="2" t="s">
        <v>16</v>
      </c>
      <c r="L659" s="2" t="s">
        <v>17</v>
      </c>
    </row>
    <row r="660" spans="1:12" x14ac:dyDescent="0.25">
      <c r="A660" s="3">
        <v>45691.147141203706</v>
      </c>
      <c r="B660" t="s">
        <v>63</v>
      </c>
      <c r="C660" s="3">
        <v>45691.302164351851</v>
      </c>
      <c r="D660" t="s">
        <v>130</v>
      </c>
      <c r="E660" s="4">
        <v>80.884</v>
      </c>
      <c r="F660" s="4">
        <v>521124.43400000001</v>
      </c>
      <c r="G660" s="4">
        <v>521205.31800000003</v>
      </c>
      <c r="H660" s="5">
        <f>3539 / 86400</f>
        <v>4.0960648148148149E-2</v>
      </c>
      <c r="I660" t="s">
        <v>57</v>
      </c>
      <c r="J660" t="s">
        <v>24</v>
      </c>
      <c r="K660" s="5">
        <f>13393 / 86400</f>
        <v>0.15501157407407407</v>
      </c>
      <c r="L660" s="5">
        <f>13895 / 86400</f>
        <v>0.16082175925925926</v>
      </c>
    </row>
    <row r="661" spans="1:12" x14ac:dyDescent="0.25">
      <c r="A661" s="3">
        <v>45691.315844907411</v>
      </c>
      <c r="B661" t="s">
        <v>130</v>
      </c>
      <c r="C661" s="3">
        <v>45691.435428240744</v>
      </c>
      <c r="D661" t="s">
        <v>365</v>
      </c>
      <c r="E661" s="4">
        <v>50.898000000000003</v>
      </c>
      <c r="F661" s="4">
        <v>521205.31800000003</v>
      </c>
      <c r="G661" s="4">
        <v>521256.21600000001</v>
      </c>
      <c r="H661" s="5">
        <f>3361 / 86400</f>
        <v>3.8900462962962963E-2</v>
      </c>
      <c r="I661" t="s">
        <v>23</v>
      </c>
      <c r="J661" t="s">
        <v>20</v>
      </c>
      <c r="K661" s="5">
        <f>10331 / 86400</f>
        <v>0.11957175925925925</v>
      </c>
      <c r="L661" s="5">
        <f>497 / 86400</f>
        <v>5.7523148148148151E-3</v>
      </c>
    </row>
    <row r="662" spans="1:12" x14ac:dyDescent="0.25">
      <c r="A662" s="3">
        <v>45691.441180555557</v>
      </c>
      <c r="B662" t="s">
        <v>365</v>
      </c>
      <c r="C662" s="3">
        <v>45691.551805555559</v>
      </c>
      <c r="D662" t="s">
        <v>302</v>
      </c>
      <c r="E662" s="4">
        <v>44.834000000000003</v>
      </c>
      <c r="F662" s="4">
        <v>521256.21600000001</v>
      </c>
      <c r="G662" s="4">
        <v>521301.05</v>
      </c>
      <c r="H662" s="5">
        <f>2759 / 86400</f>
        <v>3.1932870370370368E-2</v>
      </c>
      <c r="I662" t="s">
        <v>29</v>
      </c>
      <c r="J662" t="s">
        <v>47</v>
      </c>
      <c r="K662" s="5">
        <f>9557 / 86400</f>
        <v>0.11061342592592592</v>
      </c>
      <c r="L662" s="5">
        <f>17 / 86400</f>
        <v>1.9675925925925926E-4</v>
      </c>
    </row>
    <row r="663" spans="1:12" x14ac:dyDescent="0.25">
      <c r="A663" s="3">
        <v>45691.552002314813</v>
      </c>
      <c r="B663" t="s">
        <v>302</v>
      </c>
      <c r="C663" s="3">
        <v>45691.553483796291</v>
      </c>
      <c r="D663" t="s">
        <v>293</v>
      </c>
      <c r="E663" s="4">
        <v>0.48799999999999999</v>
      </c>
      <c r="F663" s="4">
        <v>521301.05</v>
      </c>
      <c r="G663" s="4">
        <v>521301.538</v>
      </c>
      <c r="H663" s="5">
        <f>20 / 86400</f>
        <v>2.3148148148148149E-4</v>
      </c>
      <c r="I663" t="s">
        <v>165</v>
      </c>
      <c r="J663" t="s">
        <v>45</v>
      </c>
      <c r="K663" s="5">
        <f>128 / 86400</f>
        <v>1.4814814814814814E-3</v>
      </c>
      <c r="L663" s="5">
        <f>20 / 86400</f>
        <v>2.3148148148148149E-4</v>
      </c>
    </row>
    <row r="664" spans="1:12" x14ac:dyDescent="0.25">
      <c r="A664" s="3">
        <v>45691.553715277776</v>
      </c>
      <c r="B664" t="s">
        <v>293</v>
      </c>
      <c r="C664" s="3">
        <v>45691.567546296297</v>
      </c>
      <c r="D664" t="s">
        <v>127</v>
      </c>
      <c r="E664" s="4">
        <v>4.9420000000000002</v>
      </c>
      <c r="F664" s="4">
        <v>521301.538</v>
      </c>
      <c r="G664" s="4">
        <v>521306.48</v>
      </c>
      <c r="H664" s="5">
        <f>360 / 86400</f>
        <v>4.1666666666666666E-3</v>
      </c>
      <c r="I664" t="s">
        <v>188</v>
      </c>
      <c r="J664" t="s">
        <v>30</v>
      </c>
      <c r="K664" s="5">
        <f>1195 / 86400</f>
        <v>1.3831018518518519E-2</v>
      </c>
      <c r="L664" s="5">
        <f>622 / 86400</f>
        <v>7.1990740740740739E-3</v>
      </c>
    </row>
    <row r="665" spans="1:12" x14ac:dyDescent="0.25">
      <c r="A665" s="3">
        <v>45691.574745370366</v>
      </c>
      <c r="B665" t="s">
        <v>127</v>
      </c>
      <c r="C665" s="3">
        <v>45691.57534722222</v>
      </c>
      <c r="D665" t="s">
        <v>127</v>
      </c>
      <c r="E665" s="4">
        <v>0.02</v>
      </c>
      <c r="F665" s="4">
        <v>521306.48</v>
      </c>
      <c r="G665" s="4">
        <v>521306.5</v>
      </c>
      <c r="H665" s="5">
        <f>19 / 86400</f>
        <v>2.199074074074074E-4</v>
      </c>
      <c r="I665" t="s">
        <v>136</v>
      </c>
      <c r="J665" t="s">
        <v>62</v>
      </c>
      <c r="K665" s="5">
        <f>51 / 86400</f>
        <v>5.9027777777777778E-4</v>
      </c>
      <c r="L665" s="5">
        <f>1687 / 86400</f>
        <v>1.9525462962962963E-2</v>
      </c>
    </row>
    <row r="666" spans="1:12" x14ac:dyDescent="0.25">
      <c r="A666" s="3">
        <v>45691.594872685186</v>
      </c>
      <c r="B666" t="s">
        <v>127</v>
      </c>
      <c r="C666" s="3">
        <v>45691.59510416667</v>
      </c>
      <c r="D666" t="s">
        <v>127</v>
      </c>
      <c r="E666" s="4">
        <v>0</v>
      </c>
      <c r="F666" s="4">
        <v>521306.5</v>
      </c>
      <c r="G666" s="4">
        <v>521306.5</v>
      </c>
      <c r="H666" s="5">
        <f>0 / 86400</f>
        <v>0</v>
      </c>
      <c r="I666" t="s">
        <v>33</v>
      </c>
      <c r="J666" t="s">
        <v>33</v>
      </c>
      <c r="K666" s="5">
        <f>19 / 86400</f>
        <v>2.199074074074074E-4</v>
      </c>
      <c r="L666" s="5">
        <f>162 / 86400</f>
        <v>1.8749999999999999E-3</v>
      </c>
    </row>
    <row r="667" spans="1:12" x14ac:dyDescent="0.25">
      <c r="A667" s="3">
        <v>45691.596979166672</v>
      </c>
      <c r="B667" t="s">
        <v>127</v>
      </c>
      <c r="C667" s="3">
        <v>45691.600081018521</v>
      </c>
      <c r="D667" t="s">
        <v>127</v>
      </c>
      <c r="E667" s="4">
        <v>0.17799999999999999</v>
      </c>
      <c r="F667" s="4">
        <v>521306.5</v>
      </c>
      <c r="G667" s="4">
        <v>521306.67800000001</v>
      </c>
      <c r="H667" s="5">
        <f>139 / 86400</f>
        <v>1.6087962962962963E-3</v>
      </c>
      <c r="I667" t="s">
        <v>30</v>
      </c>
      <c r="J667" t="s">
        <v>137</v>
      </c>
      <c r="K667" s="5">
        <f>268 / 86400</f>
        <v>3.1018518518518517E-3</v>
      </c>
      <c r="L667" s="5">
        <f>328 / 86400</f>
        <v>3.7962962962962963E-3</v>
      </c>
    </row>
    <row r="668" spans="1:12" x14ac:dyDescent="0.25">
      <c r="A668" s="3">
        <v>45691.603877314818</v>
      </c>
      <c r="B668" t="s">
        <v>127</v>
      </c>
      <c r="C668" s="3">
        <v>45691.649548611109</v>
      </c>
      <c r="D668" t="s">
        <v>150</v>
      </c>
      <c r="E668" s="4">
        <v>26.617000000000001</v>
      </c>
      <c r="F668" s="4">
        <v>521306.67800000001</v>
      </c>
      <c r="G668" s="4">
        <v>521333.29499999998</v>
      </c>
      <c r="H668" s="5">
        <f>500 / 86400</f>
        <v>5.7870370370370367E-3</v>
      </c>
      <c r="I668" t="s">
        <v>167</v>
      </c>
      <c r="J668" t="s">
        <v>135</v>
      </c>
      <c r="K668" s="5">
        <f>3945 / 86400</f>
        <v>4.565972222222222E-2</v>
      </c>
      <c r="L668" s="5">
        <f>516 / 86400</f>
        <v>5.9722222222222225E-3</v>
      </c>
    </row>
    <row r="669" spans="1:12" x14ac:dyDescent="0.25">
      <c r="A669" s="3">
        <v>45691.65552083333</v>
      </c>
      <c r="B669" t="s">
        <v>150</v>
      </c>
      <c r="C669" s="3">
        <v>45691.663553240738</v>
      </c>
      <c r="D669" t="s">
        <v>379</v>
      </c>
      <c r="E669" s="4">
        <v>1.6779999999999999</v>
      </c>
      <c r="F669" s="4">
        <v>521333.29499999998</v>
      </c>
      <c r="G669" s="4">
        <v>521334.973</v>
      </c>
      <c r="H669" s="5">
        <f>400 / 86400</f>
        <v>4.6296296296296294E-3</v>
      </c>
      <c r="I669" t="s">
        <v>248</v>
      </c>
      <c r="J669" t="s">
        <v>79</v>
      </c>
      <c r="K669" s="5">
        <f>694 / 86400</f>
        <v>8.0324074074074082E-3</v>
      </c>
      <c r="L669" s="5">
        <f>4805 / 86400</f>
        <v>5.5613425925925927E-2</v>
      </c>
    </row>
    <row r="670" spans="1:12" x14ac:dyDescent="0.25">
      <c r="A670" s="3">
        <v>45691.719166666662</v>
      </c>
      <c r="B670" t="s">
        <v>379</v>
      </c>
      <c r="C670" s="3">
        <v>45691.721504629633</v>
      </c>
      <c r="D670" t="s">
        <v>63</v>
      </c>
      <c r="E670" s="4">
        <v>0.41599999999999998</v>
      </c>
      <c r="F670" s="4">
        <v>521334.973</v>
      </c>
      <c r="G670" s="4">
        <v>521335.38900000002</v>
      </c>
      <c r="H670" s="5">
        <f>40 / 86400</f>
        <v>4.6296296296296298E-4</v>
      </c>
      <c r="I670" t="s">
        <v>35</v>
      </c>
      <c r="J670" t="s">
        <v>76</v>
      </c>
      <c r="K670" s="5">
        <f>201 / 86400</f>
        <v>2.3263888888888887E-3</v>
      </c>
      <c r="L670" s="5">
        <f>24061 / 86400</f>
        <v>0.27848379629629627</v>
      </c>
    </row>
    <row r="671" spans="1:12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</row>
    <row r="672" spans="1:12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</row>
    <row r="673" spans="1:12" s="10" customFormat="1" ht="20.100000000000001" customHeight="1" x14ac:dyDescent="0.35">
      <c r="A673" s="12" t="s">
        <v>437</v>
      </c>
      <c r="B673" s="12"/>
      <c r="C673" s="12"/>
      <c r="D673" s="12"/>
      <c r="E673" s="12"/>
      <c r="F673" s="12"/>
      <c r="G673" s="12"/>
      <c r="H673" s="12"/>
      <c r="I673" s="12"/>
      <c r="J673" s="12"/>
    </row>
    <row r="674" spans="1:12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</row>
    <row r="675" spans="1:12" ht="30" x14ac:dyDescent="0.25">
      <c r="A675" s="2" t="s">
        <v>6</v>
      </c>
      <c r="B675" s="2" t="s">
        <v>7</v>
      </c>
      <c r="C675" s="2" t="s">
        <v>8</v>
      </c>
      <c r="D675" s="2" t="s">
        <v>9</v>
      </c>
      <c r="E675" s="2" t="s">
        <v>10</v>
      </c>
      <c r="F675" s="2" t="s">
        <v>11</v>
      </c>
      <c r="G675" s="2" t="s">
        <v>12</v>
      </c>
      <c r="H675" s="2" t="s">
        <v>13</v>
      </c>
      <c r="I675" s="2" t="s">
        <v>14</v>
      </c>
      <c r="J675" s="2" t="s">
        <v>15</v>
      </c>
      <c r="K675" s="2" t="s">
        <v>16</v>
      </c>
      <c r="L675" s="2" t="s">
        <v>17</v>
      </c>
    </row>
    <row r="676" spans="1:12" x14ac:dyDescent="0.25">
      <c r="A676" s="3">
        <v>45691.387430555551</v>
      </c>
      <c r="B676" t="s">
        <v>64</v>
      </c>
      <c r="C676" s="3">
        <v>45691.389722222222</v>
      </c>
      <c r="D676" t="s">
        <v>64</v>
      </c>
      <c r="E676" s="4">
        <v>0</v>
      </c>
      <c r="F676" s="4">
        <v>410010.00400000002</v>
      </c>
      <c r="G676" s="4">
        <v>410010.00400000002</v>
      </c>
      <c r="H676" s="5">
        <f>179 / 86400</f>
        <v>2.0717592592592593E-3</v>
      </c>
      <c r="I676" t="s">
        <v>33</v>
      </c>
      <c r="J676" t="s">
        <v>33</v>
      </c>
      <c r="K676" s="5">
        <f>198 / 86400</f>
        <v>2.2916666666666667E-3</v>
      </c>
      <c r="L676" s="5">
        <f>33497 / 86400</f>
        <v>0.38769675925925928</v>
      </c>
    </row>
    <row r="677" spans="1:12" x14ac:dyDescent="0.25">
      <c r="A677" s="3">
        <v>45691.38998842593</v>
      </c>
      <c r="B677" t="s">
        <v>64</v>
      </c>
      <c r="C677" s="3">
        <v>45691.400393518517</v>
      </c>
      <c r="D677" t="s">
        <v>280</v>
      </c>
      <c r="E677" s="4">
        <v>3.2050000000000001</v>
      </c>
      <c r="F677" s="4">
        <v>410010.00400000002</v>
      </c>
      <c r="G677" s="4">
        <v>410013.20899999997</v>
      </c>
      <c r="H677" s="5">
        <f>299 / 86400</f>
        <v>3.460648148148148E-3</v>
      </c>
      <c r="I677" t="s">
        <v>254</v>
      </c>
      <c r="J677" t="s">
        <v>59</v>
      </c>
      <c r="K677" s="5">
        <f>898 / 86400</f>
        <v>1.0393518518518519E-2</v>
      </c>
      <c r="L677" s="5">
        <f>676 / 86400</f>
        <v>7.8240740740740736E-3</v>
      </c>
    </row>
    <row r="678" spans="1:12" x14ac:dyDescent="0.25">
      <c r="A678" s="3">
        <v>45691.408217592594</v>
      </c>
      <c r="B678" t="s">
        <v>280</v>
      </c>
      <c r="C678" s="3">
        <v>45691.465590277774</v>
      </c>
      <c r="D678" t="s">
        <v>127</v>
      </c>
      <c r="E678" s="4">
        <v>22.768000000000001</v>
      </c>
      <c r="F678" s="4">
        <v>410013.20899999997</v>
      </c>
      <c r="G678" s="4">
        <v>410035.97700000001</v>
      </c>
      <c r="H678" s="5">
        <f>1860 / 86400</f>
        <v>2.1527777777777778E-2</v>
      </c>
      <c r="I678" t="s">
        <v>339</v>
      </c>
      <c r="J678" t="s">
        <v>47</v>
      </c>
      <c r="K678" s="5">
        <f>4956 / 86400</f>
        <v>5.7361111111111113E-2</v>
      </c>
      <c r="L678" s="5">
        <f>627 / 86400</f>
        <v>7.2569444444444443E-3</v>
      </c>
    </row>
    <row r="679" spans="1:12" x14ac:dyDescent="0.25">
      <c r="A679" s="3">
        <v>45691.47284722222</v>
      </c>
      <c r="B679" t="s">
        <v>127</v>
      </c>
      <c r="C679" s="3">
        <v>45691.476331018523</v>
      </c>
      <c r="D679" t="s">
        <v>46</v>
      </c>
      <c r="E679" s="4">
        <v>0.85499999999999998</v>
      </c>
      <c r="F679" s="4">
        <v>410035.97700000001</v>
      </c>
      <c r="G679" s="4">
        <v>410036.83199999999</v>
      </c>
      <c r="H679" s="5">
        <f>100 / 86400</f>
        <v>1.1574074074074073E-3</v>
      </c>
      <c r="I679" t="s">
        <v>61</v>
      </c>
      <c r="J679" t="s">
        <v>156</v>
      </c>
      <c r="K679" s="5">
        <f>300 / 86400</f>
        <v>3.472222222222222E-3</v>
      </c>
      <c r="L679" s="5">
        <f>4152 / 86400</f>
        <v>4.8055555555555553E-2</v>
      </c>
    </row>
    <row r="680" spans="1:12" x14ac:dyDescent="0.25">
      <c r="A680" s="3">
        <v>45691.524386574078</v>
      </c>
      <c r="B680" t="s">
        <v>46</v>
      </c>
      <c r="C680" s="3">
        <v>45691.52851851852</v>
      </c>
      <c r="D680" t="s">
        <v>127</v>
      </c>
      <c r="E680" s="4">
        <v>0.67</v>
      </c>
      <c r="F680" s="4">
        <v>410036.83199999999</v>
      </c>
      <c r="G680" s="4">
        <v>410037.50199999998</v>
      </c>
      <c r="H680" s="5">
        <f>179 / 86400</f>
        <v>2.0717592592592593E-3</v>
      </c>
      <c r="I680" t="s">
        <v>176</v>
      </c>
      <c r="J680" t="s">
        <v>76</v>
      </c>
      <c r="K680" s="5">
        <f>356 / 86400</f>
        <v>4.1203703703703706E-3</v>
      </c>
      <c r="L680" s="5">
        <f>146 / 86400</f>
        <v>1.6898148148148148E-3</v>
      </c>
    </row>
    <row r="681" spans="1:12" x14ac:dyDescent="0.25">
      <c r="A681" s="3">
        <v>45691.530208333337</v>
      </c>
      <c r="B681" t="s">
        <v>127</v>
      </c>
      <c r="C681" s="3">
        <v>45691.531412037039</v>
      </c>
      <c r="D681" t="s">
        <v>127</v>
      </c>
      <c r="E681" s="4">
        <v>0.24299999999999999</v>
      </c>
      <c r="F681" s="4">
        <v>410037.50199999998</v>
      </c>
      <c r="G681" s="4">
        <v>410037.745</v>
      </c>
      <c r="H681" s="5">
        <f>0 / 86400</f>
        <v>0</v>
      </c>
      <c r="I681" t="s">
        <v>30</v>
      </c>
      <c r="J681" t="s">
        <v>151</v>
      </c>
      <c r="K681" s="5">
        <f>104 / 86400</f>
        <v>1.2037037037037038E-3</v>
      </c>
      <c r="L681" s="5">
        <f>2038 / 86400</f>
        <v>2.3587962962962963E-2</v>
      </c>
    </row>
    <row r="682" spans="1:12" x14ac:dyDescent="0.25">
      <c r="A682" s="3">
        <v>45691.555</v>
      </c>
      <c r="B682" t="s">
        <v>127</v>
      </c>
      <c r="C682" s="3">
        <v>45691.785277777773</v>
      </c>
      <c r="D682" t="s">
        <v>160</v>
      </c>
      <c r="E682" s="4">
        <v>94.162000000000006</v>
      </c>
      <c r="F682" s="4">
        <v>410037.745</v>
      </c>
      <c r="G682" s="4">
        <v>410131.90700000001</v>
      </c>
      <c r="H682" s="5">
        <f>5678 / 86400</f>
        <v>6.5717592592592591E-2</v>
      </c>
      <c r="I682" t="s">
        <v>66</v>
      </c>
      <c r="J682" t="s">
        <v>47</v>
      </c>
      <c r="K682" s="5">
        <f>19896 / 86400</f>
        <v>0.23027777777777778</v>
      </c>
      <c r="L682" s="5">
        <f>1137 / 86400</f>
        <v>1.3159722222222222E-2</v>
      </c>
    </row>
    <row r="683" spans="1:12" x14ac:dyDescent="0.25">
      <c r="A683" s="3">
        <v>45691.798437500001</v>
      </c>
      <c r="B683" t="s">
        <v>380</v>
      </c>
      <c r="C683" s="3">
        <v>45691.8043287037</v>
      </c>
      <c r="D683" t="s">
        <v>127</v>
      </c>
      <c r="E683" s="4">
        <v>0.59699999999999998</v>
      </c>
      <c r="F683" s="4">
        <v>410131.90700000001</v>
      </c>
      <c r="G683" s="4">
        <v>410132.50400000002</v>
      </c>
      <c r="H683" s="5">
        <f>379 / 86400</f>
        <v>4.386574074074074E-3</v>
      </c>
      <c r="I683" t="s">
        <v>170</v>
      </c>
      <c r="J683" t="s">
        <v>132</v>
      </c>
      <c r="K683" s="5">
        <f>508 / 86400</f>
        <v>5.8796296296296296E-3</v>
      </c>
      <c r="L683" s="5">
        <f>365 / 86400</f>
        <v>4.2245370370370371E-3</v>
      </c>
    </row>
    <row r="684" spans="1:12" x14ac:dyDescent="0.25">
      <c r="A684" s="3">
        <v>45691.808553240742</v>
      </c>
      <c r="B684" t="s">
        <v>127</v>
      </c>
      <c r="C684" s="3">
        <v>45691.809548611112</v>
      </c>
      <c r="D684" t="s">
        <v>152</v>
      </c>
      <c r="E684" s="4">
        <v>0.22800000000000001</v>
      </c>
      <c r="F684" s="4">
        <v>410132.50400000002</v>
      </c>
      <c r="G684" s="4">
        <v>410132.73200000002</v>
      </c>
      <c r="H684" s="5">
        <f>0 / 86400</f>
        <v>0</v>
      </c>
      <c r="I684" t="s">
        <v>75</v>
      </c>
      <c r="J684" t="s">
        <v>156</v>
      </c>
      <c r="K684" s="5">
        <f>85 / 86400</f>
        <v>9.837962962962962E-4</v>
      </c>
      <c r="L684" s="5">
        <f>323 / 86400</f>
        <v>3.7384259259259259E-3</v>
      </c>
    </row>
    <row r="685" spans="1:12" x14ac:dyDescent="0.25">
      <c r="A685" s="3">
        <v>45691.813287037032</v>
      </c>
      <c r="B685" t="s">
        <v>152</v>
      </c>
      <c r="C685" s="3">
        <v>45691.931006944447</v>
      </c>
      <c r="D685" t="s">
        <v>365</v>
      </c>
      <c r="E685" s="4">
        <v>50.631999999999998</v>
      </c>
      <c r="F685" s="4">
        <v>410132.73200000002</v>
      </c>
      <c r="G685" s="4">
        <v>410183.364</v>
      </c>
      <c r="H685" s="5">
        <f>2888 / 86400</f>
        <v>3.3425925925925928E-2</v>
      </c>
      <c r="I685" t="s">
        <v>164</v>
      </c>
      <c r="J685" t="s">
        <v>20</v>
      </c>
      <c r="K685" s="5">
        <f>10170 / 86400</f>
        <v>0.11770833333333333</v>
      </c>
      <c r="L685" s="5">
        <f>244 / 86400</f>
        <v>2.8240740740740739E-3</v>
      </c>
    </row>
    <row r="686" spans="1:12" x14ac:dyDescent="0.25">
      <c r="A686" s="3">
        <v>45691.933831018519</v>
      </c>
      <c r="B686" t="s">
        <v>365</v>
      </c>
      <c r="C686" s="3">
        <v>45691.99998842593</v>
      </c>
      <c r="D686" t="s">
        <v>65</v>
      </c>
      <c r="E686" s="4">
        <v>31.565000000000001</v>
      </c>
      <c r="F686" s="4">
        <v>410183.364</v>
      </c>
      <c r="G686" s="4">
        <v>410214.929</v>
      </c>
      <c r="H686" s="5">
        <f>759 / 86400</f>
        <v>8.7847222222222215E-3</v>
      </c>
      <c r="I686" t="s">
        <v>245</v>
      </c>
      <c r="J686" t="s">
        <v>75</v>
      </c>
      <c r="K686" s="5">
        <f>5716 / 86400</f>
        <v>6.6157407407407401E-2</v>
      </c>
      <c r="L686" s="5">
        <f>0 / 86400</f>
        <v>0</v>
      </c>
    </row>
    <row r="687" spans="1:12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</row>
    <row r="688" spans="1:12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</row>
    <row r="689" spans="1:12" s="10" customFormat="1" ht="20.100000000000001" customHeight="1" x14ac:dyDescent="0.35">
      <c r="A689" s="12" t="s">
        <v>438</v>
      </c>
      <c r="B689" s="12"/>
      <c r="C689" s="12"/>
      <c r="D689" s="12"/>
      <c r="E689" s="12"/>
      <c r="F689" s="12"/>
      <c r="G689" s="12"/>
      <c r="H689" s="12"/>
      <c r="I689" s="12"/>
      <c r="J689" s="12"/>
    </row>
    <row r="690" spans="1:12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</row>
    <row r="691" spans="1:12" ht="30" x14ac:dyDescent="0.25">
      <c r="A691" s="2" t="s">
        <v>6</v>
      </c>
      <c r="B691" s="2" t="s">
        <v>7</v>
      </c>
      <c r="C691" s="2" t="s">
        <v>8</v>
      </c>
      <c r="D691" s="2" t="s">
        <v>9</v>
      </c>
      <c r="E691" s="2" t="s">
        <v>10</v>
      </c>
      <c r="F691" s="2" t="s">
        <v>11</v>
      </c>
      <c r="G691" s="2" t="s">
        <v>12</v>
      </c>
      <c r="H691" s="2" t="s">
        <v>13</v>
      </c>
      <c r="I691" s="2" t="s">
        <v>14</v>
      </c>
      <c r="J691" s="2" t="s">
        <v>15</v>
      </c>
      <c r="K691" s="2" t="s">
        <v>16</v>
      </c>
      <c r="L691" s="2" t="s">
        <v>17</v>
      </c>
    </row>
    <row r="692" spans="1:12" x14ac:dyDescent="0.25">
      <c r="A692" s="3">
        <v>45691.254409722227</v>
      </c>
      <c r="B692" t="s">
        <v>67</v>
      </c>
      <c r="C692" s="3">
        <v>45691.378506944442</v>
      </c>
      <c r="D692" t="s">
        <v>161</v>
      </c>
      <c r="E692" s="4">
        <v>49.192999999999998</v>
      </c>
      <c r="F692" s="4">
        <v>400990.94699999999</v>
      </c>
      <c r="G692" s="4">
        <v>401040.14</v>
      </c>
      <c r="H692" s="5">
        <f>3939 / 86400</f>
        <v>4.5590277777777778E-2</v>
      </c>
      <c r="I692" t="s">
        <v>97</v>
      </c>
      <c r="J692" t="s">
        <v>47</v>
      </c>
      <c r="K692" s="5">
        <f>10721 / 86400</f>
        <v>0.12408564814814815</v>
      </c>
      <c r="L692" s="5">
        <f>25145 / 86400</f>
        <v>0.2910300925925926</v>
      </c>
    </row>
    <row r="693" spans="1:12" x14ac:dyDescent="0.25">
      <c r="A693" s="3">
        <v>45691.415127314816</v>
      </c>
      <c r="B693" t="s">
        <v>161</v>
      </c>
      <c r="C693" s="3">
        <v>45691.545023148152</v>
      </c>
      <c r="D693" t="s">
        <v>154</v>
      </c>
      <c r="E693" s="4">
        <v>50.792000000000002</v>
      </c>
      <c r="F693" s="4">
        <v>401040.14</v>
      </c>
      <c r="G693" s="4">
        <v>401090.93199999997</v>
      </c>
      <c r="H693" s="5">
        <f>3879 / 86400</f>
        <v>4.4895833333333336E-2</v>
      </c>
      <c r="I693" t="s">
        <v>129</v>
      </c>
      <c r="J693" t="s">
        <v>40</v>
      </c>
      <c r="K693" s="5">
        <f>11223 / 86400</f>
        <v>0.12989583333333332</v>
      </c>
      <c r="L693" s="5">
        <f>445 / 86400</f>
        <v>5.1504629629629626E-3</v>
      </c>
    </row>
    <row r="694" spans="1:12" x14ac:dyDescent="0.25">
      <c r="A694" s="3">
        <v>45691.550173611111</v>
      </c>
      <c r="B694" t="s">
        <v>154</v>
      </c>
      <c r="C694" s="3">
        <v>45691.55023148148</v>
      </c>
      <c r="D694" t="s">
        <v>154</v>
      </c>
      <c r="E694" s="4">
        <v>0</v>
      </c>
      <c r="F694" s="4">
        <v>401090.93199999997</v>
      </c>
      <c r="G694" s="4">
        <v>401090.93199999997</v>
      </c>
      <c r="H694" s="5">
        <f>0 / 86400</f>
        <v>0</v>
      </c>
      <c r="I694" t="s">
        <v>33</v>
      </c>
      <c r="J694" t="s">
        <v>33</v>
      </c>
      <c r="K694" s="5">
        <f>5 / 86400</f>
        <v>5.7870370370370373E-5</v>
      </c>
      <c r="L694" s="5">
        <f>11 / 86400</f>
        <v>1.273148148148148E-4</v>
      </c>
    </row>
    <row r="695" spans="1:12" x14ac:dyDescent="0.25">
      <c r="A695" s="3">
        <v>45691.550358796296</v>
      </c>
      <c r="B695" t="s">
        <v>154</v>
      </c>
      <c r="C695" s="3">
        <v>45691.553796296299</v>
      </c>
      <c r="D695" t="s">
        <v>46</v>
      </c>
      <c r="E695" s="4">
        <v>0.90800000000000003</v>
      </c>
      <c r="F695" s="4">
        <v>401090.93199999997</v>
      </c>
      <c r="G695" s="4">
        <v>401091.84000000003</v>
      </c>
      <c r="H695" s="5">
        <f>24 / 86400</f>
        <v>2.7777777777777778E-4</v>
      </c>
      <c r="I695" t="s">
        <v>257</v>
      </c>
      <c r="J695" t="s">
        <v>140</v>
      </c>
      <c r="K695" s="5">
        <f>297 / 86400</f>
        <v>3.4375E-3</v>
      </c>
      <c r="L695" s="5">
        <f>2336 / 86400</f>
        <v>2.7037037037037037E-2</v>
      </c>
    </row>
    <row r="696" spans="1:12" x14ac:dyDescent="0.25">
      <c r="A696" s="3">
        <v>45691.580833333333</v>
      </c>
      <c r="B696" t="s">
        <v>46</v>
      </c>
      <c r="C696" s="3">
        <v>45691.587488425925</v>
      </c>
      <c r="D696" t="s">
        <v>142</v>
      </c>
      <c r="E696" s="4">
        <v>1.1870000000000001</v>
      </c>
      <c r="F696" s="4">
        <v>401091.84000000003</v>
      </c>
      <c r="G696" s="4">
        <v>401093.027</v>
      </c>
      <c r="H696" s="5">
        <f>179 / 86400</f>
        <v>2.0717592592592593E-3</v>
      </c>
      <c r="I696" t="s">
        <v>120</v>
      </c>
      <c r="J696" t="s">
        <v>76</v>
      </c>
      <c r="K696" s="5">
        <f>575 / 86400</f>
        <v>6.6550925925925927E-3</v>
      </c>
      <c r="L696" s="5">
        <f>1466 / 86400</f>
        <v>1.6967592592592593E-2</v>
      </c>
    </row>
    <row r="697" spans="1:12" x14ac:dyDescent="0.25">
      <c r="A697" s="3">
        <v>45691.604456018518</v>
      </c>
      <c r="B697" t="s">
        <v>142</v>
      </c>
      <c r="C697" s="3">
        <v>45691.805706018524</v>
      </c>
      <c r="D697" t="s">
        <v>38</v>
      </c>
      <c r="E697" s="4">
        <v>78.944000000000003</v>
      </c>
      <c r="F697" s="4">
        <v>401093.027</v>
      </c>
      <c r="G697" s="4">
        <v>401171.97100000002</v>
      </c>
      <c r="H697" s="5">
        <f>5840 / 86400</f>
        <v>6.7592592592592593E-2</v>
      </c>
      <c r="I697" t="s">
        <v>37</v>
      </c>
      <c r="J697" t="s">
        <v>40</v>
      </c>
      <c r="K697" s="5">
        <f>17387 / 86400</f>
        <v>0.20123842592592592</v>
      </c>
      <c r="L697" s="5">
        <f>69 / 86400</f>
        <v>7.9861111111111116E-4</v>
      </c>
    </row>
    <row r="698" spans="1:12" x14ac:dyDescent="0.25">
      <c r="A698" s="3">
        <v>45691.806504629625</v>
      </c>
      <c r="B698" t="s">
        <v>38</v>
      </c>
      <c r="C698" s="3">
        <v>45691.839942129634</v>
      </c>
      <c r="D698" t="s">
        <v>154</v>
      </c>
      <c r="E698" s="4">
        <v>16.353999999999999</v>
      </c>
      <c r="F698" s="4">
        <v>401171.97100000002</v>
      </c>
      <c r="G698" s="4">
        <v>401188.32500000001</v>
      </c>
      <c r="H698" s="5">
        <f>540 / 86400</f>
        <v>6.2500000000000003E-3</v>
      </c>
      <c r="I698" t="s">
        <v>187</v>
      </c>
      <c r="J698" t="s">
        <v>75</v>
      </c>
      <c r="K698" s="5">
        <f>2889 / 86400</f>
        <v>3.3437500000000002E-2</v>
      </c>
      <c r="L698" s="5">
        <f>543 / 86400</f>
        <v>6.2847222222222219E-3</v>
      </c>
    </row>
    <row r="699" spans="1:12" x14ac:dyDescent="0.25">
      <c r="A699" s="3">
        <v>45691.846226851849</v>
      </c>
      <c r="B699" t="s">
        <v>127</v>
      </c>
      <c r="C699" s="3">
        <v>45691.850590277776</v>
      </c>
      <c r="D699" t="s">
        <v>366</v>
      </c>
      <c r="E699" s="4">
        <v>0.29099999999999998</v>
      </c>
      <c r="F699" s="4">
        <v>401188.32500000001</v>
      </c>
      <c r="G699" s="4">
        <v>401188.61599999998</v>
      </c>
      <c r="H699" s="5">
        <f>299 / 86400</f>
        <v>3.460648148148148E-3</v>
      </c>
      <c r="I699" t="s">
        <v>75</v>
      </c>
      <c r="J699" t="s">
        <v>128</v>
      </c>
      <c r="K699" s="5">
        <f>377 / 86400</f>
        <v>4.363425925925926E-3</v>
      </c>
      <c r="L699" s="5">
        <f>1421 / 86400</f>
        <v>1.6446759259259258E-2</v>
      </c>
    </row>
    <row r="700" spans="1:12" x14ac:dyDescent="0.25">
      <c r="A700" s="3">
        <v>45691.867037037038</v>
      </c>
      <c r="B700" t="s">
        <v>366</v>
      </c>
      <c r="C700" s="3">
        <v>45691.869594907403</v>
      </c>
      <c r="D700" t="s">
        <v>67</v>
      </c>
      <c r="E700" s="4">
        <v>0.30099999999999999</v>
      </c>
      <c r="F700" s="4">
        <v>401188.61599999998</v>
      </c>
      <c r="G700" s="4">
        <v>401188.91700000002</v>
      </c>
      <c r="H700" s="5">
        <f>79 / 86400</f>
        <v>9.1435185185185185E-4</v>
      </c>
      <c r="I700" t="s">
        <v>75</v>
      </c>
      <c r="J700" t="s">
        <v>136</v>
      </c>
      <c r="K700" s="5">
        <f>220 / 86400</f>
        <v>2.5462962962962965E-3</v>
      </c>
      <c r="L700" s="5">
        <f>11266 / 86400</f>
        <v>0.13039351851851852</v>
      </c>
    </row>
    <row r="701" spans="1:12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</row>
    <row r="702" spans="1:12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</row>
    <row r="703" spans="1:12" s="10" customFormat="1" ht="20.100000000000001" customHeight="1" x14ac:dyDescent="0.35">
      <c r="A703" s="12" t="s">
        <v>439</v>
      </c>
      <c r="B703" s="12"/>
      <c r="C703" s="12"/>
      <c r="D703" s="12"/>
      <c r="E703" s="12"/>
      <c r="F703" s="12"/>
      <c r="G703" s="12"/>
      <c r="H703" s="12"/>
      <c r="I703" s="12"/>
      <c r="J703" s="12"/>
    </row>
    <row r="704" spans="1:12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</row>
    <row r="705" spans="1:12" ht="30" x14ac:dyDescent="0.25">
      <c r="A705" s="2" t="s">
        <v>6</v>
      </c>
      <c r="B705" s="2" t="s">
        <v>7</v>
      </c>
      <c r="C705" s="2" t="s">
        <v>8</v>
      </c>
      <c r="D705" s="2" t="s">
        <v>9</v>
      </c>
      <c r="E705" s="2" t="s">
        <v>10</v>
      </c>
      <c r="F705" s="2" t="s">
        <v>11</v>
      </c>
      <c r="G705" s="2" t="s">
        <v>12</v>
      </c>
      <c r="H705" s="2" t="s">
        <v>13</v>
      </c>
      <c r="I705" s="2" t="s">
        <v>14</v>
      </c>
      <c r="J705" s="2" t="s">
        <v>15</v>
      </c>
      <c r="K705" s="2" t="s">
        <v>16</v>
      </c>
      <c r="L705" s="2" t="s">
        <v>17</v>
      </c>
    </row>
    <row r="706" spans="1:12" x14ac:dyDescent="0.25">
      <c r="A706" s="3">
        <v>45691.29105324074</v>
      </c>
      <c r="B706" t="s">
        <v>68</v>
      </c>
      <c r="C706" s="3">
        <v>45691.393854166672</v>
      </c>
      <c r="D706" t="s">
        <v>127</v>
      </c>
      <c r="E706" s="4">
        <v>46.424999999999997</v>
      </c>
      <c r="F706" s="4">
        <v>347067.01500000001</v>
      </c>
      <c r="G706" s="4">
        <v>347113.44</v>
      </c>
      <c r="H706" s="5">
        <f>2518 / 86400</f>
        <v>2.914351851851852E-2</v>
      </c>
      <c r="I706" t="s">
        <v>56</v>
      </c>
      <c r="J706" t="s">
        <v>35</v>
      </c>
      <c r="K706" s="5">
        <f>8882 / 86400</f>
        <v>0.10280092592592592</v>
      </c>
      <c r="L706" s="5">
        <f>25413 / 86400</f>
        <v>0.29413194444444446</v>
      </c>
    </row>
    <row r="707" spans="1:12" x14ac:dyDescent="0.25">
      <c r="A707" s="3">
        <v>45691.396932870368</v>
      </c>
      <c r="B707" t="s">
        <v>127</v>
      </c>
      <c r="C707" s="3">
        <v>45691.404108796298</v>
      </c>
      <c r="D707" t="s">
        <v>142</v>
      </c>
      <c r="E707" s="4">
        <v>1.28</v>
      </c>
      <c r="F707" s="4">
        <v>347113.44</v>
      </c>
      <c r="G707" s="4">
        <v>347114.72</v>
      </c>
      <c r="H707" s="5">
        <f>319 / 86400</f>
        <v>3.6921296296296298E-3</v>
      </c>
      <c r="I707" t="s">
        <v>143</v>
      </c>
      <c r="J707" t="s">
        <v>76</v>
      </c>
      <c r="K707" s="5">
        <f>620 / 86400</f>
        <v>7.1759259259259259E-3</v>
      </c>
      <c r="L707" s="5">
        <f>4165 / 86400</f>
        <v>4.8206018518518516E-2</v>
      </c>
    </row>
    <row r="708" spans="1:12" x14ac:dyDescent="0.25">
      <c r="A708" s="3">
        <v>45691.452314814815</v>
      </c>
      <c r="B708" t="s">
        <v>142</v>
      </c>
      <c r="C708" s="3">
        <v>45691.652604166666</v>
      </c>
      <c r="D708" t="s">
        <v>68</v>
      </c>
      <c r="E708" s="4">
        <v>75.5</v>
      </c>
      <c r="F708" s="4">
        <v>347114.72</v>
      </c>
      <c r="G708" s="4">
        <v>347190.22</v>
      </c>
      <c r="H708" s="5">
        <f>5858 / 86400</f>
        <v>6.7800925925925931E-2</v>
      </c>
      <c r="I708" t="s">
        <v>29</v>
      </c>
      <c r="J708" t="s">
        <v>40</v>
      </c>
      <c r="K708" s="5">
        <f>17305 / 86400</f>
        <v>0.20028935185185184</v>
      </c>
      <c r="L708" s="5">
        <f>30014 / 86400</f>
        <v>0.34738425925925925</v>
      </c>
    </row>
    <row r="709" spans="1:12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</row>
    <row r="710" spans="1:12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</row>
    <row r="711" spans="1:12" s="10" customFormat="1" ht="20.100000000000001" customHeight="1" x14ac:dyDescent="0.35">
      <c r="A711" s="12" t="s">
        <v>440</v>
      </c>
      <c r="B711" s="12"/>
      <c r="C711" s="12"/>
      <c r="D711" s="12"/>
      <c r="E711" s="12"/>
      <c r="F711" s="12"/>
      <c r="G711" s="12"/>
      <c r="H711" s="12"/>
      <c r="I711" s="12"/>
      <c r="J711" s="12"/>
    </row>
    <row r="712" spans="1:12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</row>
    <row r="713" spans="1:12" ht="30" x14ac:dyDescent="0.25">
      <c r="A713" s="2" t="s">
        <v>6</v>
      </c>
      <c r="B713" s="2" t="s">
        <v>7</v>
      </c>
      <c r="C713" s="2" t="s">
        <v>8</v>
      </c>
      <c r="D713" s="2" t="s">
        <v>9</v>
      </c>
      <c r="E713" s="2" t="s">
        <v>10</v>
      </c>
      <c r="F713" s="2" t="s">
        <v>11</v>
      </c>
      <c r="G713" s="2" t="s">
        <v>12</v>
      </c>
      <c r="H713" s="2" t="s">
        <v>13</v>
      </c>
      <c r="I713" s="2" t="s">
        <v>14</v>
      </c>
      <c r="J713" s="2" t="s">
        <v>15</v>
      </c>
      <c r="K713" s="2" t="s">
        <v>16</v>
      </c>
      <c r="L713" s="2" t="s">
        <v>17</v>
      </c>
    </row>
    <row r="714" spans="1:12" x14ac:dyDescent="0.25">
      <c r="A714" s="3">
        <v>45691.306076388893</v>
      </c>
      <c r="B714" t="s">
        <v>69</v>
      </c>
      <c r="C714" s="3">
        <v>45691.306481481486</v>
      </c>
      <c r="D714" t="s">
        <v>69</v>
      </c>
      <c r="E714" s="4">
        <v>0</v>
      </c>
      <c r="F714" s="4">
        <v>39191.235999999997</v>
      </c>
      <c r="G714" s="4">
        <v>39191.235999999997</v>
      </c>
      <c r="H714" s="5">
        <f>19 / 86400</f>
        <v>2.199074074074074E-4</v>
      </c>
      <c r="I714" t="s">
        <v>33</v>
      </c>
      <c r="J714" t="s">
        <v>33</v>
      </c>
      <c r="K714" s="5">
        <f>35 / 86400</f>
        <v>4.0509259259259258E-4</v>
      </c>
      <c r="L714" s="5">
        <f>50110 / 86400</f>
        <v>0.57997685185185188</v>
      </c>
    </row>
    <row r="715" spans="1:12" x14ac:dyDescent="0.25">
      <c r="A715" s="3">
        <v>45691.580381944441</v>
      </c>
      <c r="B715" t="s">
        <v>69</v>
      </c>
      <c r="C715" s="3">
        <v>45691.605891203704</v>
      </c>
      <c r="D715" t="s">
        <v>300</v>
      </c>
      <c r="E715" s="4">
        <v>13.036</v>
      </c>
      <c r="F715" s="4">
        <v>39191.235999999997</v>
      </c>
      <c r="G715" s="4">
        <v>39204.271999999997</v>
      </c>
      <c r="H715" s="5">
        <f>539 / 86400</f>
        <v>6.2384259259259259E-3</v>
      </c>
      <c r="I715" t="s">
        <v>169</v>
      </c>
      <c r="J715" t="s">
        <v>70</v>
      </c>
      <c r="K715" s="5">
        <f>2204 / 86400</f>
        <v>2.5509259259259259E-2</v>
      </c>
      <c r="L715" s="5">
        <f>2266 / 86400</f>
        <v>2.6226851851851852E-2</v>
      </c>
    </row>
    <row r="716" spans="1:12" x14ac:dyDescent="0.25">
      <c r="A716" s="3">
        <v>45691.632118055553</v>
      </c>
      <c r="B716" t="s">
        <v>300</v>
      </c>
      <c r="C716" s="3">
        <v>45691.646909722222</v>
      </c>
      <c r="D716" t="s">
        <v>154</v>
      </c>
      <c r="E716" s="4">
        <v>4.9939999999999998</v>
      </c>
      <c r="F716" s="4">
        <v>39204.271999999997</v>
      </c>
      <c r="G716" s="4">
        <v>39209.266000000003</v>
      </c>
      <c r="H716" s="5">
        <f>359 / 86400</f>
        <v>4.1550925925925922E-3</v>
      </c>
      <c r="I716" t="s">
        <v>262</v>
      </c>
      <c r="J716" t="s">
        <v>45</v>
      </c>
      <c r="K716" s="5">
        <f>1278 / 86400</f>
        <v>1.4791666666666667E-2</v>
      </c>
      <c r="L716" s="5">
        <f>1545 / 86400</f>
        <v>1.7881944444444443E-2</v>
      </c>
    </row>
    <row r="717" spans="1:12" x14ac:dyDescent="0.25">
      <c r="A717" s="3">
        <v>45691.66479166667</v>
      </c>
      <c r="B717" t="s">
        <v>154</v>
      </c>
      <c r="C717" s="3">
        <v>45691.664953703701</v>
      </c>
      <c r="D717" t="s">
        <v>154</v>
      </c>
      <c r="E717" s="4">
        <v>0</v>
      </c>
      <c r="F717" s="4">
        <v>39209.266000000003</v>
      </c>
      <c r="G717" s="4">
        <v>39209.266000000003</v>
      </c>
      <c r="H717" s="5">
        <f>0 / 86400</f>
        <v>0</v>
      </c>
      <c r="I717" t="s">
        <v>33</v>
      </c>
      <c r="J717" t="s">
        <v>33</v>
      </c>
      <c r="K717" s="5">
        <f>13 / 86400</f>
        <v>1.5046296296296297E-4</v>
      </c>
      <c r="L717" s="5">
        <f>909 / 86400</f>
        <v>1.0520833333333333E-2</v>
      </c>
    </row>
    <row r="718" spans="1:12" x14ac:dyDescent="0.25">
      <c r="A718" s="3">
        <v>45691.675474537042</v>
      </c>
      <c r="B718" t="s">
        <v>154</v>
      </c>
      <c r="C718" s="3">
        <v>45691.67931712963</v>
      </c>
      <c r="D718" t="s">
        <v>154</v>
      </c>
      <c r="E718" s="4">
        <v>0.314</v>
      </c>
      <c r="F718" s="4">
        <v>39209.266000000003</v>
      </c>
      <c r="G718" s="4">
        <v>39209.58</v>
      </c>
      <c r="H718" s="5">
        <f>199 / 86400</f>
        <v>2.3032407407407407E-3</v>
      </c>
      <c r="I718" t="s">
        <v>45</v>
      </c>
      <c r="J718" t="s">
        <v>128</v>
      </c>
      <c r="K718" s="5">
        <f>331 / 86400</f>
        <v>3.8310185185185183E-3</v>
      </c>
      <c r="L718" s="5">
        <f>70 / 86400</f>
        <v>8.1018518518518516E-4</v>
      </c>
    </row>
    <row r="719" spans="1:12" x14ac:dyDescent="0.25">
      <c r="A719" s="3">
        <v>45691.680127314816</v>
      </c>
      <c r="B719" t="s">
        <v>154</v>
      </c>
      <c r="C719" s="3">
        <v>45691.680185185185</v>
      </c>
      <c r="D719" t="s">
        <v>154</v>
      </c>
      <c r="E719" s="4">
        <v>0</v>
      </c>
      <c r="F719" s="4">
        <v>39209.58</v>
      </c>
      <c r="G719" s="4">
        <v>39209.58</v>
      </c>
      <c r="H719" s="5">
        <f>0 / 86400</f>
        <v>0</v>
      </c>
      <c r="I719" t="s">
        <v>33</v>
      </c>
      <c r="J719" t="s">
        <v>33</v>
      </c>
      <c r="K719" s="5">
        <f>4 / 86400</f>
        <v>4.6296296296296294E-5</v>
      </c>
      <c r="L719" s="5">
        <f>686 / 86400</f>
        <v>7.9398148148148145E-3</v>
      </c>
    </row>
    <row r="720" spans="1:12" x14ac:dyDescent="0.25">
      <c r="A720" s="3">
        <v>45691.688125000001</v>
      </c>
      <c r="B720" t="s">
        <v>154</v>
      </c>
      <c r="C720" s="3">
        <v>45691.796817129631</v>
      </c>
      <c r="D720" t="s">
        <v>83</v>
      </c>
      <c r="E720" s="4">
        <v>54.738999999999997</v>
      </c>
      <c r="F720" s="4">
        <v>39209.58</v>
      </c>
      <c r="G720" s="4">
        <v>39264.319000000003</v>
      </c>
      <c r="H720" s="5">
        <f>2499 / 86400</f>
        <v>2.8923611111111112E-2</v>
      </c>
      <c r="I720" t="s">
        <v>57</v>
      </c>
      <c r="J720" t="s">
        <v>70</v>
      </c>
      <c r="K720" s="5">
        <f>9391 / 86400</f>
        <v>0.10869212962962962</v>
      </c>
      <c r="L720" s="5">
        <f>439 / 86400</f>
        <v>5.0810185185185186E-3</v>
      </c>
    </row>
    <row r="721" spans="1:12" x14ac:dyDescent="0.25">
      <c r="A721" s="3">
        <v>45691.801898148144</v>
      </c>
      <c r="B721" t="s">
        <v>83</v>
      </c>
      <c r="C721" s="3">
        <v>45691.888749999998</v>
      </c>
      <c r="D721" t="s">
        <v>381</v>
      </c>
      <c r="E721" s="4">
        <v>48.042999999999999</v>
      </c>
      <c r="F721" s="4">
        <v>39264.319000000003</v>
      </c>
      <c r="G721" s="4">
        <v>39312.362000000001</v>
      </c>
      <c r="H721" s="5">
        <f>2000 / 86400</f>
        <v>2.3148148148148147E-2</v>
      </c>
      <c r="I721" t="s">
        <v>39</v>
      </c>
      <c r="J721" t="s">
        <v>170</v>
      </c>
      <c r="K721" s="5">
        <f>7504 / 86400</f>
        <v>8.6851851851851847E-2</v>
      </c>
      <c r="L721" s="5">
        <f>195 / 86400</f>
        <v>2.2569444444444442E-3</v>
      </c>
    </row>
    <row r="722" spans="1:12" x14ac:dyDescent="0.25">
      <c r="A722" s="3">
        <v>45691.891006944439</v>
      </c>
      <c r="B722" t="s">
        <v>381</v>
      </c>
      <c r="C722" s="3">
        <v>45691.900983796295</v>
      </c>
      <c r="D722" t="s">
        <v>69</v>
      </c>
      <c r="E722" s="4">
        <v>3.1760000000000002</v>
      </c>
      <c r="F722" s="4">
        <v>39312.362000000001</v>
      </c>
      <c r="G722" s="4">
        <v>39315.538</v>
      </c>
      <c r="H722" s="5">
        <f>160 / 86400</f>
        <v>1.8518518518518519E-3</v>
      </c>
      <c r="I722" t="s">
        <v>88</v>
      </c>
      <c r="J722" t="s">
        <v>59</v>
      </c>
      <c r="K722" s="5">
        <f>862 / 86400</f>
        <v>9.9768518518518513E-3</v>
      </c>
      <c r="L722" s="5">
        <f>8554 / 86400</f>
        <v>9.9004629629629623E-2</v>
      </c>
    </row>
    <row r="723" spans="1:12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</row>
    <row r="724" spans="1:12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</row>
    <row r="725" spans="1:12" s="10" customFormat="1" ht="20.100000000000001" customHeight="1" x14ac:dyDescent="0.35">
      <c r="A725" s="12" t="s">
        <v>441</v>
      </c>
      <c r="B725" s="12"/>
      <c r="C725" s="12"/>
      <c r="D725" s="12"/>
      <c r="E725" s="12"/>
      <c r="F725" s="12"/>
      <c r="G725" s="12"/>
      <c r="H725" s="12"/>
      <c r="I725" s="12"/>
      <c r="J725" s="12"/>
    </row>
    <row r="726" spans="1:12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</row>
    <row r="727" spans="1:12" ht="30" x14ac:dyDescent="0.25">
      <c r="A727" s="2" t="s">
        <v>6</v>
      </c>
      <c r="B727" s="2" t="s">
        <v>7</v>
      </c>
      <c r="C727" s="2" t="s">
        <v>8</v>
      </c>
      <c r="D727" s="2" t="s">
        <v>9</v>
      </c>
      <c r="E727" s="2" t="s">
        <v>10</v>
      </c>
      <c r="F727" s="2" t="s">
        <v>11</v>
      </c>
      <c r="G727" s="2" t="s">
        <v>12</v>
      </c>
      <c r="H727" s="2" t="s">
        <v>13</v>
      </c>
      <c r="I727" s="2" t="s">
        <v>14</v>
      </c>
      <c r="J727" s="2" t="s">
        <v>15</v>
      </c>
      <c r="K727" s="2" t="s">
        <v>16</v>
      </c>
      <c r="L727" s="2" t="s">
        <v>17</v>
      </c>
    </row>
    <row r="728" spans="1:12" x14ac:dyDescent="0.25">
      <c r="A728" s="3">
        <v>45691.170833333337</v>
      </c>
      <c r="B728" t="s">
        <v>38</v>
      </c>
      <c r="C728" s="3">
        <v>45691.177453703705</v>
      </c>
      <c r="D728" t="s">
        <v>38</v>
      </c>
      <c r="E728" s="4">
        <v>0</v>
      </c>
      <c r="F728" s="4">
        <v>43565.646000000001</v>
      </c>
      <c r="G728" s="4">
        <v>43565.646000000001</v>
      </c>
      <c r="H728" s="5">
        <f>559 / 86400</f>
        <v>6.4699074074074077E-3</v>
      </c>
      <c r="I728" t="s">
        <v>33</v>
      </c>
      <c r="J728" t="s">
        <v>33</v>
      </c>
      <c r="K728" s="5">
        <f>572 / 86400</f>
        <v>6.6203703703703702E-3</v>
      </c>
      <c r="L728" s="5">
        <f>14885 / 86400</f>
        <v>0.17228009259259258</v>
      </c>
    </row>
    <row r="729" spans="1:12" x14ac:dyDescent="0.25">
      <c r="A729" s="3">
        <v>45691.178900462968</v>
      </c>
      <c r="B729" t="s">
        <v>38</v>
      </c>
      <c r="C729" s="3">
        <v>45691.335752314815</v>
      </c>
      <c r="D729" t="s">
        <v>46</v>
      </c>
      <c r="E729" s="4">
        <v>84.313999999999993</v>
      </c>
      <c r="F729" s="4">
        <v>43565.646000000001</v>
      </c>
      <c r="G729" s="4">
        <v>43649.96</v>
      </c>
      <c r="H729" s="5">
        <f>2989 / 86400</f>
        <v>3.4594907407407408E-2</v>
      </c>
      <c r="I729" t="s">
        <v>97</v>
      </c>
      <c r="J729" t="s">
        <v>24</v>
      </c>
      <c r="K729" s="5">
        <f>13551 / 86400</f>
        <v>0.15684027777777779</v>
      </c>
      <c r="L729" s="5">
        <f>2245 / 86400</f>
        <v>2.5983796296296297E-2</v>
      </c>
    </row>
    <row r="730" spans="1:12" x14ac:dyDescent="0.25">
      <c r="A730" s="3">
        <v>45691.36173611111</v>
      </c>
      <c r="B730" t="s">
        <v>46</v>
      </c>
      <c r="C730" s="3">
        <v>45691.364062499997</v>
      </c>
      <c r="D730" t="s">
        <v>127</v>
      </c>
      <c r="E730" s="4">
        <v>0.86699999999999999</v>
      </c>
      <c r="F730" s="4">
        <v>43649.96</v>
      </c>
      <c r="G730" s="4">
        <v>43650.826999999997</v>
      </c>
      <c r="H730" s="5">
        <f>20 / 86400</f>
        <v>2.3148148148148149E-4</v>
      </c>
      <c r="I730" t="s">
        <v>197</v>
      </c>
      <c r="J730" t="s">
        <v>40</v>
      </c>
      <c r="K730" s="5">
        <f>201 / 86400</f>
        <v>2.3263888888888887E-3</v>
      </c>
      <c r="L730" s="5">
        <f>270 / 86400</f>
        <v>3.1250000000000002E-3</v>
      </c>
    </row>
    <row r="731" spans="1:12" x14ac:dyDescent="0.25">
      <c r="A731" s="3">
        <v>45691.3671875</v>
      </c>
      <c r="B731" t="s">
        <v>127</v>
      </c>
      <c r="C731" s="3">
        <v>45691.367592592593</v>
      </c>
      <c r="D731" t="s">
        <v>127</v>
      </c>
      <c r="E731" s="4">
        <v>3.3000000000000002E-2</v>
      </c>
      <c r="F731" s="4">
        <v>43650.826999999997</v>
      </c>
      <c r="G731" s="4">
        <v>43650.86</v>
      </c>
      <c r="H731" s="5">
        <f>20 / 86400</f>
        <v>2.3148148148148149E-4</v>
      </c>
      <c r="I731" t="s">
        <v>76</v>
      </c>
      <c r="J731" t="s">
        <v>128</v>
      </c>
      <c r="K731" s="5">
        <f>35 / 86400</f>
        <v>4.0509259259259258E-4</v>
      </c>
      <c r="L731" s="5">
        <f>1970 / 86400</f>
        <v>2.2800925925925926E-2</v>
      </c>
    </row>
    <row r="732" spans="1:12" x14ac:dyDescent="0.25">
      <c r="A732" s="3">
        <v>45691.390393518523</v>
      </c>
      <c r="B732" t="s">
        <v>127</v>
      </c>
      <c r="C732" s="3">
        <v>45691.390439814815</v>
      </c>
      <c r="D732" t="s">
        <v>127</v>
      </c>
      <c r="E732" s="4">
        <v>0</v>
      </c>
      <c r="F732" s="4">
        <v>43650.86</v>
      </c>
      <c r="G732" s="4">
        <v>43650.86</v>
      </c>
      <c r="H732" s="5">
        <f>0 / 86400</f>
        <v>0</v>
      </c>
      <c r="I732" t="s">
        <v>33</v>
      </c>
      <c r="J732" t="s">
        <v>33</v>
      </c>
      <c r="K732" s="5">
        <f>3 / 86400</f>
        <v>3.4722222222222222E-5</v>
      </c>
      <c r="L732" s="5">
        <f>1 / 86400</f>
        <v>1.1574074074074073E-5</v>
      </c>
    </row>
    <row r="733" spans="1:12" x14ac:dyDescent="0.25">
      <c r="A733" s="3">
        <v>45691.390451388885</v>
      </c>
      <c r="B733" t="s">
        <v>127</v>
      </c>
      <c r="C733" s="3">
        <v>45691.589803240742</v>
      </c>
      <c r="D733" t="s">
        <v>38</v>
      </c>
      <c r="E733" s="4">
        <v>81.674000000000007</v>
      </c>
      <c r="F733" s="4">
        <v>43650.86</v>
      </c>
      <c r="G733" s="4">
        <v>43732.534</v>
      </c>
      <c r="H733" s="5">
        <f>5315 / 86400</f>
        <v>6.1516203703703705E-2</v>
      </c>
      <c r="I733" t="s">
        <v>305</v>
      </c>
      <c r="J733" t="s">
        <v>47</v>
      </c>
      <c r="K733" s="5">
        <f>17224 / 86400</f>
        <v>0.19935185185185186</v>
      </c>
      <c r="L733" s="5">
        <f>266 / 86400</f>
        <v>3.0787037037037037E-3</v>
      </c>
    </row>
    <row r="734" spans="1:12" x14ac:dyDescent="0.25">
      <c r="A734" s="3">
        <v>45691.592881944445</v>
      </c>
      <c r="B734" t="s">
        <v>38</v>
      </c>
      <c r="C734" s="3">
        <v>45691.595196759255</v>
      </c>
      <c r="D734" t="s">
        <v>38</v>
      </c>
      <c r="E734" s="4">
        <v>1.3660000000000001</v>
      </c>
      <c r="F734" s="4">
        <v>43732.534</v>
      </c>
      <c r="G734" s="4">
        <v>43733.9</v>
      </c>
      <c r="H734" s="5">
        <f>0 / 86400</f>
        <v>0</v>
      </c>
      <c r="I734" t="s">
        <v>179</v>
      </c>
      <c r="J734" t="s">
        <v>120</v>
      </c>
      <c r="K734" s="5">
        <f>199 / 86400</f>
        <v>2.3032407407407407E-3</v>
      </c>
      <c r="L734" s="5">
        <f>3947 / 86400</f>
        <v>4.5682870370370374E-2</v>
      </c>
    </row>
    <row r="735" spans="1:12" x14ac:dyDescent="0.25">
      <c r="A735" s="3">
        <v>45691.640879629631</v>
      </c>
      <c r="B735" t="s">
        <v>38</v>
      </c>
      <c r="C735" s="3">
        <v>45691.852094907408</v>
      </c>
      <c r="D735" t="s">
        <v>300</v>
      </c>
      <c r="E735" s="4">
        <v>73.138999999999996</v>
      </c>
      <c r="F735" s="4">
        <v>43733.9</v>
      </c>
      <c r="G735" s="4">
        <v>43807.038999999997</v>
      </c>
      <c r="H735" s="5">
        <f>7058 / 86400</f>
        <v>8.1689814814814812E-2</v>
      </c>
      <c r="I735" t="s">
        <v>78</v>
      </c>
      <c r="J735" t="s">
        <v>45</v>
      </c>
      <c r="K735" s="5">
        <f>18248 / 86400</f>
        <v>0.2112037037037037</v>
      </c>
      <c r="L735" s="5">
        <f>124 / 86400</f>
        <v>1.4351851851851852E-3</v>
      </c>
    </row>
    <row r="736" spans="1:12" x14ac:dyDescent="0.25">
      <c r="A736" s="3">
        <v>45691.853530092594</v>
      </c>
      <c r="B736" t="s">
        <v>300</v>
      </c>
      <c r="C736" s="3">
        <v>45691.99998842593</v>
      </c>
      <c r="D736" t="s">
        <v>71</v>
      </c>
      <c r="E736" s="4">
        <v>67.653999999999996</v>
      </c>
      <c r="F736" s="4">
        <v>43807.038999999997</v>
      </c>
      <c r="G736" s="4">
        <v>43874.692999999999</v>
      </c>
      <c r="H736" s="5">
        <f>4539 / 86400</f>
        <v>5.2534722222222219E-2</v>
      </c>
      <c r="I736" t="s">
        <v>72</v>
      </c>
      <c r="J736" t="s">
        <v>35</v>
      </c>
      <c r="K736" s="5">
        <f>12654 / 86400</f>
        <v>0.14645833333333333</v>
      </c>
      <c r="L736" s="5">
        <f>0 / 86400</f>
        <v>0</v>
      </c>
    </row>
    <row r="737" spans="1:12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</row>
    <row r="738" spans="1:12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</row>
    <row r="739" spans="1:12" s="10" customFormat="1" ht="20.100000000000001" customHeight="1" x14ac:dyDescent="0.35">
      <c r="A739" s="12" t="s">
        <v>442</v>
      </c>
      <c r="B739" s="12"/>
      <c r="C739" s="12"/>
      <c r="D739" s="12"/>
      <c r="E739" s="12"/>
      <c r="F739" s="12"/>
      <c r="G739" s="12"/>
      <c r="H739" s="12"/>
      <c r="I739" s="12"/>
      <c r="J739" s="12"/>
    </row>
    <row r="740" spans="1:12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</row>
    <row r="741" spans="1:12" ht="30" x14ac:dyDescent="0.25">
      <c r="A741" s="2" t="s">
        <v>6</v>
      </c>
      <c r="B741" s="2" t="s">
        <v>7</v>
      </c>
      <c r="C741" s="2" t="s">
        <v>8</v>
      </c>
      <c r="D741" s="2" t="s">
        <v>9</v>
      </c>
      <c r="E741" s="2" t="s">
        <v>10</v>
      </c>
      <c r="F741" s="2" t="s">
        <v>11</v>
      </c>
      <c r="G741" s="2" t="s">
        <v>12</v>
      </c>
      <c r="H741" s="2" t="s">
        <v>13</v>
      </c>
      <c r="I741" s="2" t="s">
        <v>14</v>
      </c>
      <c r="J741" s="2" t="s">
        <v>15</v>
      </c>
      <c r="K741" s="2" t="s">
        <v>16</v>
      </c>
      <c r="L741" s="2" t="s">
        <v>17</v>
      </c>
    </row>
    <row r="742" spans="1:12" x14ac:dyDescent="0.25">
      <c r="A742" s="3">
        <v>45691</v>
      </c>
      <c r="B742" t="s">
        <v>73</v>
      </c>
      <c r="C742" s="3">
        <v>45691.033773148149</v>
      </c>
      <c r="D742" t="s">
        <v>382</v>
      </c>
      <c r="E742" s="4">
        <v>15.679</v>
      </c>
      <c r="F742" s="4">
        <v>524891.94900000002</v>
      </c>
      <c r="G742" s="4">
        <v>524907.62800000003</v>
      </c>
      <c r="H742" s="5">
        <f>680 / 86400</f>
        <v>7.8703703703703696E-3</v>
      </c>
      <c r="I742" t="s">
        <v>149</v>
      </c>
      <c r="J742" t="s">
        <v>35</v>
      </c>
      <c r="K742" s="5">
        <f>2918 / 86400</f>
        <v>3.3773148148148149E-2</v>
      </c>
      <c r="L742" s="5">
        <f>903 / 86400</f>
        <v>1.0451388888888889E-2</v>
      </c>
    </row>
    <row r="743" spans="1:12" x14ac:dyDescent="0.25">
      <c r="A743" s="3">
        <v>45691.044224537036</v>
      </c>
      <c r="B743" t="s">
        <v>382</v>
      </c>
      <c r="C743" s="3">
        <v>45691.117592592593</v>
      </c>
      <c r="D743" t="s">
        <v>146</v>
      </c>
      <c r="E743" s="4">
        <v>30.988000000059603</v>
      </c>
      <c r="F743" s="4">
        <v>524907.62800000003</v>
      </c>
      <c r="G743" s="4">
        <v>524938.61600000004</v>
      </c>
      <c r="H743" s="5">
        <f>2379 / 86400</f>
        <v>2.7534722222222221E-2</v>
      </c>
      <c r="I743" t="s">
        <v>187</v>
      </c>
      <c r="J743" t="s">
        <v>20</v>
      </c>
      <c r="K743" s="5">
        <f>6339 / 86400</f>
        <v>7.3368055555555561E-2</v>
      </c>
      <c r="L743" s="5">
        <f>721 / 86400</f>
        <v>8.3449074074074068E-3</v>
      </c>
    </row>
    <row r="744" spans="1:12" x14ac:dyDescent="0.25">
      <c r="A744" s="3">
        <v>45691.125937500001</v>
      </c>
      <c r="B744" t="s">
        <v>146</v>
      </c>
      <c r="C744" s="3">
        <v>45691.146099537036</v>
      </c>
      <c r="D744" t="s">
        <v>377</v>
      </c>
      <c r="E744" s="4">
        <v>4.6819999998807909</v>
      </c>
      <c r="F744" s="4">
        <v>524938.61600000004</v>
      </c>
      <c r="G744" s="4">
        <v>524943.29799999995</v>
      </c>
      <c r="H744" s="5">
        <f>880 / 86400</f>
        <v>1.0185185185185186E-2</v>
      </c>
      <c r="I744" t="s">
        <v>183</v>
      </c>
      <c r="J744" t="s">
        <v>156</v>
      </c>
      <c r="K744" s="5">
        <f>1741 / 86400</f>
        <v>2.0150462962962964E-2</v>
      </c>
      <c r="L744" s="5">
        <f>3594 / 86400</f>
        <v>4.1597222222222223E-2</v>
      </c>
    </row>
    <row r="745" spans="1:12" x14ac:dyDescent="0.25">
      <c r="A745" s="3">
        <v>45691.187696759254</v>
      </c>
      <c r="B745" t="s">
        <v>377</v>
      </c>
      <c r="C745" s="3">
        <v>45691.337534722217</v>
      </c>
      <c r="D745" t="s">
        <v>154</v>
      </c>
      <c r="E745" s="4">
        <v>82.941000000000003</v>
      </c>
      <c r="F745" s="4">
        <v>524943.29799999995</v>
      </c>
      <c r="G745" s="4">
        <v>525026.23899999994</v>
      </c>
      <c r="H745" s="5">
        <f>3358 / 86400</f>
        <v>3.8865740740740742E-2</v>
      </c>
      <c r="I745" t="s">
        <v>34</v>
      </c>
      <c r="J745" t="s">
        <v>170</v>
      </c>
      <c r="K745" s="5">
        <f>12946 / 86400</f>
        <v>0.14983796296296295</v>
      </c>
      <c r="L745" s="5">
        <f>671 / 86400</f>
        <v>7.766203703703704E-3</v>
      </c>
    </row>
    <row r="746" spans="1:12" x14ac:dyDescent="0.25">
      <c r="A746" s="3">
        <v>45691.345300925925</v>
      </c>
      <c r="B746" t="s">
        <v>127</v>
      </c>
      <c r="C746" s="3">
        <v>45691.34756944445</v>
      </c>
      <c r="D746" t="s">
        <v>46</v>
      </c>
      <c r="E746" s="4">
        <v>0.90600000005960468</v>
      </c>
      <c r="F746" s="4">
        <v>525026.23899999994</v>
      </c>
      <c r="G746" s="4">
        <v>525027.14500000002</v>
      </c>
      <c r="H746" s="5">
        <f>0 / 86400</f>
        <v>0</v>
      </c>
      <c r="I746" t="s">
        <v>88</v>
      </c>
      <c r="J746" t="s">
        <v>47</v>
      </c>
      <c r="K746" s="5">
        <f>195 / 86400</f>
        <v>2.2569444444444442E-3</v>
      </c>
      <c r="L746" s="5">
        <f>1975 / 86400</f>
        <v>2.2858796296296297E-2</v>
      </c>
    </row>
    <row r="747" spans="1:12" x14ac:dyDescent="0.25">
      <c r="A747" s="3">
        <v>45691.370428240742</v>
      </c>
      <c r="B747" t="s">
        <v>46</v>
      </c>
      <c r="C747" s="3">
        <v>45691.374189814815</v>
      </c>
      <c r="D747" t="s">
        <v>142</v>
      </c>
      <c r="E747" s="4">
        <v>1.1890000000596046</v>
      </c>
      <c r="F747" s="4">
        <v>525027.14500000002</v>
      </c>
      <c r="G747" s="4">
        <v>525028.33400000003</v>
      </c>
      <c r="H747" s="5">
        <f>39 / 86400</f>
        <v>4.5138888888888887E-4</v>
      </c>
      <c r="I747" t="s">
        <v>196</v>
      </c>
      <c r="J747" t="s">
        <v>59</v>
      </c>
      <c r="K747" s="5">
        <f>325 / 86400</f>
        <v>3.7615740740740739E-3</v>
      </c>
      <c r="L747" s="5">
        <f>388 / 86400</f>
        <v>4.4907407407407405E-3</v>
      </c>
    </row>
    <row r="748" spans="1:12" x14ac:dyDescent="0.25">
      <c r="A748" s="3">
        <v>45691.378680555557</v>
      </c>
      <c r="B748" t="s">
        <v>142</v>
      </c>
      <c r="C748" s="3">
        <v>45691.494930555556</v>
      </c>
      <c r="D748" t="s">
        <v>365</v>
      </c>
      <c r="E748" s="4">
        <v>50.921999999999997</v>
      </c>
      <c r="F748" s="4">
        <v>525028.33400000003</v>
      </c>
      <c r="G748" s="4">
        <v>525079.25600000005</v>
      </c>
      <c r="H748" s="5">
        <f>3440 / 86400</f>
        <v>3.9814814814814817E-2</v>
      </c>
      <c r="I748" t="s">
        <v>34</v>
      </c>
      <c r="J748" t="s">
        <v>20</v>
      </c>
      <c r="K748" s="5">
        <f>10044 / 86400</f>
        <v>0.11625000000000001</v>
      </c>
      <c r="L748" s="5">
        <f>330 / 86400</f>
        <v>3.8194444444444443E-3</v>
      </c>
    </row>
    <row r="749" spans="1:12" x14ac:dyDescent="0.25">
      <c r="A749" s="3">
        <v>45691.498749999999</v>
      </c>
      <c r="B749" t="s">
        <v>365</v>
      </c>
      <c r="C749" s="3">
        <v>45691.658634259264</v>
      </c>
      <c r="D749" t="s">
        <v>127</v>
      </c>
      <c r="E749" s="4">
        <v>56.502999999880792</v>
      </c>
      <c r="F749" s="4">
        <v>525079.25600000005</v>
      </c>
      <c r="G749" s="4">
        <v>525135.75899999996</v>
      </c>
      <c r="H749" s="5">
        <f>5400 / 86400</f>
        <v>6.25E-2</v>
      </c>
      <c r="I749" t="s">
        <v>56</v>
      </c>
      <c r="J749" t="s">
        <v>30</v>
      </c>
      <c r="K749" s="5">
        <f>13813 / 86400</f>
        <v>0.15987268518518519</v>
      </c>
      <c r="L749" s="5">
        <f>401 / 86400</f>
        <v>4.6412037037037038E-3</v>
      </c>
    </row>
    <row r="750" spans="1:12" x14ac:dyDescent="0.25">
      <c r="A750" s="3">
        <v>45691.663275462968</v>
      </c>
      <c r="B750" t="s">
        <v>127</v>
      </c>
      <c r="C750" s="3">
        <v>45691.66574074074</v>
      </c>
      <c r="D750" t="s">
        <v>152</v>
      </c>
      <c r="E750" s="4">
        <v>0.29700000005960464</v>
      </c>
      <c r="F750" s="4">
        <v>525135.75899999996</v>
      </c>
      <c r="G750" s="4">
        <v>525136.05599999998</v>
      </c>
      <c r="H750" s="5">
        <f>120 / 86400</f>
        <v>1.3888888888888889E-3</v>
      </c>
      <c r="I750" t="s">
        <v>40</v>
      </c>
      <c r="J750" t="s">
        <v>136</v>
      </c>
      <c r="K750" s="5">
        <f>212 / 86400</f>
        <v>2.4537037037037036E-3</v>
      </c>
      <c r="L750" s="5">
        <f>2372 / 86400</f>
        <v>2.7453703703703702E-2</v>
      </c>
    </row>
    <row r="751" spans="1:12" x14ac:dyDescent="0.25">
      <c r="A751" s="3">
        <v>45691.693194444444</v>
      </c>
      <c r="B751" t="s">
        <v>152</v>
      </c>
      <c r="C751" s="3">
        <v>45691.695185185185</v>
      </c>
      <c r="D751" t="s">
        <v>127</v>
      </c>
      <c r="E751" s="4">
        <v>0.15899999994039535</v>
      </c>
      <c r="F751" s="4">
        <v>525136.05599999998</v>
      </c>
      <c r="G751" s="4">
        <v>525136.21499999997</v>
      </c>
      <c r="H751" s="5">
        <f>20 / 86400</f>
        <v>2.3148148148148149E-4</v>
      </c>
      <c r="I751" t="s">
        <v>45</v>
      </c>
      <c r="J751" t="s">
        <v>128</v>
      </c>
      <c r="K751" s="5">
        <f>171 / 86400</f>
        <v>1.9791666666666668E-3</v>
      </c>
      <c r="L751" s="5">
        <f>538 / 86400</f>
        <v>6.2268518518518515E-3</v>
      </c>
    </row>
    <row r="752" spans="1:12" x14ac:dyDescent="0.25">
      <c r="A752" s="3">
        <v>45691.701412037037</v>
      </c>
      <c r="B752" t="s">
        <v>127</v>
      </c>
      <c r="C752" s="3">
        <v>45691.808946759258</v>
      </c>
      <c r="D752" t="s">
        <v>383</v>
      </c>
      <c r="E752" s="4">
        <v>39.277000000000001</v>
      </c>
      <c r="F752" s="4">
        <v>525136.21499999997</v>
      </c>
      <c r="G752" s="4">
        <v>525175.49199999997</v>
      </c>
      <c r="H752" s="5">
        <f>4039 / 86400</f>
        <v>4.6747685185185184E-2</v>
      </c>
      <c r="I752" t="s">
        <v>27</v>
      </c>
      <c r="J752" t="s">
        <v>30</v>
      </c>
      <c r="K752" s="5">
        <f>9291 / 86400</f>
        <v>0.10753472222222223</v>
      </c>
      <c r="L752" s="5">
        <f>394 / 86400</f>
        <v>4.5601851851851853E-3</v>
      </c>
    </row>
    <row r="753" spans="1:12" x14ac:dyDescent="0.25">
      <c r="A753" s="3">
        <v>45691.81350694444</v>
      </c>
      <c r="B753" t="s">
        <v>383</v>
      </c>
      <c r="C753" s="3">
        <v>45691.909895833334</v>
      </c>
      <c r="D753" t="s">
        <v>300</v>
      </c>
      <c r="E753" s="4">
        <v>36.703000000000003</v>
      </c>
      <c r="F753" s="4">
        <v>525175.49199999997</v>
      </c>
      <c r="G753" s="4">
        <v>525212.19499999995</v>
      </c>
      <c r="H753" s="5">
        <f>3179 / 86400</f>
        <v>3.6793981481481483E-2</v>
      </c>
      <c r="I753" t="s">
        <v>29</v>
      </c>
      <c r="J753" t="s">
        <v>40</v>
      </c>
      <c r="K753" s="5">
        <f>8327 / 86400</f>
        <v>9.6377314814814818E-2</v>
      </c>
      <c r="L753" s="5">
        <f>593 / 86400</f>
        <v>6.8634259259259256E-3</v>
      </c>
    </row>
    <row r="754" spans="1:12" x14ac:dyDescent="0.25">
      <c r="A754" s="3">
        <v>45691.916759259257</v>
      </c>
      <c r="B754" t="s">
        <v>300</v>
      </c>
      <c r="C754" s="3">
        <v>45691.99998842593</v>
      </c>
      <c r="D754" t="s">
        <v>74</v>
      </c>
      <c r="E754" s="4">
        <v>40.701000000000001</v>
      </c>
      <c r="F754" s="4">
        <v>525212.19499999995</v>
      </c>
      <c r="G754" s="4">
        <v>525252.89599999995</v>
      </c>
      <c r="H754" s="5">
        <f>2716 / 86400</f>
        <v>3.1435185185185184E-2</v>
      </c>
      <c r="I754" t="s">
        <v>23</v>
      </c>
      <c r="J754" t="s">
        <v>75</v>
      </c>
      <c r="K754" s="5">
        <f>7191 / 86400</f>
        <v>8.3229166666666674E-2</v>
      </c>
      <c r="L754" s="5">
        <f>0 / 86400</f>
        <v>0</v>
      </c>
    </row>
    <row r="755" spans="1:12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</row>
    <row r="756" spans="1:12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</row>
    <row r="757" spans="1:12" s="10" customFormat="1" ht="20.100000000000001" customHeight="1" x14ac:dyDescent="0.35">
      <c r="A757" s="12" t="s">
        <v>443</v>
      </c>
      <c r="B757" s="12"/>
      <c r="C757" s="12"/>
      <c r="D757" s="12"/>
      <c r="E757" s="12"/>
      <c r="F757" s="12"/>
      <c r="G757" s="12"/>
      <c r="H757" s="12"/>
      <c r="I757" s="12"/>
      <c r="J757" s="12"/>
    </row>
    <row r="758" spans="1:12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</row>
    <row r="759" spans="1:12" ht="30" x14ac:dyDescent="0.25">
      <c r="A759" s="2" t="s">
        <v>6</v>
      </c>
      <c r="B759" s="2" t="s">
        <v>7</v>
      </c>
      <c r="C759" s="2" t="s">
        <v>8</v>
      </c>
      <c r="D759" s="2" t="s">
        <v>9</v>
      </c>
      <c r="E759" s="2" t="s">
        <v>10</v>
      </c>
      <c r="F759" s="2" t="s">
        <v>11</v>
      </c>
      <c r="G759" s="2" t="s">
        <v>12</v>
      </c>
      <c r="H759" s="2" t="s">
        <v>13</v>
      </c>
      <c r="I759" s="2" t="s">
        <v>14</v>
      </c>
      <c r="J759" s="2" t="s">
        <v>15</v>
      </c>
      <c r="K759" s="2" t="s">
        <v>16</v>
      </c>
      <c r="L759" s="2" t="s">
        <v>17</v>
      </c>
    </row>
    <row r="760" spans="1:12" x14ac:dyDescent="0.25">
      <c r="A760" s="3">
        <v>45691.273310185185</v>
      </c>
      <c r="B760" t="s">
        <v>28</v>
      </c>
      <c r="C760" s="3">
        <v>45691.273495370369</v>
      </c>
      <c r="D760" t="s">
        <v>28</v>
      </c>
      <c r="E760" s="4">
        <v>1E-3</v>
      </c>
      <c r="F760" s="4">
        <v>566134.848</v>
      </c>
      <c r="G760" s="4">
        <v>566134.84900000005</v>
      </c>
      <c r="H760" s="5">
        <f>0 / 86400</f>
        <v>0</v>
      </c>
      <c r="I760" t="s">
        <v>33</v>
      </c>
      <c r="J760" t="s">
        <v>33</v>
      </c>
      <c r="K760" s="5">
        <f>16 / 86400</f>
        <v>1.8518518518518518E-4</v>
      </c>
      <c r="L760" s="5">
        <f>40158 / 86400</f>
        <v>0.46479166666666666</v>
      </c>
    </row>
    <row r="761" spans="1:12" x14ac:dyDescent="0.25">
      <c r="A761" s="3">
        <v>45691.46497685185</v>
      </c>
      <c r="B761" t="s">
        <v>28</v>
      </c>
      <c r="C761" s="3">
        <v>45691.468229166669</v>
      </c>
      <c r="D761" t="s">
        <v>28</v>
      </c>
      <c r="E761" s="4">
        <v>0.69199999999999995</v>
      </c>
      <c r="F761" s="4">
        <v>566134.84900000005</v>
      </c>
      <c r="G761" s="4">
        <v>566135.54099999997</v>
      </c>
      <c r="H761" s="5">
        <f>78 / 86400</f>
        <v>9.0277777777777774E-4</v>
      </c>
      <c r="I761" t="s">
        <v>75</v>
      </c>
      <c r="J761" t="s">
        <v>79</v>
      </c>
      <c r="K761" s="5">
        <f>281 / 86400</f>
        <v>3.2523148148148147E-3</v>
      </c>
      <c r="L761" s="5">
        <f>1889 / 86400</f>
        <v>2.1863425925925925E-2</v>
      </c>
    </row>
    <row r="762" spans="1:12" x14ac:dyDescent="0.25">
      <c r="A762" s="3">
        <v>45691.49009259259</v>
      </c>
      <c r="B762" t="s">
        <v>85</v>
      </c>
      <c r="C762" s="3">
        <v>45691.490937499999</v>
      </c>
      <c r="D762" t="s">
        <v>85</v>
      </c>
      <c r="E762" s="4">
        <v>3.2000000000000001E-2</v>
      </c>
      <c r="F762" s="4">
        <v>566135.54099999997</v>
      </c>
      <c r="G762" s="4">
        <v>566135.57299999997</v>
      </c>
      <c r="H762" s="5">
        <f>39 / 86400</f>
        <v>4.5138888888888887E-4</v>
      </c>
      <c r="I762" t="s">
        <v>151</v>
      </c>
      <c r="J762" t="s">
        <v>137</v>
      </c>
      <c r="K762" s="5">
        <f>72 / 86400</f>
        <v>8.3333333333333339E-4</v>
      </c>
      <c r="L762" s="5">
        <f>4666 / 86400</f>
        <v>5.4004629629629632E-2</v>
      </c>
    </row>
    <row r="763" spans="1:12" x14ac:dyDescent="0.25">
      <c r="A763" s="3">
        <v>45691.544942129629</v>
      </c>
      <c r="B763" t="s">
        <v>85</v>
      </c>
      <c r="C763" s="3">
        <v>45691.547384259262</v>
      </c>
      <c r="D763" t="s">
        <v>28</v>
      </c>
      <c r="E763" s="4">
        <v>0.39</v>
      </c>
      <c r="F763" s="4">
        <v>566135.57299999997</v>
      </c>
      <c r="G763" s="4">
        <v>566135.96299999999</v>
      </c>
      <c r="H763" s="5">
        <f>79 / 86400</f>
        <v>9.1435185185185185E-4</v>
      </c>
      <c r="I763" t="s">
        <v>47</v>
      </c>
      <c r="J763" t="s">
        <v>76</v>
      </c>
      <c r="K763" s="5">
        <f>210 / 86400</f>
        <v>2.4305555555555556E-3</v>
      </c>
      <c r="L763" s="5">
        <f>18268 / 86400</f>
        <v>0.2114351851851852</v>
      </c>
    </row>
    <row r="764" spans="1:12" x14ac:dyDescent="0.25">
      <c r="A764" s="3">
        <v>45691.75881944444</v>
      </c>
      <c r="B764" t="s">
        <v>28</v>
      </c>
      <c r="C764" s="3">
        <v>45691.759131944447</v>
      </c>
      <c r="D764" t="s">
        <v>28</v>
      </c>
      <c r="E764" s="4">
        <v>4.0000000000000001E-3</v>
      </c>
      <c r="F764" s="4">
        <v>566135.96299999999</v>
      </c>
      <c r="G764" s="4">
        <v>566135.96699999995</v>
      </c>
      <c r="H764" s="5">
        <f>19 / 86400</f>
        <v>2.199074074074074E-4</v>
      </c>
      <c r="I764" t="s">
        <v>33</v>
      </c>
      <c r="J764" t="s">
        <v>62</v>
      </c>
      <c r="K764" s="5">
        <f>27 / 86400</f>
        <v>3.1250000000000001E-4</v>
      </c>
      <c r="L764" s="5">
        <f>20810 / 86400</f>
        <v>0.24085648148148148</v>
      </c>
    </row>
    <row r="765" spans="1:12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</row>
    <row r="766" spans="1:12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</row>
    <row r="767" spans="1:12" s="10" customFormat="1" ht="20.100000000000001" customHeight="1" x14ac:dyDescent="0.35">
      <c r="A767" s="12" t="s">
        <v>444</v>
      </c>
      <c r="B767" s="12"/>
      <c r="C767" s="12"/>
      <c r="D767" s="12"/>
      <c r="E767" s="12"/>
      <c r="F767" s="12"/>
      <c r="G767" s="12"/>
      <c r="H767" s="12"/>
      <c r="I767" s="12"/>
      <c r="J767" s="12"/>
    </row>
    <row r="768" spans="1:12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</row>
    <row r="769" spans="1:12" ht="30" x14ac:dyDescent="0.25">
      <c r="A769" s="2" t="s">
        <v>6</v>
      </c>
      <c r="B769" s="2" t="s">
        <v>7</v>
      </c>
      <c r="C769" s="2" t="s">
        <v>8</v>
      </c>
      <c r="D769" s="2" t="s">
        <v>9</v>
      </c>
      <c r="E769" s="2" t="s">
        <v>10</v>
      </c>
      <c r="F769" s="2" t="s">
        <v>11</v>
      </c>
      <c r="G769" s="2" t="s">
        <v>12</v>
      </c>
      <c r="H769" s="2" t="s">
        <v>13</v>
      </c>
      <c r="I769" s="2" t="s">
        <v>14</v>
      </c>
      <c r="J769" s="2" t="s">
        <v>15</v>
      </c>
      <c r="K769" s="2" t="s">
        <v>16</v>
      </c>
      <c r="L769" s="2" t="s">
        <v>17</v>
      </c>
    </row>
    <row r="770" spans="1:12" x14ac:dyDescent="0.25">
      <c r="A770" s="3">
        <v>45691.237939814819</v>
      </c>
      <c r="B770" t="s">
        <v>77</v>
      </c>
      <c r="C770" s="3">
        <v>45691.308055555557</v>
      </c>
      <c r="D770" t="s">
        <v>142</v>
      </c>
      <c r="E770" s="4">
        <v>37.841000000000001</v>
      </c>
      <c r="F770" s="4">
        <v>433956.85499999998</v>
      </c>
      <c r="G770" s="4">
        <v>433994.696</v>
      </c>
      <c r="H770" s="5">
        <f>1359 / 86400</f>
        <v>1.5729166666666666E-2</v>
      </c>
      <c r="I770" t="s">
        <v>39</v>
      </c>
      <c r="J770" t="s">
        <v>24</v>
      </c>
      <c r="K770" s="5">
        <f>6058 / 86400</f>
        <v>7.0115740740740742E-2</v>
      </c>
      <c r="L770" s="5">
        <f>22351 / 86400</f>
        <v>0.25869212962962962</v>
      </c>
    </row>
    <row r="771" spans="1:12" x14ac:dyDescent="0.25">
      <c r="A771" s="3">
        <v>45691.32880787037</v>
      </c>
      <c r="B771" t="s">
        <v>142</v>
      </c>
      <c r="C771" s="3">
        <v>45691.335081018522</v>
      </c>
      <c r="D771" t="s">
        <v>154</v>
      </c>
      <c r="E771" s="4">
        <v>1.1200000000000001</v>
      </c>
      <c r="F771" s="4">
        <v>433994.696</v>
      </c>
      <c r="G771" s="4">
        <v>433995.81599999999</v>
      </c>
      <c r="H771" s="5">
        <f>319 / 86400</f>
        <v>3.6921296296296298E-3</v>
      </c>
      <c r="I771" t="s">
        <v>61</v>
      </c>
      <c r="J771" t="s">
        <v>76</v>
      </c>
      <c r="K771" s="5">
        <f>541 / 86400</f>
        <v>6.2615740740740739E-3</v>
      </c>
      <c r="L771" s="5">
        <f>2703 / 86400</f>
        <v>3.1284722222222221E-2</v>
      </c>
    </row>
    <row r="772" spans="1:12" x14ac:dyDescent="0.25">
      <c r="A772" s="3">
        <v>45691.366365740745</v>
      </c>
      <c r="B772" t="s">
        <v>154</v>
      </c>
      <c r="C772" s="3">
        <v>45691.48337962963</v>
      </c>
      <c r="D772" t="s">
        <v>357</v>
      </c>
      <c r="E772" s="4">
        <v>50.018000000000001</v>
      </c>
      <c r="F772" s="4">
        <v>433995.81599999999</v>
      </c>
      <c r="G772" s="4">
        <v>434045.83399999997</v>
      </c>
      <c r="H772" s="5">
        <f>2919 / 86400</f>
        <v>3.3784722222222223E-2</v>
      </c>
      <c r="I772" t="s">
        <v>54</v>
      </c>
      <c r="J772" t="s">
        <v>20</v>
      </c>
      <c r="K772" s="5">
        <f>10110 / 86400</f>
        <v>0.11701388888888889</v>
      </c>
      <c r="L772" s="5">
        <f>3761 / 86400</f>
        <v>4.3530092592592592E-2</v>
      </c>
    </row>
    <row r="773" spans="1:12" x14ac:dyDescent="0.25">
      <c r="A773" s="3">
        <v>45691.526909722219</v>
      </c>
      <c r="B773" t="s">
        <v>357</v>
      </c>
      <c r="C773" s="3">
        <v>45691.645891203705</v>
      </c>
      <c r="D773" t="s">
        <v>160</v>
      </c>
      <c r="E773" s="4">
        <v>50.107999999999997</v>
      </c>
      <c r="F773" s="4">
        <v>434045.83399999997</v>
      </c>
      <c r="G773" s="4">
        <v>434095.94199999998</v>
      </c>
      <c r="H773" s="5">
        <f>2639 / 86400</f>
        <v>3.0543981481481481E-2</v>
      </c>
      <c r="I773" t="s">
        <v>56</v>
      </c>
      <c r="J773" t="s">
        <v>20</v>
      </c>
      <c r="K773" s="5">
        <f>10280 / 86400</f>
        <v>0.11898148148148148</v>
      </c>
      <c r="L773" s="5">
        <f>3249 / 86400</f>
        <v>3.7604166666666668E-2</v>
      </c>
    </row>
    <row r="774" spans="1:12" x14ac:dyDescent="0.25">
      <c r="A774" s="3">
        <v>45691.683495370366</v>
      </c>
      <c r="B774" t="s">
        <v>160</v>
      </c>
      <c r="C774" s="3">
        <v>45691.687152777777</v>
      </c>
      <c r="D774" t="s">
        <v>127</v>
      </c>
      <c r="E774" s="4">
        <v>0.76500000000000001</v>
      </c>
      <c r="F774" s="4">
        <v>434095.94199999998</v>
      </c>
      <c r="G774" s="4">
        <v>434096.70699999999</v>
      </c>
      <c r="H774" s="5">
        <f>99 / 86400</f>
        <v>1.1458333333333333E-3</v>
      </c>
      <c r="I774" t="s">
        <v>159</v>
      </c>
      <c r="J774" t="s">
        <v>79</v>
      </c>
      <c r="K774" s="5">
        <f>315 / 86400</f>
        <v>3.6458333333333334E-3</v>
      </c>
      <c r="L774" s="5">
        <f>611 / 86400</f>
        <v>7.0717592592592594E-3</v>
      </c>
    </row>
    <row r="775" spans="1:12" x14ac:dyDescent="0.25">
      <c r="A775" s="3">
        <v>45691.694224537037</v>
      </c>
      <c r="B775" t="s">
        <v>127</v>
      </c>
      <c r="C775" s="3">
        <v>45691.69731481481</v>
      </c>
      <c r="D775" t="s">
        <v>384</v>
      </c>
      <c r="E775" s="4">
        <v>0.70699999999999996</v>
      </c>
      <c r="F775" s="4">
        <v>434096.70699999999</v>
      </c>
      <c r="G775" s="4">
        <v>434097.41399999999</v>
      </c>
      <c r="H775" s="5">
        <f>80 / 86400</f>
        <v>9.2592592592592596E-4</v>
      </c>
      <c r="I775" t="s">
        <v>135</v>
      </c>
      <c r="J775" t="s">
        <v>156</v>
      </c>
      <c r="K775" s="5">
        <f>267 / 86400</f>
        <v>3.0902777777777777E-3</v>
      </c>
      <c r="L775" s="5">
        <f>4363 / 86400</f>
        <v>5.0497685185185187E-2</v>
      </c>
    </row>
    <row r="776" spans="1:12" x14ac:dyDescent="0.25">
      <c r="A776" s="3">
        <v>45691.747812500005</v>
      </c>
      <c r="B776" t="s">
        <v>384</v>
      </c>
      <c r="C776" s="3">
        <v>45691.750057870369</v>
      </c>
      <c r="D776" t="s">
        <v>154</v>
      </c>
      <c r="E776" s="4">
        <v>0.69899999999999995</v>
      </c>
      <c r="F776" s="4">
        <v>434097.41399999999</v>
      </c>
      <c r="G776" s="4">
        <v>434098.11300000001</v>
      </c>
      <c r="H776" s="5">
        <f>19 / 86400</f>
        <v>2.199074074074074E-4</v>
      </c>
      <c r="I776" t="s">
        <v>248</v>
      </c>
      <c r="J776" t="s">
        <v>59</v>
      </c>
      <c r="K776" s="5">
        <f>193 / 86400</f>
        <v>2.2337962962962962E-3</v>
      </c>
      <c r="L776" s="5">
        <f>383 / 86400</f>
        <v>4.43287037037037E-3</v>
      </c>
    </row>
    <row r="777" spans="1:12" x14ac:dyDescent="0.25">
      <c r="A777" s="3">
        <v>45691.754490740743</v>
      </c>
      <c r="B777" t="s">
        <v>154</v>
      </c>
      <c r="C777" s="3">
        <v>45691.920173611114</v>
      </c>
      <c r="D777" t="s">
        <v>270</v>
      </c>
      <c r="E777" s="4">
        <v>67.817999999999998</v>
      </c>
      <c r="F777" s="4">
        <v>434098.11300000001</v>
      </c>
      <c r="G777" s="4">
        <v>434165.93099999998</v>
      </c>
      <c r="H777" s="5">
        <f>4239 / 86400</f>
        <v>4.9062500000000002E-2</v>
      </c>
      <c r="I777" t="s">
        <v>187</v>
      </c>
      <c r="J777" t="s">
        <v>47</v>
      </c>
      <c r="K777" s="5">
        <f>14314 / 86400</f>
        <v>0.16567129629629629</v>
      </c>
      <c r="L777" s="5">
        <f>412 / 86400</f>
        <v>4.7685185185185183E-3</v>
      </c>
    </row>
    <row r="778" spans="1:12" x14ac:dyDescent="0.25">
      <c r="A778" s="3">
        <v>45691.924942129626</v>
      </c>
      <c r="B778" t="s">
        <v>270</v>
      </c>
      <c r="C778" s="3">
        <v>45691.930335648147</v>
      </c>
      <c r="D778" t="s">
        <v>311</v>
      </c>
      <c r="E778" s="4">
        <v>1.2230000000000001</v>
      </c>
      <c r="F778" s="4">
        <v>434165.93099999998</v>
      </c>
      <c r="G778" s="4">
        <v>434167.15399999998</v>
      </c>
      <c r="H778" s="5">
        <f>139 / 86400</f>
        <v>1.6087962962962963E-3</v>
      </c>
      <c r="I778" t="s">
        <v>131</v>
      </c>
      <c r="J778" t="s">
        <v>79</v>
      </c>
      <c r="K778" s="5">
        <f>466 / 86400</f>
        <v>5.3935185185185188E-3</v>
      </c>
      <c r="L778" s="5">
        <f>262 / 86400</f>
        <v>3.0324074074074073E-3</v>
      </c>
    </row>
    <row r="779" spans="1:12" x14ac:dyDescent="0.25">
      <c r="A779" s="3">
        <v>45691.933368055557</v>
      </c>
      <c r="B779" t="s">
        <v>311</v>
      </c>
      <c r="C779" s="3">
        <v>45691.939710648148</v>
      </c>
      <c r="D779" t="s">
        <v>385</v>
      </c>
      <c r="E779" s="4">
        <v>2.67</v>
      </c>
      <c r="F779" s="4">
        <v>434167.15399999998</v>
      </c>
      <c r="G779" s="4">
        <v>434169.82400000002</v>
      </c>
      <c r="H779" s="5">
        <f>139 / 86400</f>
        <v>1.6087962962962963E-3</v>
      </c>
      <c r="I779" t="s">
        <v>189</v>
      </c>
      <c r="J779" t="s">
        <v>20</v>
      </c>
      <c r="K779" s="5">
        <f>548 / 86400</f>
        <v>6.3425925925925924E-3</v>
      </c>
      <c r="L779" s="5">
        <f>194 / 86400</f>
        <v>2.2453703703703702E-3</v>
      </c>
    </row>
    <row r="780" spans="1:12" x14ac:dyDescent="0.25">
      <c r="A780" s="3">
        <v>45691.94195601852</v>
      </c>
      <c r="B780" t="s">
        <v>385</v>
      </c>
      <c r="C780" s="3">
        <v>45691.942326388889</v>
      </c>
      <c r="D780" t="s">
        <v>385</v>
      </c>
      <c r="E780" s="4">
        <v>2.5000000000000001E-2</v>
      </c>
      <c r="F780" s="4">
        <v>434169.82400000002</v>
      </c>
      <c r="G780" s="4">
        <v>434169.84899999999</v>
      </c>
      <c r="H780" s="5">
        <f>0 / 86400</f>
        <v>0</v>
      </c>
      <c r="I780" t="s">
        <v>132</v>
      </c>
      <c r="J780" t="s">
        <v>128</v>
      </c>
      <c r="K780" s="5">
        <f>31 / 86400</f>
        <v>3.5879629629629629E-4</v>
      </c>
      <c r="L780" s="5">
        <f>1385 / 86400</f>
        <v>1.6030092592592592E-2</v>
      </c>
    </row>
    <row r="781" spans="1:12" x14ac:dyDescent="0.25">
      <c r="A781" s="3">
        <v>45691.958356481482</v>
      </c>
      <c r="B781" t="s">
        <v>385</v>
      </c>
      <c r="C781" s="3">
        <v>45691.964247685188</v>
      </c>
      <c r="D781" t="s">
        <v>77</v>
      </c>
      <c r="E781" s="4">
        <v>0.73099999999999998</v>
      </c>
      <c r="F781" s="4">
        <v>434169.84899999999</v>
      </c>
      <c r="G781" s="4">
        <v>434170.58</v>
      </c>
      <c r="H781" s="5">
        <f>179 / 86400</f>
        <v>2.0717592592592593E-3</v>
      </c>
      <c r="I781" t="s">
        <v>170</v>
      </c>
      <c r="J781" t="s">
        <v>136</v>
      </c>
      <c r="K781" s="5">
        <f>509 / 86400</f>
        <v>5.8912037037037041E-3</v>
      </c>
      <c r="L781" s="5">
        <f>3088 / 86400</f>
        <v>3.574074074074074E-2</v>
      </c>
    </row>
    <row r="782" spans="1:12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</row>
    <row r="783" spans="1:12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</row>
    <row r="784" spans="1:12" s="10" customFormat="1" ht="20.100000000000001" customHeight="1" x14ac:dyDescent="0.35">
      <c r="A784" s="12" t="s">
        <v>445</v>
      </c>
      <c r="B784" s="12"/>
      <c r="C784" s="12"/>
      <c r="D784" s="12"/>
      <c r="E784" s="12"/>
      <c r="F784" s="12"/>
      <c r="G784" s="12"/>
      <c r="H784" s="12"/>
      <c r="I784" s="12"/>
      <c r="J784" s="12"/>
    </row>
    <row r="785" spans="1:12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</row>
    <row r="786" spans="1:12" ht="30" x14ac:dyDescent="0.25">
      <c r="A786" s="2" t="s">
        <v>6</v>
      </c>
      <c r="B786" s="2" t="s">
        <v>7</v>
      </c>
      <c r="C786" s="2" t="s">
        <v>8</v>
      </c>
      <c r="D786" s="2" t="s">
        <v>9</v>
      </c>
      <c r="E786" s="2" t="s">
        <v>10</v>
      </c>
      <c r="F786" s="2" t="s">
        <v>11</v>
      </c>
      <c r="G786" s="2" t="s">
        <v>12</v>
      </c>
      <c r="H786" s="2" t="s">
        <v>13</v>
      </c>
      <c r="I786" s="2" t="s">
        <v>14</v>
      </c>
      <c r="J786" s="2" t="s">
        <v>15</v>
      </c>
      <c r="K786" s="2" t="s">
        <v>16</v>
      </c>
      <c r="L786" s="2" t="s">
        <v>17</v>
      </c>
    </row>
    <row r="787" spans="1:12" x14ac:dyDescent="0.25">
      <c r="A787" s="3">
        <v>45691.244317129633</v>
      </c>
      <c r="B787" t="s">
        <v>50</v>
      </c>
      <c r="C787" s="3">
        <v>45691.261979166666</v>
      </c>
      <c r="D787" t="s">
        <v>49</v>
      </c>
      <c r="E787" s="4">
        <v>7.0380000000000003</v>
      </c>
      <c r="F787" s="4">
        <v>513358.86099999998</v>
      </c>
      <c r="G787" s="4">
        <v>513365.89899999998</v>
      </c>
      <c r="H787" s="5">
        <f>509 / 86400</f>
        <v>5.8912037037037041E-3</v>
      </c>
      <c r="I787" t="s">
        <v>188</v>
      </c>
      <c r="J787" t="s">
        <v>47</v>
      </c>
      <c r="K787" s="5">
        <f>1526 / 86400</f>
        <v>1.7662037037037039E-2</v>
      </c>
      <c r="L787" s="5">
        <f>21117 / 86400</f>
        <v>0.24440972222222221</v>
      </c>
    </row>
    <row r="788" spans="1:12" x14ac:dyDescent="0.25">
      <c r="A788" s="3">
        <v>45691.262071759258</v>
      </c>
      <c r="B788" t="s">
        <v>49</v>
      </c>
      <c r="C788" s="3">
        <v>45691.397256944445</v>
      </c>
      <c r="D788" t="s">
        <v>252</v>
      </c>
      <c r="E788" s="4">
        <v>53.845999999999997</v>
      </c>
      <c r="F788" s="4">
        <v>513365.91399999999</v>
      </c>
      <c r="G788" s="4">
        <v>513419.76</v>
      </c>
      <c r="H788" s="5">
        <f>4219 / 86400</f>
        <v>4.8831018518518517E-2</v>
      </c>
      <c r="I788" t="s">
        <v>78</v>
      </c>
      <c r="J788" t="s">
        <v>47</v>
      </c>
      <c r="K788" s="5">
        <f>11680 / 86400</f>
        <v>0.13518518518518519</v>
      </c>
      <c r="L788" s="5">
        <f>30 / 86400</f>
        <v>3.4722222222222224E-4</v>
      </c>
    </row>
    <row r="789" spans="1:12" x14ac:dyDescent="0.25">
      <c r="A789" s="3">
        <v>45691.397604166668</v>
      </c>
      <c r="B789" t="s">
        <v>252</v>
      </c>
      <c r="C789" s="3">
        <v>45691.513657407406</v>
      </c>
      <c r="D789" t="s">
        <v>160</v>
      </c>
      <c r="E789" s="4">
        <v>43.779000000000003</v>
      </c>
      <c r="F789" s="4">
        <v>513419.80099999998</v>
      </c>
      <c r="G789" s="4">
        <v>513463.58</v>
      </c>
      <c r="H789" s="5">
        <f>4266 / 86400</f>
        <v>4.9375000000000002E-2</v>
      </c>
      <c r="I789" t="s">
        <v>139</v>
      </c>
      <c r="J789" t="s">
        <v>40</v>
      </c>
      <c r="K789" s="5">
        <f>10027 / 86400</f>
        <v>0.11605324074074073</v>
      </c>
      <c r="L789" s="5">
        <f>1399 / 86400</f>
        <v>1.6192129629629629E-2</v>
      </c>
    </row>
    <row r="790" spans="1:12" x14ac:dyDescent="0.25">
      <c r="A790" s="3">
        <v>45691.529849537037</v>
      </c>
      <c r="B790" t="s">
        <v>160</v>
      </c>
      <c r="C790" s="3">
        <v>45691.546388888892</v>
      </c>
      <c r="D790" t="s">
        <v>142</v>
      </c>
      <c r="E790" s="4">
        <v>0.73799999999999999</v>
      </c>
      <c r="F790" s="4">
        <v>513463.58</v>
      </c>
      <c r="G790" s="4">
        <v>513464.31800000003</v>
      </c>
      <c r="H790" s="5">
        <f>1111 / 86400</f>
        <v>1.2858796296296297E-2</v>
      </c>
      <c r="I790" t="s">
        <v>35</v>
      </c>
      <c r="J790" t="s">
        <v>137</v>
      </c>
      <c r="K790" s="5">
        <f>1429 / 86400</f>
        <v>1.653935185185185E-2</v>
      </c>
      <c r="L790" s="5">
        <f>98 / 86400</f>
        <v>1.1342592592592593E-3</v>
      </c>
    </row>
    <row r="791" spans="1:12" x14ac:dyDescent="0.25">
      <c r="A791" s="3">
        <v>45691.547523148147</v>
      </c>
      <c r="B791" t="s">
        <v>142</v>
      </c>
      <c r="C791" s="3">
        <v>45691.7027662037</v>
      </c>
      <c r="D791" t="s">
        <v>315</v>
      </c>
      <c r="E791" s="4">
        <v>65.587000000000003</v>
      </c>
      <c r="F791" s="4">
        <v>513464.31800000003</v>
      </c>
      <c r="G791" s="4">
        <v>513529.90500000003</v>
      </c>
      <c r="H791" s="5">
        <f>4405 / 86400</f>
        <v>5.0983796296296298E-2</v>
      </c>
      <c r="I791" t="s">
        <v>39</v>
      </c>
      <c r="J791" t="s">
        <v>20</v>
      </c>
      <c r="K791" s="5">
        <f>13413 / 86400</f>
        <v>0.15524305555555556</v>
      </c>
      <c r="L791" s="5">
        <f>2 / 86400</f>
        <v>2.3148148148148147E-5</v>
      </c>
    </row>
    <row r="792" spans="1:12" x14ac:dyDescent="0.25">
      <c r="A792" s="3">
        <v>45691.702789351853</v>
      </c>
      <c r="B792" t="s">
        <v>265</v>
      </c>
      <c r="C792" s="3">
        <v>45691.783391203702</v>
      </c>
      <c r="D792" t="s">
        <v>127</v>
      </c>
      <c r="E792" s="4">
        <v>39.356000000000002</v>
      </c>
      <c r="F792" s="4">
        <v>513529.913</v>
      </c>
      <c r="G792" s="4">
        <v>513569.26899999997</v>
      </c>
      <c r="H792" s="5">
        <f>1790 / 86400</f>
        <v>2.0717592592592593E-2</v>
      </c>
      <c r="I792" t="s">
        <v>339</v>
      </c>
      <c r="J792" t="s">
        <v>75</v>
      </c>
      <c r="K792" s="5">
        <f>6964 / 86400</f>
        <v>8.0601851851851855E-2</v>
      </c>
      <c r="L792" s="5">
        <f>1005 / 86400</f>
        <v>1.1631944444444445E-2</v>
      </c>
    </row>
    <row r="793" spans="1:12" x14ac:dyDescent="0.25">
      <c r="A793" s="3">
        <v>45691.795023148152</v>
      </c>
      <c r="B793" t="s">
        <v>127</v>
      </c>
      <c r="C793" s="3">
        <v>45691.801701388889</v>
      </c>
      <c r="D793" t="s">
        <v>50</v>
      </c>
      <c r="E793" s="4">
        <v>0.94299999999999995</v>
      </c>
      <c r="F793" s="4">
        <v>513569.26899999997</v>
      </c>
      <c r="G793" s="4">
        <v>513570.212</v>
      </c>
      <c r="H793" s="5">
        <f>211 / 86400</f>
        <v>2.4421296296296296E-3</v>
      </c>
      <c r="I793" t="s">
        <v>35</v>
      </c>
      <c r="J793" t="s">
        <v>32</v>
      </c>
      <c r="K793" s="5">
        <f>577 / 86400</f>
        <v>6.6782407407407407E-3</v>
      </c>
      <c r="L793" s="5">
        <f>17132 / 86400</f>
        <v>0.19828703703703704</v>
      </c>
    </row>
    <row r="794" spans="1:12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</row>
    <row r="795" spans="1:12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</row>
    <row r="796" spans="1:12" s="10" customFormat="1" ht="20.100000000000001" customHeight="1" x14ac:dyDescent="0.35">
      <c r="A796" s="12" t="s">
        <v>446</v>
      </c>
      <c r="B796" s="12"/>
      <c r="C796" s="12"/>
      <c r="D796" s="12"/>
      <c r="E796" s="12"/>
      <c r="F796" s="12"/>
      <c r="G796" s="12"/>
      <c r="H796" s="12"/>
      <c r="I796" s="12"/>
      <c r="J796" s="12"/>
    </row>
    <row r="797" spans="1:12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</row>
    <row r="798" spans="1:12" ht="30" x14ac:dyDescent="0.25">
      <c r="A798" s="2" t="s">
        <v>6</v>
      </c>
      <c r="B798" s="2" t="s">
        <v>7</v>
      </c>
      <c r="C798" s="2" t="s">
        <v>8</v>
      </c>
      <c r="D798" s="2" t="s">
        <v>9</v>
      </c>
      <c r="E798" s="2" t="s">
        <v>10</v>
      </c>
      <c r="F798" s="2" t="s">
        <v>11</v>
      </c>
      <c r="G798" s="2" t="s">
        <v>12</v>
      </c>
      <c r="H798" s="2" t="s">
        <v>13</v>
      </c>
      <c r="I798" s="2" t="s">
        <v>14</v>
      </c>
      <c r="J798" s="2" t="s">
        <v>15</v>
      </c>
      <c r="K798" s="2" t="s">
        <v>16</v>
      </c>
      <c r="L798" s="2" t="s">
        <v>17</v>
      </c>
    </row>
    <row r="799" spans="1:12" x14ac:dyDescent="0.25">
      <c r="A799" s="3">
        <v>45691</v>
      </c>
      <c r="B799" t="s">
        <v>25</v>
      </c>
      <c r="C799" s="3">
        <v>45691.257488425923</v>
      </c>
      <c r="D799" t="s">
        <v>25</v>
      </c>
      <c r="E799" s="4">
        <v>0</v>
      </c>
      <c r="F799" s="4">
        <v>503564.19900000002</v>
      </c>
      <c r="G799" s="4">
        <v>503564.19900000002</v>
      </c>
      <c r="H799" s="5">
        <f>14 / 86400</f>
        <v>1.6203703703703703E-4</v>
      </c>
      <c r="I799" t="s">
        <v>33</v>
      </c>
      <c r="J799" t="s">
        <v>33</v>
      </c>
      <c r="K799" s="5">
        <f>22247 / 86400</f>
        <v>0.25748842592592591</v>
      </c>
      <c r="L799" s="5">
        <f>2 / 86400</f>
        <v>2.3148148148148147E-5</v>
      </c>
    </row>
    <row r="800" spans="1:12" x14ac:dyDescent="0.25">
      <c r="A800" s="3">
        <v>45691.257511574076</v>
      </c>
      <c r="B800" t="s">
        <v>25</v>
      </c>
      <c r="C800" s="3">
        <v>45691.26563657407</v>
      </c>
      <c r="D800" t="s">
        <v>25</v>
      </c>
      <c r="E800" s="4">
        <v>2.5999999999999999E-2</v>
      </c>
      <c r="F800" s="4">
        <v>503564.19900000002</v>
      </c>
      <c r="G800" s="4">
        <v>503564.22499999998</v>
      </c>
      <c r="H800" s="5">
        <f>644 / 86400</f>
        <v>7.4537037037037037E-3</v>
      </c>
      <c r="I800" t="s">
        <v>76</v>
      </c>
      <c r="J800" t="s">
        <v>33</v>
      </c>
      <c r="K800" s="5">
        <f>702 / 86400</f>
        <v>8.1250000000000003E-3</v>
      </c>
      <c r="L800" s="5">
        <f>77 / 86400</f>
        <v>8.9120370370370373E-4</v>
      </c>
    </row>
    <row r="801" spans="1:12" x14ac:dyDescent="0.25">
      <c r="A801" s="3">
        <v>45691.266527777778</v>
      </c>
      <c r="B801" t="s">
        <v>25</v>
      </c>
      <c r="C801" s="3">
        <v>45691.266597222224</v>
      </c>
      <c r="D801" t="s">
        <v>25</v>
      </c>
      <c r="E801" s="4">
        <v>0</v>
      </c>
      <c r="F801" s="4">
        <v>503564.22499999998</v>
      </c>
      <c r="G801" s="4">
        <v>503564.22499999998</v>
      </c>
      <c r="H801" s="5">
        <f>0 / 86400</f>
        <v>0</v>
      </c>
      <c r="I801" t="s">
        <v>33</v>
      </c>
      <c r="J801" t="s">
        <v>33</v>
      </c>
      <c r="K801" s="5">
        <f>6 / 86400</f>
        <v>6.9444444444444444E-5</v>
      </c>
      <c r="L801" s="5">
        <f>350 / 86400</f>
        <v>4.0509259259259257E-3</v>
      </c>
    </row>
    <row r="802" spans="1:12" x14ac:dyDescent="0.25">
      <c r="A802" s="3">
        <v>45691.270648148144</v>
      </c>
      <c r="B802" t="s">
        <v>25</v>
      </c>
      <c r="C802" s="3">
        <v>45691.99998842593</v>
      </c>
      <c r="D802" t="s">
        <v>25</v>
      </c>
      <c r="E802" s="4">
        <v>206.21799999999999</v>
      </c>
      <c r="F802" s="4">
        <v>503564.22499999998</v>
      </c>
      <c r="G802" s="4">
        <v>503770.44300000003</v>
      </c>
      <c r="H802" s="5">
        <f>33885 / 86400</f>
        <v>0.39218750000000002</v>
      </c>
      <c r="I802" t="s">
        <v>57</v>
      </c>
      <c r="J802" t="s">
        <v>155</v>
      </c>
      <c r="K802" s="5">
        <f>63015 / 86400</f>
        <v>0.72934027777777777</v>
      </c>
      <c r="L802" s="5">
        <f>0 / 86400</f>
        <v>0</v>
      </c>
    </row>
    <row r="803" spans="1:12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</row>
    <row r="804" spans="1:12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</row>
    <row r="805" spans="1:12" s="10" customFormat="1" ht="20.100000000000001" customHeight="1" x14ac:dyDescent="0.35">
      <c r="A805" s="12" t="s">
        <v>447</v>
      </c>
      <c r="B805" s="12"/>
      <c r="C805" s="12"/>
      <c r="D805" s="12"/>
      <c r="E805" s="12"/>
      <c r="F805" s="12"/>
      <c r="G805" s="12"/>
      <c r="H805" s="12"/>
      <c r="I805" s="12"/>
      <c r="J805" s="12"/>
    </row>
    <row r="806" spans="1:12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</row>
    <row r="807" spans="1:12" ht="30" x14ac:dyDescent="0.25">
      <c r="A807" s="2" t="s">
        <v>6</v>
      </c>
      <c r="B807" s="2" t="s">
        <v>7</v>
      </c>
      <c r="C807" s="2" t="s">
        <v>8</v>
      </c>
      <c r="D807" s="2" t="s">
        <v>9</v>
      </c>
      <c r="E807" s="2" t="s">
        <v>10</v>
      </c>
      <c r="F807" s="2" t="s">
        <v>11</v>
      </c>
      <c r="G807" s="2" t="s">
        <v>12</v>
      </c>
      <c r="H807" s="2" t="s">
        <v>13</v>
      </c>
      <c r="I807" s="2" t="s">
        <v>14</v>
      </c>
      <c r="J807" s="2" t="s">
        <v>15</v>
      </c>
      <c r="K807" s="2" t="s">
        <v>16</v>
      </c>
      <c r="L807" s="2" t="s">
        <v>17</v>
      </c>
    </row>
    <row r="808" spans="1:12" x14ac:dyDescent="0.25">
      <c r="A808" s="3">
        <v>45691.263668981483</v>
      </c>
      <c r="B808" t="s">
        <v>80</v>
      </c>
      <c r="C808" s="3">
        <v>45691.265416666662</v>
      </c>
      <c r="D808" t="s">
        <v>294</v>
      </c>
      <c r="E808" s="4">
        <v>0.57499999999999996</v>
      </c>
      <c r="F808" s="4">
        <v>350305.61099999998</v>
      </c>
      <c r="G808" s="4">
        <v>350306.18599999999</v>
      </c>
      <c r="H808" s="5">
        <f>40 / 86400</f>
        <v>4.6296296296296298E-4</v>
      </c>
      <c r="I808" t="s">
        <v>170</v>
      </c>
      <c r="J808" t="s">
        <v>45</v>
      </c>
      <c r="K808" s="5">
        <f>151 / 86400</f>
        <v>1.7476851851851852E-3</v>
      </c>
      <c r="L808" s="5">
        <f>22792 / 86400</f>
        <v>0.26379629629629631</v>
      </c>
    </row>
    <row r="809" spans="1:12" x14ac:dyDescent="0.25">
      <c r="A809" s="3">
        <v>45691.265543981484</v>
      </c>
      <c r="B809" t="s">
        <v>294</v>
      </c>
      <c r="C809" s="3">
        <v>45691.275833333333</v>
      </c>
      <c r="D809" t="s">
        <v>154</v>
      </c>
      <c r="E809" s="4">
        <v>4.5469999999999997</v>
      </c>
      <c r="F809" s="4">
        <v>350306.18599999999</v>
      </c>
      <c r="G809" s="4">
        <v>350310.73300000001</v>
      </c>
      <c r="H809" s="5">
        <f>260 / 86400</f>
        <v>3.0092592592592593E-3</v>
      </c>
      <c r="I809" t="s">
        <v>245</v>
      </c>
      <c r="J809" t="s">
        <v>20</v>
      </c>
      <c r="K809" s="5">
        <f>889 / 86400</f>
        <v>1.0289351851851852E-2</v>
      </c>
      <c r="L809" s="5">
        <f>196 / 86400</f>
        <v>2.2685185185185187E-3</v>
      </c>
    </row>
    <row r="810" spans="1:12" x14ac:dyDescent="0.25">
      <c r="A810" s="3">
        <v>45691.278101851851</v>
      </c>
      <c r="B810" t="s">
        <v>154</v>
      </c>
      <c r="C810" s="3">
        <v>45691.402407407411</v>
      </c>
      <c r="D810" t="s">
        <v>161</v>
      </c>
      <c r="E810" s="4">
        <v>52.276000000000003</v>
      </c>
      <c r="F810" s="4">
        <v>350310.73300000001</v>
      </c>
      <c r="G810" s="4">
        <v>350363.00900000002</v>
      </c>
      <c r="H810" s="5">
        <f>3599 / 86400</f>
        <v>4.1655092592592591E-2</v>
      </c>
      <c r="I810" t="s">
        <v>44</v>
      </c>
      <c r="J810" t="s">
        <v>20</v>
      </c>
      <c r="K810" s="5">
        <f>10739 / 86400</f>
        <v>0.12429398148148148</v>
      </c>
      <c r="L810" s="5">
        <f>129 / 86400</f>
        <v>1.4930555555555556E-3</v>
      </c>
    </row>
    <row r="811" spans="1:12" x14ac:dyDescent="0.25">
      <c r="A811" s="3">
        <v>45691.403900462959</v>
      </c>
      <c r="B811" t="s">
        <v>161</v>
      </c>
      <c r="C811" s="3">
        <v>45691.404675925922</v>
      </c>
      <c r="D811" t="s">
        <v>365</v>
      </c>
      <c r="E811" s="4">
        <v>9.5000000000000001E-2</v>
      </c>
      <c r="F811" s="4">
        <v>350363.00900000002</v>
      </c>
      <c r="G811" s="4">
        <v>350363.10399999999</v>
      </c>
      <c r="H811" s="5">
        <f>5 / 86400</f>
        <v>5.7870370370370373E-5</v>
      </c>
      <c r="I811" t="s">
        <v>156</v>
      </c>
      <c r="J811" t="s">
        <v>136</v>
      </c>
      <c r="K811" s="5">
        <f>67 / 86400</f>
        <v>7.7546296296296293E-4</v>
      </c>
      <c r="L811" s="5">
        <f>698 / 86400</f>
        <v>8.0787037037037043E-3</v>
      </c>
    </row>
    <row r="812" spans="1:12" x14ac:dyDescent="0.25">
      <c r="A812" s="3">
        <v>45691.412754629629</v>
      </c>
      <c r="B812" t="s">
        <v>365</v>
      </c>
      <c r="C812" s="3">
        <v>45691.541770833333</v>
      </c>
      <c r="D812" t="s">
        <v>127</v>
      </c>
      <c r="E812" s="4">
        <v>50.37</v>
      </c>
      <c r="F812" s="4">
        <v>350363.10399999999</v>
      </c>
      <c r="G812" s="4">
        <v>350413.47399999999</v>
      </c>
      <c r="H812" s="5">
        <f>3861 / 86400</f>
        <v>4.4687499999999998E-2</v>
      </c>
      <c r="I812" t="s">
        <v>39</v>
      </c>
      <c r="J812" t="s">
        <v>40</v>
      </c>
      <c r="K812" s="5">
        <f>11146 / 86400</f>
        <v>0.12900462962962964</v>
      </c>
      <c r="L812" s="5">
        <f>256 / 86400</f>
        <v>2.9629629629629628E-3</v>
      </c>
    </row>
    <row r="813" spans="1:12" x14ac:dyDescent="0.25">
      <c r="A813" s="3">
        <v>45691.544733796298</v>
      </c>
      <c r="B813" t="s">
        <v>127</v>
      </c>
      <c r="C813" s="3">
        <v>45691.548287037032</v>
      </c>
      <c r="D813" t="s">
        <v>154</v>
      </c>
      <c r="E813" s="4">
        <v>3.3000000000000002E-2</v>
      </c>
      <c r="F813" s="4">
        <v>350413.47399999999</v>
      </c>
      <c r="G813" s="4">
        <v>350413.50699999998</v>
      </c>
      <c r="H813" s="5">
        <f>259 / 86400</f>
        <v>2.9976851851851853E-3</v>
      </c>
      <c r="I813" t="s">
        <v>136</v>
      </c>
      <c r="J813" t="s">
        <v>33</v>
      </c>
      <c r="K813" s="5">
        <f>307 / 86400</f>
        <v>3.5532407407407409E-3</v>
      </c>
      <c r="L813" s="5">
        <f>2180 / 86400</f>
        <v>2.5231481481481483E-2</v>
      </c>
    </row>
    <row r="814" spans="1:12" x14ac:dyDescent="0.25">
      <c r="A814" s="3">
        <v>45691.573518518519</v>
      </c>
      <c r="B814" t="s">
        <v>154</v>
      </c>
      <c r="C814" s="3">
        <v>45691.573553240742</v>
      </c>
      <c r="D814" t="s">
        <v>154</v>
      </c>
      <c r="E814" s="4">
        <v>0</v>
      </c>
      <c r="F814" s="4">
        <v>350413.50699999998</v>
      </c>
      <c r="G814" s="4">
        <v>350413.50699999998</v>
      </c>
      <c r="H814" s="5">
        <f>0 / 86400</f>
        <v>0</v>
      </c>
      <c r="I814" t="s">
        <v>33</v>
      </c>
      <c r="J814" t="s">
        <v>33</v>
      </c>
      <c r="K814" s="5">
        <f>2 / 86400</f>
        <v>2.3148148148148147E-5</v>
      </c>
      <c r="L814" s="5">
        <f>6 / 86400</f>
        <v>6.9444444444444444E-5</v>
      </c>
    </row>
    <row r="815" spans="1:12" x14ac:dyDescent="0.25">
      <c r="A815" s="3">
        <v>45691.573622685188</v>
      </c>
      <c r="B815" t="s">
        <v>154</v>
      </c>
      <c r="C815" s="3">
        <v>45691.575196759259</v>
      </c>
      <c r="D815" t="s">
        <v>154</v>
      </c>
      <c r="E815" s="4">
        <v>6.9000000000000006E-2</v>
      </c>
      <c r="F815" s="4">
        <v>350413.50699999998</v>
      </c>
      <c r="G815" s="4">
        <v>350413.576</v>
      </c>
      <c r="H815" s="5">
        <f>91 / 86400</f>
        <v>1.0532407407407407E-3</v>
      </c>
      <c r="I815" t="s">
        <v>156</v>
      </c>
      <c r="J815" t="s">
        <v>137</v>
      </c>
      <c r="K815" s="5">
        <f>136 / 86400</f>
        <v>1.5740740740740741E-3</v>
      </c>
      <c r="L815" s="5">
        <f>359 / 86400</f>
        <v>4.1550925925925922E-3</v>
      </c>
    </row>
    <row r="816" spans="1:12" x14ac:dyDescent="0.25">
      <c r="A816" s="3">
        <v>45691.579351851848</v>
      </c>
      <c r="B816" t="s">
        <v>154</v>
      </c>
      <c r="C816" s="3">
        <v>45691.579988425925</v>
      </c>
      <c r="D816" t="s">
        <v>127</v>
      </c>
      <c r="E816" s="4">
        <v>1.7000000000000001E-2</v>
      </c>
      <c r="F816" s="4">
        <v>350413.576</v>
      </c>
      <c r="G816" s="4">
        <v>350413.59299999999</v>
      </c>
      <c r="H816" s="5">
        <f>39 / 86400</f>
        <v>4.5138888888888887E-4</v>
      </c>
      <c r="I816" t="s">
        <v>136</v>
      </c>
      <c r="J816" t="s">
        <v>62</v>
      </c>
      <c r="K816" s="5">
        <f>54 / 86400</f>
        <v>6.2500000000000001E-4</v>
      </c>
      <c r="L816" s="5">
        <f>3208 / 86400</f>
        <v>3.712962962962963E-2</v>
      </c>
    </row>
    <row r="817" spans="1:12" x14ac:dyDescent="0.25">
      <c r="A817" s="3">
        <v>45691.617118055554</v>
      </c>
      <c r="B817" t="s">
        <v>127</v>
      </c>
      <c r="C817" s="3">
        <v>45691.625706018516</v>
      </c>
      <c r="D817" t="s">
        <v>160</v>
      </c>
      <c r="E817" s="4">
        <v>0.70299999999999996</v>
      </c>
      <c r="F817" s="4">
        <v>350413.59299999999</v>
      </c>
      <c r="G817" s="4">
        <v>350414.29599999997</v>
      </c>
      <c r="H817" s="5">
        <f>559 / 86400</f>
        <v>6.4699074074074077E-3</v>
      </c>
      <c r="I817" t="s">
        <v>248</v>
      </c>
      <c r="J817" t="s">
        <v>128</v>
      </c>
      <c r="K817" s="5">
        <f>741 / 86400</f>
        <v>8.5763888888888886E-3</v>
      </c>
      <c r="L817" s="5">
        <f>122 / 86400</f>
        <v>1.4120370370370369E-3</v>
      </c>
    </row>
    <row r="818" spans="1:12" x14ac:dyDescent="0.25">
      <c r="A818" s="3">
        <v>45691.627118055556</v>
      </c>
      <c r="B818" t="s">
        <v>160</v>
      </c>
      <c r="C818" s="3">
        <v>45691.738935185189</v>
      </c>
      <c r="D818" t="s">
        <v>237</v>
      </c>
      <c r="E818" s="4">
        <v>47.298999999999999</v>
      </c>
      <c r="F818" s="4">
        <v>350414.29599999997</v>
      </c>
      <c r="G818" s="4">
        <v>350461.59499999997</v>
      </c>
      <c r="H818" s="5">
        <f>3179 / 86400</f>
        <v>3.6793981481481483E-2</v>
      </c>
      <c r="I818" t="s">
        <v>44</v>
      </c>
      <c r="J818" t="s">
        <v>20</v>
      </c>
      <c r="K818" s="5">
        <f>9660 / 86400</f>
        <v>0.11180555555555556</v>
      </c>
      <c r="L818" s="5">
        <f>244 / 86400</f>
        <v>2.8240740740740739E-3</v>
      </c>
    </row>
    <row r="819" spans="1:12" x14ac:dyDescent="0.25">
      <c r="A819" s="3">
        <v>45691.741759259261</v>
      </c>
      <c r="B819" t="s">
        <v>237</v>
      </c>
      <c r="C819" s="3">
        <v>45691.8987037037</v>
      </c>
      <c r="D819" t="s">
        <v>353</v>
      </c>
      <c r="E819" s="4">
        <v>52.31</v>
      </c>
      <c r="F819" s="4">
        <v>350461.59499999997</v>
      </c>
      <c r="G819" s="4">
        <v>350513.90500000003</v>
      </c>
      <c r="H819" s="5">
        <f>5145 / 86400</f>
        <v>5.9548611111111108E-2</v>
      </c>
      <c r="I819" t="s">
        <v>29</v>
      </c>
      <c r="J819" t="s">
        <v>45</v>
      </c>
      <c r="K819" s="5">
        <f>13560 / 86400</f>
        <v>0.15694444444444444</v>
      </c>
      <c r="L819" s="5">
        <f>479 / 86400</f>
        <v>5.5439814814814813E-3</v>
      </c>
    </row>
    <row r="820" spans="1:12" x14ac:dyDescent="0.25">
      <c r="A820" s="3">
        <v>45691.90424768519</v>
      </c>
      <c r="B820" t="s">
        <v>353</v>
      </c>
      <c r="C820" s="3">
        <v>45691.904305555552</v>
      </c>
      <c r="D820" t="s">
        <v>353</v>
      </c>
      <c r="E820" s="4">
        <v>0</v>
      </c>
      <c r="F820" s="4">
        <v>350513.90500000003</v>
      </c>
      <c r="G820" s="4">
        <v>350513.90500000003</v>
      </c>
      <c r="H820" s="5">
        <f>0 / 86400</f>
        <v>0</v>
      </c>
      <c r="I820" t="s">
        <v>33</v>
      </c>
      <c r="J820" t="s">
        <v>33</v>
      </c>
      <c r="K820" s="5">
        <f>5 / 86400</f>
        <v>5.7870370370370373E-5</v>
      </c>
      <c r="L820" s="5">
        <f>428 / 86400</f>
        <v>4.9537037037037041E-3</v>
      </c>
    </row>
    <row r="821" spans="1:12" x14ac:dyDescent="0.25">
      <c r="A821" s="3">
        <v>45691.909259259264</v>
      </c>
      <c r="B821" t="s">
        <v>353</v>
      </c>
      <c r="C821" s="3">
        <v>45691.914270833338</v>
      </c>
      <c r="D821" t="s">
        <v>80</v>
      </c>
      <c r="E821" s="4">
        <v>0.81499999999999995</v>
      </c>
      <c r="F821" s="4">
        <v>350513.90500000003</v>
      </c>
      <c r="G821" s="4">
        <v>350514.72</v>
      </c>
      <c r="H821" s="5">
        <f>159 / 86400</f>
        <v>1.8402777777777777E-3</v>
      </c>
      <c r="I821" t="s">
        <v>172</v>
      </c>
      <c r="J821" t="s">
        <v>76</v>
      </c>
      <c r="K821" s="5">
        <f>433 / 86400</f>
        <v>5.0115740740740737E-3</v>
      </c>
      <c r="L821" s="5">
        <f>7406 / 86400</f>
        <v>8.5717592592592595E-2</v>
      </c>
    </row>
    <row r="822" spans="1:12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</row>
    <row r="823" spans="1:12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</row>
    <row r="824" spans="1:12" s="10" customFormat="1" ht="20.100000000000001" customHeight="1" x14ac:dyDescent="0.35">
      <c r="A824" s="12" t="s">
        <v>448</v>
      </c>
      <c r="B824" s="12"/>
      <c r="C824" s="12"/>
      <c r="D824" s="12"/>
      <c r="E824" s="12"/>
      <c r="F824" s="12"/>
      <c r="G824" s="12"/>
      <c r="H824" s="12"/>
      <c r="I824" s="12"/>
      <c r="J824" s="12"/>
    </row>
    <row r="825" spans="1:12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</row>
    <row r="826" spans="1:12" ht="30" x14ac:dyDescent="0.25">
      <c r="A826" s="2" t="s">
        <v>6</v>
      </c>
      <c r="B826" s="2" t="s">
        <v>7</v>
      </c>
      <c r="C826" s="2" t="s">
        <v>8</v>
      </c>
      <c r="D826" s="2" t="s">
        <v>9</v>
      </c>
      <c r="E826" s="2" t="s">
        <v>10</v>
      </c>
      <c r="F826" s="2" t="s">
        <v>11</v>
      </c>
      <c r="G826" s="2" t="s">
        <v>12</v>
      </c>
      <c r="H826" s="2" t="s">
        <v>13</v>
      </c>
      <c r="I826" s="2" t="s">
        <v>14</v>
      </c>
      <c r="J826" s="2" t="s">
        <v>15</v>
      </c>
      <c r="K826" s="2" t="s">
        <v>16</v>
      </c>
      <c r="L826" s="2" t="s">
        <v>17</v>
      </c>
    </row>
    <row r="827" spans="1:12" x14ac:dyDescent="0.25">
      <c r="A827" s="3">
        <v>45691.222453703704</v>
      </c>
      <c r="B827" t="s">
        <v>81</v>
      </c>
      <c r="C827" s="3">
        <v>45691.222662037035</v>
      </c>
      <c r="D827" t="s">
        <v>81</v>
      </c>
      <c r="E827" s="4">
        <v>0</v>
      </c>
      <c r="F827" s="4">
        <v>409507.34600000002</v>
      </c>
      <c r="G827" s="4">
        <v>409507.34600000002</v>
      </c>
      <c r="H827" s="5">
        <f>0 / 86400</f>
        <v>0</v>
      </c>
      <c r="I827" t="s">
        <v>33</v>
      </c>
      <c r="J827" t="s">
        <v>33</v>
      </c>
      <c r="K827" s="5">
        <f>18 / 86400</f>
        <v>2.0833333333333335E-4</v>
      </c>
      <c r="L827" s="5">
        <f>19266 / 86400</f>
        <v>0.22298611111111111</v>
      </c>
    </row>
    <row r="828" spans="1:12" x14ac:dyDescent="0.25">
      <c r="A828" s="3">
        <v>45691.223194444443</v>
      </c>
      <c r="B828" t="s">
        <v>81</v>
      </c>
      <c r="C828" s="3">
        <v>45691.44730324074</v>
      </c>
      <c r="D828" t="s">
        <v>160</v>
      </c>
      <c r="E828" s="4">
        <v>86.194000000000003</v>
      </c>
      <c r="F828" s="4">
        <v>409507.34600000002</v>
      </c>
      <c r="G828" s="4">
        <v>409593.54</v>
      </c>
      <c r="H828" s="5">
        <f>7138 / 86400</f>
        <v>8.261574074074074E-2</v>
      </c>
      <c r="I828" t="s">
        <v>57</v>
      </c>
      <c r="J828" t="s">
        <v>40</v>
      </c>
      <c r="K828" s="5">
        <f>19363 / 86400</f>
        <v>0.22410879629629629</v>
      </c>
      <c r="L828" s="5">
        <f>2363 / 86400</f>
        <v>2.7349537037037037E-2</v>
      </c>
    </row>
    <row r="829" spans="1:12" x14ac:dyDescent="0.25">
      <c r="A829" s="3">
        <v>45691.474652777775</v>
      </c>
      <c r="B829" t="s">
        <v>160</v>
      </c>
      <c r="C829" s="3">
        <v>45691.47861111111</v>
      </c>
      <c r="D829" t="s">
        <v>142</v>
      </c>
      <c r="E829" s="4">
        <v>0.67600000000000005</v>
      </c>
      <c r="F829" s="4">
        <v>409593.54</v>
      </c>
      <c r="G829" s="4">
        <v>409594.21600000001</v>
      </c>
      <c r="H829" s="5">
        <f>119 / 86400</f>
        <v>1.3773148148148147E-3</v>
      </c>
      <c r="I829" t="s">
        <v>170</v>
      </c>
      <c r="J829" t="s">
        <v>76</v>
      </c>
      <c r="K829" s="5">
        <f>342 / 86400</f>
        <v>3.9583333333333337E-3</v>
      </c>
      <c r="L829" s="5">
        <f>1317 / 86400</f>
        <v>1.5243055555555555E-2</v>
      </c>
    </row>
    <row r="830" spans="1:12" x14ac:dyDescent="0.25">
      <c r="A830" s="3">
        <v>45691.493854166663</v>
      </c>
      <c r="B830" t="s">
        <v>142</v>
      </c>
      <c r="C830" s="3">
        <v>45691.704722222217</v>
      </c>
      <c r="D830" t="s">
        <v>145</v>
      </c>
      <c r="E830" s="4">
        <v>90.655000000000001</v>
      </c>
      <c r="F830" s="4">
        <v>409594.21600000001</v>
      </c>
      <c r="G830" s="4">
        <v>409684.87099999998</v>
      </c>
      <c r="H830" s="5">
        <f>5801 / 86400</f>
        <v>6.7141203703703703E-2</v>
      </c>
      <c r="I830" t="s">
        <v>29</v>
      </c>
      <c r="J830" t="s">
        <v>20</v>
      </c>
      <c r="K830" s="5">
        <f>18219 / 86400</f>
        <v>0.21086805555555554</v>
      </c>
      <c r="L830" s="5">
        <f>82 / 86400</f>
        <v>9.4907407407407408E-4</v>
      </c>
    </row>
    <row r="831" spans="1:12" x14ac:dyDescent="0.25">
      <c r="A831" s="3">
        <v>45691.705671296295</v>
      </c>
      <c r="B831" t="s">
        <v>145</v>
      </c>
      <c r="C831" s="3">
        <v>45691.756863425922</v>
      </c>
      <c r="D831" t="s">
        <v>81</v>
      </c>
      <c r="E831" s="4">
        <v>22.033000000000001</v>
      </c>
      <c r="F831" s="4">
        <v>409684.87099999998</v>
      </c>
      <c r="G831" s="4">
        <v>409706.90399999998</v>
      </c>
      <c r="H831" s="5">
        <f>1598 / 86400</f>
        <v>1.849537037037037E-2</v>
      </c>
      <c r="I831" t="s">
        <v>34</v>
      </c>
      <c r="J831" t="s">
        <v>20</v>
      </c>
      <c r="K831" s="5">
        <f>4423 / 86400</f>
        <v>5.1192129629629629E-2</v>
      </c>
      <c r="L831" s="5">
        <f>21006 / 86400</f>
        <v>0.24312500000000001</v>
      </c>
    </row>
    <row r="832" spans="1:12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</row>
    <row r="833" spans="1:12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</row>
    <row r="834" spans="1:12" s="10" customFormat="1" ht="20.100000000000001" customHeight="1" x14ac:dyDescent="0.35">
      <c r="A834" s="12" t="s">
        <v>449</v>
      </c>
      <c r="B834" s="12"/>
      <c r="C834" s="12"/>
      <c r="D834" s="12"/>
      <c r="E834" s="12"/>
      <c r="F834" s="12"/>
      <c r="G834" s="12"/>
      <c r="H834" s="12"/>
      <c r="I834" s="12"/>
      <c r="J834" s="12"/>
    </row>
    <row r="835" spans="1:12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</row>
    <row r="836" spans="1:12" ht="30" x14ac:dyDescent="0.25">
      <c r="A836" s="2" t="s">
        <v>6</v>
      </c>
      <c r="B836" s="2" t="s">
        <v>7</v>
      </c>
      <c r="C836" s="2" t="s">
        <v>8</v>
      </c>
      <c r="D836" s="2" t="s">
        <v>9</v>
      </c>
      <c r="E836" s="2" t="s">
        <v>10</v>
      </c>
      <c r="F836" s="2" t="s">
        <v>11</v>
      </c>
      <c r="G836" s="2" t="s">
        <v>12</v>
      </c>
      <c r="H836" s="2" t="s">
        <v>13</v>
      </c>
      <c r="I836" s="2" t="s">
        <v>14</v>
      </c>
      <c r="J836" s="2" t="s">
        <v>15</v>
      </c>
      <c r="K836" s="2" t="s">
        <v>16</v>
      </c>
      <c r="L836" s="2" t="s">
        <v>17</v>
      </c>
    </row>
    <row r="837" spans="1:12" x14ac:dyDescent="0.25">
      <c r="A837" s="3">
        <v>45691.152453703704</v>
      </c>
      <c r="B837" t="s">
        <v>28</v>
      </c>
      <c r="C837" s="3">
        <v>45691.223055555558</v>
      </c>
      <c r="D837" t="s">
        <v>365</v>
      </c>
      <c r="E837" s="4">
        <v>34.524000000000001</v>
      </c>
      <c r="F837" s="4">
        <v>440093.15</v>
      </c>
      <c r="G837" s="4">
        <v>440127.674</v>
      </c>
      <c r="H837" s="5">
        <f>1439 / 86400</f>
        <v>1.6655092592592593E-2</v>
      </c>
      <c r="I837" t="s">
        <v>19</v>
      </c>
      <c r="J837" t="s">
        <v>75</v>
      </c>
      <c r="K837" s="5">
        <f>6100 / 86400</f>
        <v>7.0601851851851846E-2</v>
      </c>
      <c r="L837" s="5">
        <f>13355 / 86400</f>
        <v>0.15457175925925926</v>
      </c>
    </row>
    <row r="838" spans="1:12" x14ac:dyDescent="0.25">
      <c r="A838" s="3">
        <v>45691.225173611107</v>
      </c>
      <c r="B838" t="s">
        <v>365</v>
      </c>
      <c r="C838" s="3">
        <v>45691.225960648153</v>
      </c>
      <c r="D838" t="s">
        <v>365</v>
      </c>
      <c r="E838" s="4">
        <v>0</v>
      </c>
      <c r="F838" s="4">
        <v>440127.674</v>
      </c>
      <c r="G838" s="4">
        <v>440127.674</v>
      </c>
      <c r="H838" s="5">
        <f>59 / 86400</f>
        <v>6.8287037037037036E-4</v>
      </c>
      <c r="I838" t="s">
        <v>33</v>
      </c>
      <c r="J838" t="s">
        <v>33</v>
      </c>
      <c r="K838" s="5">
        <f>68 / 86400</f>
        <v>7.8703703703703705E-4</v>
      </c>
      <c r="L838" s="5">
        <f>10 / 86400</f>
        <v>1.1574074074074075E-4</v>
      </c>
    </row>
    <row r="839" spans="1:12" x14ac:dyDescent="0.25">
      <c r="A839" s="3">
        <v>45691.226076388892</v>
      </c>
      <c r="B839" t="s">
        <v>365</v>
      </c>
      <c r="C839" s="3">
        <v>45691.227951388893</v>
      </c>
      <c r="D839" t="s">
        <v>365</v>
      </c>
      <c r="E839" s="4">
        <v>0</v>
      </c>
      <c r="F839" s="4">
        <v>440127.674</v>
      </c>
      <c r="G839" s="4">
        <v>440127.674</v>
      </c>
      <c r="H839" s="5">
        <f>161 / 86400</f>
        <v>1.8634259259259259E-3</v>
      </c>
      <c r="I839" t="s">
        <v>33</v>
      </c>
      <c r="J839" t="s">
        <v>33</v>
      </c>
      <c r="K839" s="5">
        <f>162 / 86400</f>
        <v>1.8749999999999999E-3</v>
      </c>
      <c r="L839" s="5">
        <f>164 / 86400</f>
        <v>1.8981481481481482E-3</v>
      </c>
    </row>
    <row r="840" spans="1:12" x14ac:dyDescent="0.25">
      <c r="A840" s="3">
        <v>45691.229849537034</v>
      </c>
      <c r="B840" t="s">
        <v>365</v>
      </c>
      <c r="C840" s="3">
        <v>45691.23033564815</v>
      </c>
      <c r="D840" t="s">
        <v>365</v>
      </c>
      <c r="E840" s="4">
        <v>0</v>
      </c>
      <c r="F840" s="4">
        <v>440127.674</v>
      </c>
      <c r="G840" s="4">
        <v>440127.674</v>
      </c>
      <c r="H840" s="5">
        <f>39 / 86400</f>
        <v>4.5138888888888887E-4</v>
      </c>
      <c r="I840" t="s">
        <v>33</v>
      </c>
      <c r="J840" t="s">
        <v>33</v>
      </c>
      <c r="K840" s="5">
        <f>41 / 86400</f>
        <v>4.7453703703703704E-4</v>
      </c>
      <c r="L840" s="5">
        <f>20 / 86400</f>
        <v>2.3148148148148149E-4</v>
      </c>
    </row>
    <row r="841" spans="1:12" x14ac:dyDescent="0.25">
      <c r="A841" s="3">
        <v>45691.230567129634</v>
      </c>
      <c r="B841" t="s">
        <v>365</v>
      </c>
      <c r="C841" s="3">
        <v>45691.339861111112</v>
      </c>
      <c r="D841" t="s">
        <v>142</v>
      </c>
      <c r="E841" s="4">
        <v>50.813000000000002</v>
      </c>
      <c r="F841" s="4">
        <v>440127.674</v>
      </c>
      <c r="G841" s="4">
        <v>440178.48700000002</v>
      </c>
      <c r="H841" s="5">
        <f>2659 / 86400</f>
        <v>3.0775462962962963E-2</v>
      </c>
      <c r="I841" t="s">
        <v>169</v>
      </c>
      <c r="J841" t="s">
        <v>35</v>
      </c>
      <c r="K841" s="5">
        <f>9443 / 86400</f>
        <v>0.10929398148148148</v>
      </c>
      <c r="L841" s="5">
        <f>1046 / 86400</f>
        <v>1.2106481481481482E-2</v>
      </c>
    </row>
    <row r="842" spans="1:12" x14ac:dyDescent="0.25">
      <c r="A842" s="3">
        <v>45691.351967592593</v>
      </c>
      <c r="B842" t="s">
        <v>142</v>
      </c>
      <c r="C842" s="3">
        <v>45691.360694444447</v>
      </c>
      <c r="D842" t="s">
        <v>386</v>
      </c>
      <c r="E842" s="4">
        <v>1.45</v>
      </c>
      <c r="F842" s="4">
        <v>440178.48700000002</v>
      </c>
      <c r="G842" s="4">
        <v>440179.93699999998</v>
      </c>
      <c r="H842" s="5">
        <f>360 / 86400</f>
        <v>4.1666666666666666E-3</v>
      </c>
      <c r="I842" t="s">
        <v>131</v>
      </c>
      <c r="J842" t="s">
        <v>76</v>
      </c>
      <c r="K842" s="5">
        <f>753 / 86400</f>
        <v>8.7152777777777784E-3</v>
      </c>
      <c r="L842" s="5">
        <f>272 / 86400</f>
        <v>3.1481481481481482E-3</v>
      </c>
    </row>
    <row r="843" spans="1:12" x14ac:dyDescent="0.25">
      <c r="A843" s="3">
        <v>45691.363842592589</v>
      </c>
      <c r="B843" t="s">
        <v>386</v>
      </c>
      <c r="C843" s="3">
        <v>45691.477743055555</v>
      </c>
      <c r="D843" t="s">
        <v>153</v>
      </c>
      <c r="E843" s="4">
        <v>49.561</v>
      </c>
      <c r="F843" s="4">
        <v>440179.93699999998</v>
      </c>
      <c r="G843" s="4">
        <v>440229.49800000002</v>
      </c>
      <c r="H843" s="5">
        <f>2900 / 86400</f>
        <v>3.3564814814814818E-2</v>
      </c>
      <c r="I843" t="s">
        <v>169</v>
      </c>
      <c r="J843" t="s">
        <v>20</v>
      </c>
      <c r="K843" s="5">
        <f>9840 / 86400</f>
        <v>0.11388888888888889</v>
      </c>
      <c r="L843" s="5">
        <f>4369 / 86400</f>
        <v>5.0567129629629629E-2</v>
      </c>
    </row>
    <row r="844" spans="1:12" x14ac:dyDescent="0.25">
      <c r="A844" s="3">
        <v>45691.528310185182</v>
      </c>
      <c r="B844" t="s">
        <v>153</v>
      </c>
      <c r="C844" s="3">
        <v>45691.681087962963</v>
      </c>
      <c r="D844" t="s">
        <v>163</v>
      </c>
      <c r="E844" s="4">
        <v>67.748999999999995</v>
      </c>
      <c r="F844" s="4">
        <v>440229.49800000002</v>
      </c>
      <c r="G844" s="4">
        <v>440297.24699999997</v>
      </c>
      <c r="H844" s="5">
        <f>4278 / 86400</f>
        <v>4.9513888888888892E-2</v>
      </c>
      <c r="I844" t="s">
        <v>305</v>
      </c>
      <c r="J844" t="s">
        <v>20</v>
      </c>
      <c r="K844" s="5">
        <f>13200 / 86400</f>
        <v>0.15277777777777779</v>
      </c>
      <c r="L844" s="5">
        <f>823 / 86400</f>
        <v>9.525462962962963E-3</v>
      </c>
    </row>
    <row r="845" spans="1:12" x14ac:dyDescent="0.25">
      <c r="A845" s="3">
        <v>45691.690613425926</v>
      </c>
      <c r="B845" t="s">
        <v>163</v>
      </c>
      <c r="C845" s="3">
        <v>45691.699120370366</v>
      </c>
      <c r="D845" t="s">
        <v>85</v>
      </c>
      <c r="E845" s="4">
        <v>2.9529999999999998</v>
      </c>
      <c r="F845" s="4">
        <v>440297.24699999997</v>
      </c>
      <c r="G845" s="4">
        <v>440300.2</v>
      </c>
      <c r="H845" s="5">
        <f>60 / 86400</f>
        <v>6.9444444444444447E-4</v>
      </c>
      <c r="I845" t="s">
        <v>158</v>
      </c>
      <c r="J845" t="s">
        <v>45</v>
      </c>
      <c r="K845" s="5">
        <f>734 / 86400</f>
        <v>8.4953703703703701E-3</v>
      </c>
      <c r="L845" s="5">
        <f>4159 / 86400</f>
        <v>4.8136574074074075E-2</v>
      </c>
    </row>
    <row r="846" spans="1:12" x14ac:dyDescent="0.25">
      <c r="A846" s="3">
        <v>45691.747256944444</v>
      </c>
      <c r="B846" t="s">
        <v>85</v>
      </c>
      <c r="C846" s="3">
        <v>45691.770868055552</v>
      </c>
      <c r="D846" t="s">
        <v>387</v>
      </c>
      <c r="E846" s="4">
        <v>8.5440000000000005</v>
      </c>
      <c r="F846" s="4">
        <v>440300.2</v>
      </c>
      <c r="G846" s="4">
        <v>440308.74400000001</v>
      </c>
      <c r="H846" s="5">
        <f>839 / 86400</f>
        <v>9.7106481481481488E-3</v>
      </c>
      <c r="I846" t="s">
        <v>240</v>
      </c>
      <c r="J846" t="s">
        <v>30</v>
      </c>
      <c r="K846" s="5">
        <f>2039 / 86400</f>
        <v>2.3599537037037037E-2</v>
      </c>
      <c r="L846" s="5">
        <f>19 / 86400</f>
        <v>2.199074074074074E-4</v>
      </c>
    </row>
    <row r="847" spans="1:12" x14ac:dyDescent="0.25">
      <c r="A847" s="3">
        <v>45691.771087962959</v>
      </c>
      <c r="B847" t="s">
        <v>387</v>
      </c>
      <c r="C847" s="3">
        <v>45691.771817129629</v>
      </c>
      <c r="D847" t="s">
        <v>387</v>
      </c>
      <c r="E847" s="4">
        <v>0</v>
      </c>
      <c r="F847" s="4">
        <v>440308.74400000001</v>
      </c>
      <c r="G847" s="4">
        <v>440308.74400000001</v>
      </c>
      <c r="H847" s="5">
        <f>59 / 86400</f>
        <v>6.8287037037037036E-4</v>
      </c>
      <c r="I847" t="s">
        <v>33</v>
      </c>
      <c r="J847" t="s">
        <v>33</v>
      </c>
      <c r="K847" s="5">
        <f>63 / 86400</f>
        <v>7.291666666666667E-4</v>
      </c>
      <c r="L847" s="5">
        <f>10 / 86400</f>
        <v>1.1574074074074075E-4</v>
      </c>
    </row>
    <row r="848" spans="1:12" x14ac:dyDescent="0.25">
      <c r="A848" s="3">
        <v>45691.771932870368</v>
      </c>
      <c r="B848" t="s">
        <v>387</v>
      </c>
      <c r="C848" s="3">
        <v>45691.772546296299</v>
      </c>
      <c r="D848" t="s">
        <v>387</v>
      </c>
      <c r="E848" s="4">
        <v>0</v>
      </c>
      <c r="F848" s="4">
        <v>440308.74400000001</v>
      </c>
      <c r="G848" s="4">
        <v>440308.74400000001</v>
      </c>
      <c r="H848" s="5">
        <f>46 / 86400</f>
        <v>5.3240740740740744E-4</v>
      </c>
      <c r="I848" t="s">
        <v>33</v>
      </c>
      <c r="J848" t="s">
        <v>33</v>
      </c>
      <c r="K848" s="5">
        <f>53 / 86400</f>
        <v>6.134259259259259E-4</v>
      </c>
      <c r="L848" s="5">
        <f>454 / 86400</f>
        <v>5.2546296296296299E-3</v>
      </c>
    </row>
    <row r="849" spans="1:12" x14ac:dyDescent="0.25">
      <c r="A849" s="3">
        <v>45691.777800925927</v>
      </c>
      <c r="B849" t="s">
        <v>387</v>
      </c>
      <c r="C849" s="3">
        <v>45691.784317129626</v>
      </c>
      <c r="D849" t="s">
        <v>387</v>
      </c>
      <c r="E849" s="4">
        <v>0.112</v>
      </c>
      <c r="F849" s="4">
        <v>440308.74400000001</v>
      </c>
      <c r="G849" s="4">
        <v>440308.85600000003</v>
      </c>
      <c r="H849" s="5">
        <f>480 / 86400</f>
        <v>5.5555555555555558E-3</v>
      </c>
      <c r="I849" t="s">
        <v>151</v>
      </c>
      <c r="J849" t="s">
        <v>62</v>
      </c>
      <c r="K849" s="5">
        <f>563 / 86400</f>
        <v>6.5162037037037037E-3</v>
      </c>
      <c r="L849" s="5">
        <f>233 / 86400</f>
        <v>2.6967592592592594E-3</v>
      </c>
    </row>
    <row r="850" spans="1:12" x14ac:dyDescent="0.25">
      <c r="A850" s="3">
        <v>45691.78701388889</v>
      </c>
      <c r="B850" t="s">
        <v>387</v>
      </c>
      <c r="C850" s="3">
        <v>45691.787280092598</v>
      </c>
      <c r="D850" t="s">
        <v>387</v>
      </c>
      <c r="E850" s="4">
        <v>0</v>
      </c>
      <c r="F850" s="4">
        <v>440308.85600000003</v>
      </c>
      <c r="G850" s="4">
        <v>440308.85600000003</v>
      </c>
      <c r="H850" s="5">
        <f>19 / 86400</f>
        <v>2.199074074074074E-4</v>
      </c>
      <c r="I850" t="s">
        <v>33</v>
      </c>
      <c r="J850" t="s">
        <v>33</v>
      </c>
      <c r="K850" s="5">
        <f>22 / 86400</f>
        <v>2.5462962962962961E-4</v>
      </c>
      <c r="L850" s="5">
        <f>129 / 86400</f>
        <v>1.4930555555555556E-3</v>
      </c>
    </row>
    <row r="851" spans="1:12" x14ac:dyDescent="0.25">
      <c r="A851" s="3">
        <v>45691.788773148146</v>
      </c>
      <c r="B851" t="s">
        <v>387</v>
      </c>
      <c r="C851" s="3">
        <v>45691.829618055555</v>
      </c>
      <c r="D851" t="s">
        <v>28</v>
      </c>
      <c r="E851" s="4">
        <v>14.33</v>
      </c>
      <c r="F851" s="4">
        <v>440308.85600000003</v>
      </c>
      <c r="G851" s="4">
        <v>440323.18599999999</v>
      </c>
      <c r="H851" s="5">
        <f>980 / 86400</f>
        <v>1.1342592592592593E-2</v>
      </c>
      <c r="I851" t="s">
        <v>258</v>
      </c>
      <c r="J851" t="s">
        <v>30</v>
      </c>
      <c r="K851" s="5">
        <f>3528 / 86400</f>
        <v>4.0833333333333333E-2</v>
      </c>
      <c r="L851" s="5">
        <f>14720 / 86400</f>
        <v>0.17037037037037037</v>
      </c>
    </row>
    <row r="852" spans="1:12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</row>
    <row r="853" spans="1:12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</row>
    <row r="854" spans="1:12" s="10" customFormat="1" ht="20.100000000000001" customHeight="1" x14ac:dyDescent="0.35">
      <c r="A854" s="12" t="s">
        <v>450</v>
      </c>
      <c r="B854" s="12"/>
      <c r="C854" s="12"/>
      <c r="D854" s="12"/>
      <c r="E854" s="12"/>
      <c r="F854" s="12"/>
      <c r="G854" s="12"/>
      <c r="H854" s="12"/>
      <c r="I854" s="12"/>
      <c r="J854" s="12"/>
    </row>
    <row r="855" spans="1:12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</row>
    <row r="856" spans="1:12" ht="30" x14ac:dyDescent="0.25">
      <c r="A856" s="2" t="s">
        <v>6</v>
      </c>
      <c r="B856" s="2" t="s">
        <v>7</v>
      </c>
      <c r="C856" s="2" t="s">
        <v>8</v>
      </c>
      <c r="D856" s="2" t="s">
        <v>9</v>
      </c>
      <c r="E856" s="2" t="s">
        <v>10</v>
      </c>
      <c r="F856" s="2" t="s">
        <v>11</v>
      </c>
      <c r="G856" s="2" t="s">
        <v>12</v>
      </c>
      <c r="H856" s="2" t="s">
        <v>13</v>
      </c>
      <c r="I856" s="2" t="s">
        <v>14</v>
      </c>
      <c r="J856" s="2" t="s">
        <v>15</v>
      </c>
      <c r="K856" s="2" t="s">
        <v>16</v>
      </c>
      <c r="L856" s="2" t="s">
        <v>17</v>
      </c>
    </row>
    <row r="857" spans="1:12" x14ac:dyDescent="0.25">
      <c r="A857" s="3">
        <v>45691</v>
      </c>
      <c r="B857" t="s">
        <v>82</v>
      </c>
      <c r="C857" s="3">
        <v>45691.028148148151</v>
      </c>
      <c r="D857" t="s">
        <v>353</v>
      </c>
      <c r="E857" s="4">
        <v>19.178999999999998</v>
      </c>
      <c r="F857" s="4">
        <v>472695.97499999998</v>
      </c>
      <c r="G857" s="4">
        <v>472715.15399999998</v>
      </c>
      <c r="H857" s="5">
        <f>560 / 86400</f>
        <v>6.4814814814814813E-3</v>
      </c>
      <c r="I857" t="s">
        <v>175</v>
      </c>
      <c r="J857" t="s">
        <v>196</v>
      </c>
      <c r="K857" s="5">
        <f>2432 / 86400</f>
        <v>2.8148148148148148E-2</v>
      </c>
      <c r="L857" s="5">
        <f>442 / 86400</f>
        <v>5.115740740740741E-3</v>
      </c>
    </row>
    <row r="858" spans="1:12" x14ac:dyDescent="0.25">
      <c r="A858" s="3">
        <v>45691.033263888894</v>
      </c>
      <c r="B858" t="s">
        <v>353</v>
      </c>
      <c r="C858" s="3">
        <v>45691.03738425926</v>
      </c>
      <c r="D858" t="s">
        <v>83</v>
      </c>
      <c r="E858" s="4">
        <v>0.84899999999999998</v>
      </c>
      <c r="F858" s="4">
        <v>472715.15399999998</v>
      </c>
      <c r="G858" s="4">
        <v>472716.00300000003</v>
      </c>
      <c r="H858" s="5">
        <f>80 / 86400</f>
        <v>9.2592592592592596E-4</v>
      </c>
      <c r="I858" t="s">
        <v>165</v>
      </c>
      <c r="J858" t="s">
        <v>79</v>
      </c>
      <c r="K858" s="5">
        <f>356 / 86400</f>
        <v>4.1203703703703706E-3</v>
      </c>
      <c r="L858" s="5">
        <f>17181 / 86400</f>
        <v>0.19885416666666667</v>
      </c>
    </row>
    <row r="859" spans="1:12" x14ac:dyDescent="0.25">
      <c r="A859" s="3">
        <v>45691.236238425925</v>
      </c>
      <c r="B859" t="s">
        <v>83</v>
      </c>
      <c r="C859" s="3">
        <v>45691.480682870373</v>
      </c>
      <c r="D859" t="s">
        <v>142</v>
      </c>
      <c r="E859" s="4">
        <v>97.751000000000005</v>
      </c>
      <c r="F859" s="4">
        <v>472716.00300000003</v>
      </c>
      <c r="G859" s="4">
        <v>472813.75400000002</v>
      </c>
      <c r="H859" s="5">
        <f>7219 / 86400</f>
        <v>8.3553240740740747E-2</v>
      </c>
      <c r="I859" t="s">
        <v>48</v>
      </c>
      <c r="J859" t="s">
        <v>47</v>
      </c>
      <c r="K859" s="5">
        <f>21119 / 86400</f>
        <v>0.24443287037037037</v>
      </c>
      <c r="L859" s="5">
        <f>313 / 86400</f>
        <v>3.6226851851851854E-3</v>
      </c>
    </row>
    <row r="860" spans="1:12" x14ac:dyDescent="0.25">
      <c r="A860" s="3">
        <v>45691.484305555554</v>
      </c>
      <c r="B860" t="s">
        <v>142</v>
      </c>
      <c r="C860" s="3">
        <v>45691.488356481481</v>
      </c>
      <c r="D860" t="s">
        <v>127</v>
      </c>
      <c r="E860" s="4">
        <v>1.3129999999999999</v>
      </c>
      <c r="F860" s="4">
        <v>472813.75400000002</v>
      </c>
      <c r="G860" s="4">
        <v>472815.06699999998</v>
      </c>
      <c r="H860" s="5">
        <f>60 / 86400</f>
        <v>6.9444444444444447E-4</v>
      </c>
      <c r="I860" t="s">
        <v>120</v>
      </c>
      <c r="J860" t="s">
        <v>45</v>
      </c>
      <c r="K860" s="5">
        <f>349 / 86400</f>
        <v>4.0393518518518521E-3</v>
      </c>
      <c r="L860" s="5">
        <f>589 / 86400</f>
        <v>6.8171296296296296E-3</v>
      </c>
    </row>
    <row r="861" spans="1:12" x14ac:dyDescent="0.25">
      <c r="A861" s="3">
        <v>45691.495173611111</v>
      </c>
      <c r="B861" t="s">
        <v>127</v>
      </c>
      <c r="C861" s="3">
        <v>45691.497060185182</v>
      </c>
      <c r="D861" t="s">
        <v>113</v>
      </c>
      <c r="E861" s="4">
        <v>0.189</v>
      </c>
      <c r="F861" s="4">
        <v>472815.06699999998</v>
      </c>
      <c r="G861" s="4">
        <v>472815.25599999999</v>
      </c>
      <c r="H861" s="5">
        <f>60 / 86400</f>
        <v>6.9444444444444447E-4</v>
      </c>
      <c r="I861" t="s">
        <v>45</v>
      </c>
      <c r="J861" t="s">
        <v>132</v>
      </c>
      <c r="K861" s="5">
        <f>163 / 86400</f>
        <v>1.8865740740740742E-3</v>
      </c>
      <c r="L861" s="5">
        <f>1813 / 86400</f>
        <v>2.0983796296296296E-2</v>
      </c>
    </row>
    <row r="862" spans="1:12" x14ac:dyDescent="0.25">
      <c r="A862" s="3">
        <v>45691.518043981487</v>
      </c>
      <c r="B862" t="s">
        <v>113</v>
      </c>
      <c r="C862" s="3">
        <v>45691.518159722225</v>
      </c>
      <c r="D862" t="s">
        <v>113</v>
      </c>
      <c r="E862" s="4">
        <v>0</v>
      </c>
      <c r="F862" s="4">
        <v>472815.25599999999</v>
      </c>
      <c r="G862" s="4">
        <v>472815.25599999999</v>
      </c>
      <c r="H862" s="5">
        <f>0 / 86400</f>
        <v>0</v>
      </c>
      <c r="I862" t="s">
        <v>33</v>
      </c>
      <c r="J862" t="s">
        <v>33</v>
      </c>
      <c r="K862" s="5">
        <f>10 / 86400</f>
        <v>1.1574074074074075E-4</v>
      </c>
      <c r="L862" s="5">
        <f>40 / 86400</f>
        <v>4.6296296296296298E-4</v>
      </c>
    </row>
    <row r="863" spans="1:12" x14ac:dyDescent="0.25">
      <c r="A863" s="3">
        <v>45691.51862268518</v>
      </c>
      <c r="B863" t="s">
        <v>113</v>
      </c>
      <c r="C863" s="3">
        <v>45691.520138888889</v>
      </c>
      <c r="D863" t="s">
        <v>388</v>
      </c>
      <c r="E863" s="4">
        <v>0.03</v>
      </c>
      <c r="F863" s="4">
        <v>472815.25599999999</v>
      </c>
      <c r="G863" s="4">
        <v>472815.28600000002</v>
      </c>
      <c r="H863" s="5">
        <f>79 / 86400</f>
        <v>9.1435185185185185E-4</v>
      </c>
      <c r="I863" t="s">
        <v>76</v>
      </c>
      <c r="J863" t="s">
        <v>62</v>
      </c>
      <c r="K863" s="5">
        <f>130 / 86400</f>
        <v>1.5046296296296296E-3</v>
      </c>
      <c r="L863" s="5">
        <f>300 / 86400</f>
        <v>3.472222222222222E-3</v>
      </c>
    </row>
    <row r="864" spans="1:12" x14ac:dyDescent="0.25">
      <c r="A864" s="3">
        <v>45691.523611111115</v>
      </c>
      <c r="B864" t="s">
        <v>388</v>
      </c>
      <c r="C864" s="3">
        <v>45691.524560185186</v>
      </c>
      <c r="D864" t="s">
        <v>388</v>
      </c>
      <c r="E864" s="4">
        <v>0</v>
      </c>
      <c r="F864" s="4">
        <v>472815.28600000002</v>
      </c>
      <c r="G864" s="4">
        <v>472815.28600000002</v>
      </c>
      <c r="H864" s="5">
        <f>79 / 86400</f>
        <v>9.1435185185185185E-4</v>
      </c>
      <c r="I864" t="s">
        <v>33</v>
      </c>
      <c r="J864" t="s">
        <v>33</v>
      </c>
      <c r="K864" s="5">
        <f>82 / 86400</f>
        <v>9.4907407407407408E-4</v>
      </c>
      <c r="L864" s="5">
        <f>8082 / 86400</f>
        <v>9.3541666666666662E-2</v>
      </c>
    </row>
    <row r="865" spans="1:12" x14ac:dyDescent="0.25">
      <c r="A865" s="3">
        <v>45691.618101851855</v>
      </c>
      <c r="B865" t="s">
        <v>388</v>
      </c>
      <c r="C865" s="3">
        <v>45691.61854166667</v>
      </c>
      <c r="D865" t="s">
        <v>388</v>
      </c>
      <c r="E865" s="4">
        <v>0</v>
      </c>
      <c r="F865" s="4">
        <v>472815.28600000002</v>
      </c>
      <c r="G865" s="4">
        <v>472815.28600000002</v>
      </c>
      <c r="H865" s="5">
        <f>19 / 86400</f>
        <v>2.199074074074074E-4</v>
      </c>
      <c r="I865" t="s">
        <v>33</v>
      </c>
      <c r="J865" t="s">
        <v>33</v>
      </c>
      <c r="K865" s="5">
        <f>38 / 86400</f>
        <v>4.3981481481481481E-4</v>
      </c>
      <c r="L865" s="5">
        <f>191 / 86400</f>
        <v>2.2106481481481482E-3</v>
      </c>
    </row>
    <row r="866" spans="1:12" x14ac:dyDescent="0.25">
      <c r="A866" s="3">
        <v>45691.620752314819</v>
      </c>
      <c r="B866" t="s">
        <v>388</v>
      </c>
      <c r="C866" s="3">
        <v>45691.622581018513</v>
      </c>
      <c r="D866" t="s">
        <v>133</v>
      </c>
      <c r="E866" s="4">
        <v>0.23400000000000001</v>
      </c>
      <c r="F866" s="4">
        <v>472815.28600000002</v>
      </c>
      <c r="G866" s="4">
        <v>472815.52</v>
      </c>
      <c r="H866" s="5">
        <f>79 / 86400</f>
        <v>9.1435185185185185E-4</v>
      </c>
      <c r="I866" t="s">
        <v>140</v>
      </c>
      <c r="J866" t="s">
        <v>136</v>
      </c>
      <c r="K866" s="5">
        <f>157 / 86400</f>
        <v>1.8171296296296297E-3</v>
      </c>
      <c r="L866" s="5">
        <f>295 / 86400</f>
        <v>3.414351851851852E-3</v>
      </c>
    </row>
    <row r="867" spans="1:12" x14ac:dyDescent="0.25">
      <c r="A867" s="3">
        <v>45691.62599537037</v>
      </c>
      <c r="B867" t="s">
        <v>133</v>
      </c>
      <c r="C867" s="3">
        <v>45691.627488425926</v>
      </c>
      <c r="D867" t="s">
        <v>113</v>
      </c>
      <c r="E867" s="4">
        <v>0.192</v>
      </c>
      <c r="F867" s="4">
        <v>472815.52</v>
      </c>
      <c r="G867" s="4">
        <v>472815.712</v>
      </c>
      <c r="H867" s="5">
        <f>59 / 86400</f>
        <v>6.8287037037037036E-4</v>
      </c>
      <c r="I867" t="s">
        <v>40</v>
      </c>
      <c r="J867" t="s">
        <v>136</v>
      </c>
      <c r="K867" s="5">
        <f>129 / 86400</f>
        <v>1.4930555555555556E-3</v>
      </c>
      <c r="L867" s="5">
        <f>540 / 86400</f>
        <v>6.2500000000000003E-3</v>
      </c>
    </row>
    <row r="868" spans="1:12" x14ac:dyDescent="0.25">
      <c r="A868" s="3">
        <v>45691.633738425924</v>
      </c>
      <c r="B868" t="s">
        <v>113</v>
      </c>
      <c r="C868" s="3">
        <v>45691.635428240741</v>
      </c>
      <c r="D868" t="s">
        <v>113</v>
      </c>
      <c r="E868" s="4">
        <v>4.2999999999999997E-2</v>
      </c>
      <c r="F868" s="4">
        <v>472815.712</v>
      </c>
      <c r="G868" s="4">
        <v>472815.755</v>
      </c>
      <c r="H868" s="5">
        <f>100 / 86400</f>
        <v>1.1574074074074073E-3</v>
      </c>
      <c r="I868" t="s">
        <v>76</v>
      </c>
      <c r="J868" t="s">
        <v>62</v>
      </c>
      <c r="K868" s="5">
        <f>145 / 86400</f>
        <v>1.6782407407407408E-3</v>
      </c>
      <c r="L868" s="5">
        <f>812 / 86400</f>
        <v>9.3981481481481485E-3</v>
      </c>
    </row>
    <row r="869" spans="1:12" x14ac:dyDescent="0.25">
      <c r="A869" s="3">
        <v>45691.644826388889</v>
      </c>
      <c r="B869" t="s">
        <v>113</v>
      </c>
      <c r="C869" s="3">
        <v>45691.647291666668</v>
      </c>
      <c r="D869" t="s">
        <v>113</v>
      </c>
      <c r="E869" s="4">
        <v>6.3E-2</v>
      </c>
      <c r="F869" s="4">
        <v>472815.755</v>
      </c>
      <c r="G869" s="4">
        <v>472815.81800000003</v>
      </c>
      <c r="H869" s="5">
        <f>159 / 86400</f>
        <v>1.8402777777777777E-3</v>
      </c>
      <c r="I869" t="s">
        <v>136</v>
      </c>
      <c r="J869" t="s">
        <v>62</v>
      </c>
      <c r="K869" s="5">
        <f>213 / 86400</f>
        <v>2.4652777777777776E-3</v>
      </c>
      <c r="L869" s="5">
        <f>489 / 86400</f>
        <v>5.6597222222222222E-3</v>
      </c>
    </row>
    <row r="870" spans="1:12" x14ac:dyDescent="0.25">
      <c r="A870" s="3">
        <v>45691.652951388889</v>
      </c>
      <c r="B870" t="s">
        <v>113</v>
      </c>
      <c r="C870" s="3">
        <v>45691.668402777781</v>
      </c>
      <c r="D870" t="s">
        <v>113</v>
      </c>
      <c r="E870" s="4">
        <v>7.492</v>
      </c>
      <c r="F870" s="4">
        <v>472815.81800000003</v>
      </c>
      <c r="G870" s="4">
        <v>472823.31</v>
      </c>
      <c r="H870" s="5">
        <f>200 / 86400</f>
        <v>2.3148148148148147E-3</v>
      </c>
      <c r="I870" t="s">
        <v>186</v>
      </c>
      <c r="J870" t="s">
        <v>75</v>
      </c>
      <c r="K870" s="5">
        <f>1335 / 86400</f>
        <v>1.545138888888889E-2</v>
      </c>
      <c r="L870" s="5">
        <f>52 / 86400</f>
        <v>6.018518518518519E-4</v>
      </c>
    </row>
    <row r="871" spans="1:12" x14ac:dyDescent="0.25">
      <c r="A871" s="3">
        <v>45691.669004629628</v>
      </c>
      <c r="B871" t="s">
        <v>113</v>
      </c>
      <c r="C871" s="3">
        <v>45691.674050925925</v>
      </c>
      <c r="D871" t="s">
        <v>388</v>
      </c>
      <c r="E871" s="4">
        <v>1.7170000000000001</v>
      </c>
      <c r="F871" s="4">
        <v>472823.31</v>
      </c>
      <c r="G871" s="4">
        <v>472825.027</v>
      </c>
      <c r="H871" s="5">
        <f>60 / 86400</f>
        <v>6.9444444444444447E-4</v>
      </c>
      <c r="I871" t="s">
        <v>259</v>
      </c>
      <c r="J871" t="s">
        <v>45</v>
      </c>
      <c r="K871" s="5">
        <f>436 / 86400</f>
        <v>5.0462962962962961E-3</v>
      </c>
      <c r="L871" s="5">
        <f>207 / 86400</f>
        <v>2.3958333333333331E-3</v>
      </c>
    </row>
    <row r="872" spans="1:12" x14ac:dyDescent="0.25">
      <c r="A872" s="3">
        <v>45691.676446759258</v>
      </c>
      <c r="B872" t="s">
        <v>388</v>
      </c>
      <c r="C872" s="3">
        <v>45691.67659722222</v>
      </c>
      <c r="D872" t="s">
        <v>388</v>
      </c>
      <c r="E872" s="4">
        <v>0</v>
      </c>
      <c r="F872" s="4">
        <v>472825.027</v>
      </c>
      <c r="G872" s="4">
        <v>472825.027</v>
      </c>
      <c r="H872" s="5">
        <f>0 / 86400</f>
        <v>0</v>
      </c>
      <c r="I872" t="s">
        <v>33</v>
      </c>
      <c r="J872" t="s">
        <v>33</v>
      </c>
      <c r="K872" s="5">
        <f>13 / 86400</f>
        <v>1.5046296296296297E-4</v>
      </c>
      <c r="L872" s="5">
        <f>3150 / 86400</f>
        <v>3.6458333333333336E-2</v>
      </c>
    </row>
    <row r="873" spans="1:12" x14ac:dyDescent="0.25">
      <c r="A873" s="3">
        <v>45691.713055555556</v>
      </c>
      <c r="B873" t="s">
        <v>388</v>
      </c>
      <c r="C873" s="3">
        <v>45691.927025462966</v>
      </c>
      <c r="D873" t="s">
        <v>353</v>
      </c>
      <c r="E873" s="4">
        <v>90.747</v>
      </c>
      <c r="F873" s="4">
        <v>472825.027</v>
      </c>
      <c r="G873" s="4">
        <v>472915.77399999998</v>
      </c>
      <c r="H873" s="5">
        <f>5938 / 86400</f>
        <v>6.8726851851851858E-2</v>
      </c>
      <c r="I873" t="s">
        <v>97</v>
      </c>
      <c r="J873" t="s">
        <v>20</v>
      </c>
      <c r="K873" s="5">
        <f>18487 / 86400</f>
        <v>0.2139699074074074</v>
      </c>
      <c r="L873" s="5">
        <f>574 / 86400</f>
        <v>6.6435185185185182E-3</v>
      </c>
    </row>
    <row r="874" spans="1:12" x14ac:dyDescent="0.25">
      <c r="A874" s="3">
        <v>45691.933668981481</v>
      </c>
      <c r="B874" t="s">
        <v>353</v>
      </c>
      <c r="C874" s="3">
        <v>45691.943692129629</v>
      </c>
      <c r="D874" t="s">
        <v>83</v>
      </c>
      <c r="E874" s="4">
        <v>1.387</v>
      </c>
      <c r="F874" s="4">
        <v>472915.77399999998</v>
      </c>
      <c r="G874" s="4">
        <v>472917.16100000002</v>
      </c>
      <c r="H874" s="5">
        <f>360 / 86400</f>
        <v>4.1666666666666666E-3</v>
      </c>
      <c r="I874" t="s">
        <v>257</v>
      </c>
      <c r="J874" t="s">
        <v>32</v>
      </c>
      <c r="K874" s="5">
        <f>865 / 86400</f>
        <v>1.0011574074074074E-2</v>
      </c>
      <c r="L874" s="5">
        <f>4864 / 86400</f>
        <v>5.6296296296296296E-2</v>
      </c>
    </row>
    <row r="875" spans="1:12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</row>
    <row r="876" spans="1:12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</row>
    <row r="877" spans="1:12" s="10" customFormat="1" ht="20.100000000000001" customHeight="1" x14ac:dyDescent="0.35">
      <c r="A877" s="12" t="s">
        <v>451</v>
      </c>
      <c r="B877" s="12"/>
      <c r="C877" s="12"/>
      <c r="D877" s="12"/>
      <c r="E877" s="12"/>
      <c r="F877" s="12"/>
      <c r="G877" s="12"/>
      <c r="H877" s="12"/>
      <c r="I877" s="12"/>
      <c r="J877" s="12"/>
    </row>
    <row r="878" spans="1:12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</row>
    <row r="879" spans="1:12" ht="30" x14ac:dyDescent="0.25">
      <c r="A879" s="2" t="s">
        <v>6</v>
      </c>
      <c r="B879" s="2" t="s">
        <v>7</v>
      </c>
      <c r="C879" s="2" t="s">
        <v>8</v>
      </c>
      <c r="D879" s="2" t="s">
        <v>9</v>
      </c>
      <c r="E879" s="2" t="s">
        <v>10</v>
      </c>
      <c r="F879" s="2" t="s">
        <v>11</v>
      </c>
      <c r="G879" s="2" t="s">
        <v>12</v>
      </c>
      <c r="H879" s="2" t="s">
        <v>13</v>
      </c>
      <c r="I879" s="2" t="s">
        <v>14</v>
      </c>
      <c r="J879" s="2" t="s">
        <v>15</v>
      </c>
      <c r="K879" s="2" t="s">
        <v>16</v>
      </c>
      <c r="L879" s="2" t="s">
        <v>17</v>
      </c>
    </row>
    <row r="880" spans="1:12" x14ac:dyDescent="0.25">
      <c r="A880" s="3">
        <v>45691.125405092593</v>
      </c>
      <c r="B880" t="s">
        <v>25</v>
      </c>
      <c r="C880" s="3">
        <v>45691.201620370368</v>
      </c>
      <c r="D880" t="s">
        <v>372</v>
      </c>
      <c r="E880" s="4">
        <v>36.395000000000003</v>
      </c>
      <c r="F880" s="4">
        <v>411572.79300000001</v>
      </c>
      <c r="G880" s="4">
        <v>411609.18800000002</v>
      </c>
      <c r="H880" s="5">
        <f>1899 / 86400</f>
        <v>2.1979166666666668E-2</v>
      </c>
      <c r="I880" t="s">
        <v>44</v>
      </c>
      <c r="J880" t="s">
        <v>75</v>
      </c>
      <c r="K880" s="5">
        <f>6585 / 86400</f>
        <v>7.6215277777777785E-2</v>
      </c>
      <c r="L880" s="5">
        <f>11102 / 86400</f>
        <v>0.12849537037037037</v>
      </c>
    </row>
    <row r="881" spans="1:12" x14ac:dyDescent="0.25">
      <c r="A881" s="3">
        <v>45691.204710648148</v>
      </c>
      <c r="B881" t="s">
        <v>372</v>
      </c>
      <c r="C881" s="3">
        <v>45691.296168981484</v>
      </c>
      <c r="D881" t="s">
        <v>142</v>
      </c>
      <c r="E881" s="4">
        <v>52.209000000000003</v>
      </c>
      <c r="F881" s="4">
        <v>411609.18800000002</v>
      </c>
      <c r="G881" s="4">
        <v>411661.397</v>
      </c>
      <c r="H881" s="5">
        <f>1940 / 86400</f>
        <v>2.2453703703703705E-2</v>
      </c>
      <c r="I881" t="s">
        <v>78</v>
      </c>
      <c r="J881" t="s">
        <v>135</v>
      </c>
      <c r="K881" s="5">
        <f>7901 / 86400</f>
        <v>9.1446759259259255E-2</v>
      </c>
      <c r="L881" s="5">
        <f>2049 / 86400</f>
        <v>2.3715277777777776E-2</v>
      </c>
    </row>
    <row r="882" spans="1:12" x14ac:dyDescent="0.25">
      <c r="A882" s="3">
        <v>45691.319884259261</v>
      </c>
      <c r="B882" t="s">
        <v>142</v>
      </c>
      <c r="C882" s="3">
        <v>45691.324004629627</v>
      </c>
      <c r="D882" t="s">
        <v>127</v>
      </c>
      <c r="E882" s="4">
        <v>1.373</v>
      </c>
      <c r="F882" s="4">
        <v>411661.397</v>
      </c>
      <c r="G882" s="4">
        <v>411662.77</v>
      </c>
      <c r="H882" s="5">
        <f>40 / 86400</f>
        <v>4.6296296296296298E-4</v>
      </c>
      <c r="I882" t="s">
        <v>264</v>
      </c>
      <c r="J882" t="s">
        <v>45</v>
      </c>
      <c r="K882" s="5">
        <f>356 / 86400</f>
        <v>4.1203703703703706E-3</v>
      </c>
      <c r="L882" s="5">
        <f>852 / 86400</f>
        <v>9.8611111111111104E-3</v>
      </c>
    </row>
    <row r="883" spans="1:12" x14ac:dyDescent="0.25">
      <c r="A883" s="3">
        <v>45691.333865740744</v>
      </c>
      <c r="B883" t="s">
        <v>127</v>
      </c>
      <c r="C883" s="3">
        <v>45691.410659722227</v>
      </c>
      <c r="D883" t="s">
        <v>171</v>
      </c>
      <c r="E883" s="4">
        <v>38.838000000000001</v>
      </c>
      <c r="F883" s="4">
        <v>411662.77</v>
      </c>
      <c r="G883" s="4">
        <v>411701.60800000001</v>
      </c>
      <c r="H883" s="5">
        <f>1978 / 86400</f>
        <v>2.2893518518518518E-2</v>
      </c>
      <c r="I883" t="s">
        <v>97</v>
      </c>
      <c r="J883" t="s">
        <v>70</v>
      </c>
      <c r="K883" s="5">
        <f>6634 / 86400</f>
        <v>7.678240740740741E-2</v>
      </c>
      <c r="L883" s="5">
        <f>285 / 86400</f>
        <v>3.2986111111111111E-3</v>
      </c>
    </row>
    <row r="884" spans="1:12" x14ac:dyDescent="0.25">
      <c r="A884" s="3">
        <v>45691.413958333331</v>
      </c>
      <c r="B884" t="s">
        <v>171</v>
      </c>
      <c r="C884" s="3">
        <v>45691.465254629627</v>
      </c>
      <c r="D884" t="s">
        <v>146</v>
      </c>
      <c r="E884" s="4">
        <v>23.236999999999998</v>
      </c>
      <c r="F884" s="4">
        <v>411701.60800000001</v>
      </c>
      <c r="G884" s="4">
        <v>411724.84499999997</v>
      </c>
      <c r="H884" s="5">
        <f>1500 / 86400</f>
        <v>1.7361111111111112E-2</v>
      </c>
      <c r="I884" t="s">
        <v>175</v>
      </c>
      <c r="J884" t="s">
        <v>35</v>
      </c>
      <c r="K884" s="5">
        <f>4432 / 86400</f>
        <v>5.1296296296296298E-2</v>
      </c>
      <c r="L884" s="5">
        <f>373 / 86400</f>
        <v>4.31712962962963E-3</v>
      </c>
    </row>
    <row r="885" spans="1:12" x14ac:dyDescent="0.25">
      <c r="A885" s="3">
        <v>45691.469571759255</v>
      </c>
      <c r="B885" t="s">
        <v>146</v>
      </c>
      <c r="C885" s="3">
        <v>45691.474444444444</v>
      </c>
      <c r="D885" t="s">
        <v>25</v>
      </c>
      <c r="E885" s="4">
        <v>1.6919999999999999</v>
      </c>
      <c r="F885" s="4">
        <v>411724.84499999997</v>
      </c>
      <c r="G885" s="4">
        <v>411726.53700000001</v>
      </c>
      <c r="H885" s="5">
        <f>40 / 86400</f>
        <v>4.6296296296296298E-4</v>
      </c>
      <c r="I885" t="s">
        <v>61</v>
      </c>
      <c r="J885" t="s">
        <v>45</v>
      </c>
      <c r="K885" s="5">
        <f>421 / 86400</f>
        <v>4.8726851851851848E-3</v>
      </c>
      <c r="L885" s="5">
        <f>44 / 86400</f>
        <v>5.0925925925925921E-4</v>
      </c>
    </row>
    <row r="886" spans="1:12" x14ac:dyDescent="0.25">
      <c r="A886" s="3">
        <v>45691.474953703699</v>
      </c>
      <c r="B886" t="s">
        <v>25</v>
      </c>
      <c r="C886" s="3">
        <v>45691.475289351853</v>
      </c>
      <c r="D886" t="s">
        <v>25</v>
      </c>
      <c r="E886" s="4">
        <v>1.7000000000000001E-2</v>
      </c>
      <c r="F886" s="4">
        <v>411726.53700000001</v>
      </c>
      <c r="G886" s="4">
        <v>411726.554</v>
      </c>
      <c r="H886" s="5">
        <f>0 / 86400</f>
        <v>0</v>
      </c>
      <c r="I886" t="s">
        <v>132</v>
      </c>
      <c r="J886" t="s">
        <v>137</v>
      </c>
      <c r="K886" s="5">
        <f>29 / 86400</f>
        <v>3.3564814814814812E-4</v>
      </c>
      <c r="L886" s="5">
        <f>10815 / 86400</f>
        <v>0.12517361111111111</v>
      </c>
    </row>
    <row r="887" spans="1:12" x14ac:dyDescent="0.25">
      <c r="A887" s="3">
        <v>45691.600462962961</v>
      </c>
      <c r="B887" t="s">
        <v>25</v>
      </c>
      <c r="C887" s="3">
        <v>45691.608298611114</v>
      </c>
      <c r="D887" t="s">
        <v>146</v>
      </c>
      <c r="E887" s="4">
        <v>1.0960000000000001</v>
      </c>
      <c r="F887" s="4">
        <v>411726.554</v>
      </c>
      <c r="G887" s="4">
        <v>411727.65</v>
      </c>
      <c r="H887" s="5">
        <f>419 / 86400</f>
        <v>4.8495370370370368E-3</v>
      </c>
      <c r="I887" t="s">
        <v>172</v>
      </c>
      <c r="J887" t="s">
        <v>32</v>
      </c>
      <c r="K887" s="5">
        <f>677 / 86400</f>
        <v>7.8356481481481489E-3</v>
      </c>
      <c r="L887" s="5">
        <f>275 / 86400</f>
        <v>3.1828703703703702E-3</v>
      </c>
    </row>
    <row r="888" spans="1:12" x14ac:dyDescent="0.25">
      <c r="A888" s="3">
        <v>45691.611481481479</v>
      </c>
      <c r="B888" t="s">
        <v>146</v>
      </c>
      <c r="C888" s="3">
        <v>45691.668668981481</v>
      </c>
      <c r="D888" t="s">
        <v>300</v>
      </c>
      <c r="E888" s="4">
        <v>33.582000000000001</v>
      </c>
      <c r="F888" s="4">
        <v>411727.65</v>
      </c>
      <c r="G888" s="4">
        <v>411761.23200000002</v>
      </c>
      <c r="H888" s="5">
        <f>1139 / 86400</f>
        <v>1.3182870370370371E-2</v>
      </c>
      <c r="I888" t="s">
        <v>19</v>
      </c>
      <c r="J888" t="s">
        <v>135</v>
      </c>
      <c r="K888" s="5">
        <f>4940 / 86400</f>
        <v>5.7175925925925929E-2</v>
      </c>
      <c r="L888" s="5">
        <f>98 / 86400</f>
        <v>1.1342592592592593E-3</v>
      </c>
    </row>
    <row r="889" spans="1:12" x14ac:dyDescent="0.25">
      <c r="A889" s="3">
        <v>45691.669803240744</v>
      </c>
      <c r="B889" t="s">
        <v>300</v>
      </c>
      <c r="C889" s="3">
        <v>45691.803576388891</v>
      </c>
      <c r="D889" t="s">
        <v>300</v>
      </c>
      <c r="E889" s="4">
        <v>61.304000000000002</v>
      </c>
      <c r="F889" s="4">
        <v>411761.23200000002</v>
      </c>
      <c r="G889" s="4">
        <v>411822.53600000002</v>
      </c>
      <c r="H889" s="5">
        <f>3760 / 86400</f>
        <v>4.3518518518518519E-2</v>
      </c>
      <c r="I889" t="s">
        <v>84</v>
      </c>
      <c r="J889" t="s">
        <v>35</v>
      </c>
      <c r="K889" s="5">
        <f>11558 / 86400</f>
        <v>0.13377314814814814</v>
      </c>
      <c r="L889" s="5">
        <f>88 / 86400</f>
        <v>1.0185185185185184E-3</v>
      </c>
    </row>
    <row r="890" spans="1:12" x14ac:dyDescent="0.25">
      <c r="A890" s="3">
        <v>45691.804594907408</v>
      </c>
      <c r="B890" t="s">
        <v>300</v>
      </c>
      <c r="C890" s="3">
        <v>45691.883900462963</v>
      </c>
      <c r="D890" t="s">
        <v>173</v>
      </c>
      <c r="E890" s="4">
        <v>40.881</v>
      </c>
      <c r="F890" s="4">
        <v>411822.53600000002</v>
      </c>
      <c r="G890" s="4">
        <v>411863.41700000002</v>
      </c>
      <c r="H890" s="5">
        <f>2339 / 86400</f>
        <v>2.7071759259259261E-2</v>
      </c>
      <c r="I890" t="s">
        <v>27</v>
      </c>
      <c r="J890" t="s">
        <v>70</v>
      </c>
      <c r="K890" s="5">
        <f>6851 / 86400</f>
        <v>7.9293981481481479E-2</v>
      </c>
      <c r="L890" s="5">
        <f>319 / 86400</f>
        <v>3.6921296296296298E-3</v>
      </c>
    </row>
    <row r="891" spans="1:12" x14ac:dyDescent="0.25">
      <c r="A891" s="3">
        <v>45691.887592592597</v>
      </c>
      <c r="B891" t="s">
        <v>173</v>
      </c>
      <c r="C891" s="3">
        <v>45691.909641203703</v>
      </c>
      <c r="D891" t="s">
        <v>146</v>
      </c>
      <c r="E891" s="4">
        <v>10.398999999999999</v>
      </c>
      <c r="F891" s="4">
        <v>411863.41700000002</v>
      </c>
      <c r="G891" s="4">
        <v>411873.81599999999</v>
      </c>
      <c r="H891" s="5">
        <f>659 / 86400</f>
        <v>7.6273148148148151E-3</v>
      </c>
      <c r="I891" t="s">
        <v>183</v>
      </c>
      <c r="J891" t="s">
        <v>75</v>
      </c>
      <c r="K891" s="5">
        <f>1905 / 86400</f>
        <v>2.2048611111111113E-2</v>
      </c>
      <c r="L891" s="5">
        <f>327 / 86400</f>
        <v>3.7847222222222223E-3</v>
      </c>
    </row>
    <row r="892" spans="1:12" x14ac:dyDescent="0.25">
      <c r="A892" s="3">
        <v>45691.91342592593</v>
      </c>
      <c r="B892" t="s">
        <v>146</v>
      </c>
      <c r="C892" s="3">
        <v>45691.917314814811</v>
      </c>
      <c r="D892" t="s">
        <v>379</v>
      </c>
      <c r="E892" s="4">
        <v>1.49</v>
      </c>
      <c r="F892" s="4">
        <v>411873.81599999999</v>
      </c>
      <c r="G892" s="4">
        <v>411875.30599999998</v>
      </c>
      <c r="H892" s="5">
        <f>112 / 86400</f>
        <v>1.2962962962962963E-3</v>
      </c>
      <c r="I892" t="s">
        <v>126</v>
      </c>
      <c r="J892" t="s">
        <v>40</v>
      </c>
      <c r="K892" s="5">
        <f>336 / 86400</f>
        <v>3.8888888888888888E-3</v>
      </c>
      <c r="L892" s="5">
        <f>2201 / 86400</f>
        <v>2.5474537037037039E-2</v>
      </c>
    </row>
    <row r="893" spans="1:12" x14ac:dyDescent="0.25">
      <c r="A893" s="3">
        <v>45691.942789351851</v>
      </c>
      <c r="B893" t="s">
        <v>379</v>
      </c>
      <c r="C893" s="3">
        <v>45691.945266203707</v>
      </c>
      <c r="D893" t="s">
        <v>25</v>
      </c>
      <c r="E893" s="4">
        <v>0.76600000000000001</v>
      </c>
      <c r="F893" s="4">
        <v>411875.30599999998</v>
      </c>
      <c r="G893" s="4">
        <v>411876.07199999999</v>
      </c>
      <c r="H893" s="5">
        <f>19 / 86400</f>
        <v>2.199074074074074E-4</v>
      </c>
      <c r="I893" t="s">
        <v>170</v>
      </c>
      <c r="J893" t="s">
        <v>59</v>
      </c>
      <c r="K893" s="5">
        <f>214 / 86400</f>
        <v>2.476851851851852E-3</v>
      </c>
      <c r="L893" s="5">
        <f>50 / 86400</f>
        <v>5.7870370370370367E-4</v>
      </c>
    </row>
    <row r="894" spans="1:12" x14ac:dyDescent="0.25">
      <c r="A894" s="3">
        <v>45691.945844907408</v>
      </c>
      <c r="B894" t="s">
        <v>25</v>
      </c>
      <c r="C894" s="3">
        <v>45691.946215277778</v>
      </c>
      <c r="D894" t="s">
        <v>25</v>
      </c>
      <c r="E894" s="4">
        <v>1.7000000000000001E-2</v>
      </c>
      <c r="F894" s="4">
        <v>411876.07199999999</v>
      </c>
      <c r="G894" s="4">
        <v>411876.08899999998</v>
      </c>
      <c r="H894" s="5">
        <f>19 / 86400</f>
        <v>2.199074074074074E-4</v>
      </c>
      <c r="I894" t="s">
        <v>33</v>
      </c>
      <c r="J894" t="s">
        <v>137</v>
      </c>
      <c r="K894" s="5">
        <f>31 / 86400</f>
        <v>3.5879629629629629E-4</v>
      </c>
      <c r="L894" s="5">
        <f>4646 / 86400</f>
        <v>5.3773148148148146E-2</v>
      </c>
    </row>
    <row r="895" spans="1:12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</row>
    <row r="896" spans="1:12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</row>
    <row r="897" spans="1:12" s="10" customFormat="1" ht="20.100000000000001" customHeight="1" x14ac:dyDescent="0.35">
      <c r="A897" s="12" t="s">
        <v>452</v>
      </c>
      <c r="B897" s="12"/>
      <c r="C897" s="12"/>
      <c r="D897" s="12"/>
      <c r="E897" s="12"/>
      <c r="F897" s="12"/>
      <c r="G897" s="12"/>
      <c r="H897" s="12"/>
      <c r="I897" s="12"/>
      <c r="J897" s="12"/>
    </row>
    <row r="898" spans="1:12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</row>
    <row r="899" spans="1:12" ht="30" x14ac:dyDescent="0.25">
      <c r="A899" s="2" t="s">
        <v>6</v>
      </c>
      <c r="B899" s="2" t="s">
        <v>7</v>
      </c>
      <c r="C899" s="2" t="s">
        <v>8</v>
      </c>
      <c r="D899" s="2" t="s">
        <v>9</v>
      </c>
      <c r="E899" s="2" t="s">
        <v>10</v>
      </c>
      <c r="F899" s="2" t="s">
        <v>11</v>
      </c>
      <c r="G899" s="2" t="s">
        <v>12</v>
      </c>
      <c r="H899" s="2" t="s">
        <v>13</v>
      </c>
      <c r="I899" s="2" t="s">
        <v>14</v>
      </c>
      <c r="J899" s="2" t="s">
        <v>15</v>
      </c>
      <c r="K899" s="2" t="s">
        <v>16</v>
      </c>
      <c r="L899" s="2" t="s">
        <v>17</v>
      </c>
    </row>
    <row r="900" spans="1:12" x14ac:dyDescent="0.25">
      <c r="A900" s="3">
        <v>45691.17695601852</v>
      </c>
      <c r="B900" t="s">
        <v>28</v>
      </c>
      <c r="C900" s="3">
        <v>45691.329340277778</v>
      </c>
      <c r="D900" t="s">
        <v>46</v>
      </c>
      <c r="E900" s="4">
        <v>81.924999999999997</v>
      </c>
      <c r="F900" s="4">
        <v>325655.04700000002</v>
      </c>
      <c r="G900" s="4">
        <v>325736.97200000001</v>
      </c>
      <c r="H900" s="5">
        <f>2360 / 86400</f>
        <v>2.7314814814814816E-2</v>
      </c>
      <c r="I900" t="s">
        <v>187</v>
      </c>
      <c r="J900" t="s">
        <v>24</v>
      </c>
      <c r="K900" s="5">
        <f>13165 / 86400</f>
        <v>0.15237268518518518</v>
      </c>
      <c r="L900" s="5">
        <f>20539 / 86400</f>
        <v>0.23771990740740739</v>
      </c>
    </row>
    <row r="901" spans="1:12" x14ac:dyDescent="0.25">
      <c r="A901" s="3">
        <v>45691.390104166669</v>
      </c>
      <c r="B901" t="s">
        <v>46</v>
      </c>
      <c r="C901" s="3">
        <v>45691.390960648147</v>
      </c>
      <c r="D901" t="s">
        <v>46</v>
      </c>
      <c r="E901" s="4">
        <v>2.4E-2</v>
      </c>
      <c r="F901" s="4">
        <v>325736.97200000001</v>
      </c>
      <c r="G901" s="4">
        <v>325736.99599999998</v>
      </c>
      <c r="H901" s="5">
        <f>20 / 86400</f>
        <v>2.3148148148148149E-4</v>
      </c>
      <c r="I901" t="s">
        <v>136</v>
      </c>
      <c r="J901" t="s">
        <v>62</v>
      </c>
      <c r="K901" s="5">
        <f>74 / 86400</f>
        <v>8.564814814814815E-4</v>
      </c>
      <c r="L901" s="5">
        <f>105 / 86400</f>
        <v>1.2152777777777778E-3</v>
      </c>
    </row>
    <row r="902" spans="1:12" x14ac:dyDescent="0.25">
      <c r="A902" s="3">
        <v>45691.392175925925</v>
      </c>
      <c r="B902" t="s">
        <v>46</v>
      </c>
      <c r="C902" s="3">
        <v>45691.39234953704</v>
      </c>
      <c r="D902" t="s">
        <v>46</v>
      </c>
      <c r="E902" s="4">
        <v>0</v>
      </c>
      <c r="F902" s="4">
        <v>325736.99599999998</v>
      </c>
      <c r="G902" s="4">
        <v>325736.99599999998</v>
      </c>
      <c r="H902" s="5">
        <f>0 / 86400</f>
        <v>0</v>
      </c>
      <c r="I902" t="s">
        <v>33</v>
      </c>
      <c r="J902" t="s">
        <v>33</v>
      </c>
      <c r="K902" s="5">
        <f>14 / 86400</f>
        <v>1.6203703703703703E-4</v>
      </c>
      <c r="L902" s="5">
        <f>19087 / 86400</f>
        <v>0.22091435185185185</v>
      </c>
    </row>
    <row r="903" spans="1:12" x14ac:dyDescent="0.25">
      <c r="A903" s="3">
        <v>45691.613263888888</v>
      </c>
      <c r="B903" t="s">
        <v>46</v>
      </c>
      <c r="C903" s="3">
        <v>45691.623136574075</v>
      </c>
      <c r="D903" t="s">
        <v>46</v>
      </c>
      <c r="E903" s="4">
        <v>3.4660000000000002</v>
      </c>
      <c r="F903" s="4">
        <v>325736.99599999998</v>
      </c>
      <c r="G903" s="4">
        <v>325740.462</v>
      </c>
      <c r="H903" s="5">
        <f>179 / 86400</f>
        <v>2.0717592592592593E-3</v>
      </c>
      <c r="I903" t="s">
        <v>194</v>
      </c>
      <c r="J903" t="s">
        <v>30</v>
      </c>
      <c r="K903" s="5">
        <f>852 / 86400</f>
        <v>9.8611111111111104E-3</v>
      </c>
      <c r="L903" s="5">
        <f>560 / 86400</f>
        <v>6.4814814814814813E-3</v>
      </c>
    </row>
    <row r="904" spans="1:12" x14ac:dyDescent="0.25">
      <c r="A904" s="3">
        <v>45691.629618055551</v>
      </c>
      <c r="B904" t="s">
        <v>46</v>
      </c>
      <c r="C904" s="3">
        <v>45691.676238425927</v>
      </c>
      <c r="D904" t="s">
        <v>85</v>
      </c>
      <c r="E904" s="4">
        <v>27.637</v>
      </c>
      <c r="F904" s="4">
        <v>325740.462</v>
      </c>
      <c r="G904" s="4">
        <v>325768.09899999999</v>
      </c>
      <c r="H904" s="5">
        <f>480 / 86400</f>
        <v>5.5555555555555558E-3</v>
      </c>
      <c r="I904" t="s">
        <v>95</v>
      </c>
      <c r="J904" t="s">
        <v>120</v>
      </c>
      <c r="K904" s="5">
        <f>4028 / 86400</f>
        <v>4.6620370370370368E-2</v>
      </c>
      <c r="L904" s="5">
        <f>233 / 86400</f>
        <v>2.6967592592592594E-3</v>
      </c>
    </row>
    <row r="905" spans="1:12" x14ac:dyDescent="0.25">
      <c r="A905" s="3">
        <v>45691.678935185184</v>
      </c>
      <c r="B905" t="s">
        <v>85</v>
      </c>
      <c r="C905" s="3">
        <v>45691.680706018524</v>
      </c>
      <c r="D905" t="s">
        <v>28</v>
      </c>
      <c r="E905" s="4">
        <v>0.52600000000000002</v>
      </c>
      <c r="F905" s="4">
        <v>325768.09899999999</v>
      </c>
      <c r="G905" s="4">
        <v>325768.625</v>
      </c>
      <c r="H905" s="5">
        <f>19 / 86400</f>
        <v>2.199074074074074E-4</v>
      </c>
      <c r="I905" t="s">
        <v>170</v>
      </c>
      <c r="J905" t="s">
        <v>155</v>
      </c>
      <c r="K905" s="5">
        <f>152 / 86400</f>
        <v>1.7592592592592592E-3</v>
      </c>
      <c r="L905" s="5">
        <f>521 / 86400</f>
        <v>6.030092592592593E-3</v>
      </c>
    </row>
    <row r="906" spans="1:12" x14ac:dyDescent="0.25">
      <c r="A906" s="3">
        <v>45691.686736111107</v>
      </c>
      <c r="B906" t="s">
        <v>28</v>
      </c>
      <c r="C906" s="3">
        <v>45691.989872685182</v>
      </c>
      <c r="D906" t="s">
        <v>85</v>
      </c>
      <c r="E906" s="4">
        <v>134.83699999999999</v>
      </c>
      <c r="F906" s="4">
        <v>325768.625</v>
      </c>
      <c r="G906" s="4">
        <v>325903.462</v>
      </c>
      <c r="H906" s="5">
        <f>8700 / 86400</f>
        <v>0.10069444444444445</v>
      </c>
      <c r="I906" t="s">
        <v>72</v>
      </c>
      <c r="J906" t="s">
        <v>35</v>
      </c>
      <c r="K906" s="5">
        <f>26190 / 86400</f>
        <v>0.30312499999999998</v>
      </c>
      <c r="L906" s="5">
        <f>694 / 86400</f>
        <v>8.0324074074074082E-3</v>
      </c>
    </row>
    <row r="907" spans="1:12" x14ac:dyDescent="0.25">
      <c r="A907" s="3">
        <v>45691.99790509259</v>
      </c>
      <c r="B907" t="s">
        <v>85</v>
      </c>
      <c r="C907" s="3">
        <v>45691.999120370368</v>
      </c>
      <c r="D907" t="s">
        <v>85</v>
      </c>
      <c r="E907" s="4">
        <v>0.151</v>
      </c>
      <c r="F907" s="4">
        <v>325903.462</v>
      </c>
      <c r="G907" s="4">
        <v>325903.61300000001</v>
      </c>
      <c r="H907" s="5">
        <f>20 / 86400</f>
        <v>2.3148148148148149E-4</v>
      </c>
      <c r="I907" t="s">
        <v>30</v>
      </c>
      <c r="J907" t="s">
        <v>136</v>
      </c>
      <c r="K907" s="5">
        <f>104 / 86400</f>
        <v>1.2037037037037038E-3</v>
      </c>
      <c r="L907" s="5">
        <f>75 / 86400</f>
        <v>8.6805555555555551E-4</v>
      </c>
    </row>
    <row r="908" spans="1:12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</row>
    <row r="909" spans="1:12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</row>
    <row r="910" spans="1:12" s="10" customFormat="1" ht="20.100000000000001" customHeight="1" x14ac:dyDescent="0.35">
      <c r="A910" s="12" t="s">
        <v>453</v>
      </c>
      <c r="B910" s="12"/>
      <c r="C910" s="12"/>
      <c r="D910" s="12"/>
      <c r="E910" s="12"/>
      <c r="F910" s="12"/>
      <c r="G910" s="12"/>
      <c r="H910" s="12"/>
      <c r="I910" s="12"/>
      <c r="J910" s="12"/>
    </row>
    <row r="911" spans="1:12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</row>
    <row r="912" spans="1:12" ht="30" x14ac:dyDescent="0.25">
      <c r="A912" s="2" t="s">
        <v>6</v>
      </c>
      <c r="B912" s="2" t="s">
        <v>7</v>
      </c>
      <c r="C912" s="2" t="s">
        <v>8</v>
      </c>
      <c r="D912" s="2" t="s">
        <v>9</v>
      </c>
      <c r="E912" s="2" t="s">
        <v>10</v>
      </c>
      <c r="F912" s="2" t="s">
        <v>11</v>
      </c>
      <c r="G912" s="2" t="s">
        <v>12</v>
      </c>
      <c r="H912" s="2" t="s">
        <v>13</v>
      </c>
      <c r="I912" s="2" t="s">
        <v>14</v>
      </c>
      <c r="J912" s="2" t="s">
        <v>15</v>
      </c>
      <c r="K912" s="2" t="s">
        <v>16</v>
      </c>
      <c r="L912" s="2" t="s">
        <v>17</v>
      </c>
    </row>
    <row r="913" spans="1:12" x14ac:dyDescent="0.25">
      <c r="A913" s="3">
        <v>45691.269467592589</v>
      </c>
      <c r="B913" t="s">
        <v>28</v>
      </c>
      <c r="C913" s="3">
        <v>45691.274861111116</v>
      </c>
      <c r="D913" t="s">
        <v>163</v>
      </c>
      <c r="E913" s="4">
        <v>0.60699999999999998</v>
      </c>
      <c r="F913" s="4">
        <v>359075.56900000002</v>
      </c>
      <c r="G913" s="4">
        <v>359076.17599999998</v>
      </c>
      <c r="H913" s="5">
        <f>280 / 86400</f>
        <v>3.2407407407407406E-3</v>
      </c>
      <c r="I913" t="s">
        <v>172</v>
      </c>
      <c r="J913" t="s">
        <v>136</v>
      </c>
      <c r="K913" s="5">
        <f>466 / 86400</f>
        <v>5.3935185185185188E-3</v>
      </c>
      <c r="L913" s="5">
        <f>27584 / 86400</f>
        <v>0.31925925925925924</v>
      </c>
    </row>
    <row r="914" spans="1:12" x14ac:dyDescent="0.25">
      <c r="A914" s="3">
        <v>45691.324652777781</v>
      </c>
      <c r="B914" t="s">
        <v>163</v>
      </c>
      <c r="C914" s="3">
        <v>45691.531400462962</v>
      </c>
      <c r="D914" t="s">
        <v>127</v>
      </c>
      <c r="E914" s="4">
        <v>81.146000000000001</v>
      </c>
      <c r="F914" s="4">
        <v>359076.17599999998</v>
      </c>
      <c r="G914" s="4">
        <v>359157.32199999999</v>
      </c>
      <c r="H914" s="5">
        <f>5880 / 86400</f>
        <v>6.805555555555555E-2</v>
      </c>
      <c r="I914" t="s">
        <v>129</v>
      </c>
      <c r="J914" t="s">
        <v>40</v>
      </c>
      <c r="K914" s="5">
        <f>17863 / 86400</f>
        <v>0.20674768518518519</v>
      </c>
      <c r="L914" s="5">
        <f>411 / 86400</f>
        <v>4.7569444444444447E-3</v>
      </c>
    </row>
    <row r="915" spans="1:12" x14ac:dyDescent="0.25">
      <c r="A915" s="3">
        <v>45691.536157407405</v>
      </c>
      <c r="B915" t="s">
        <v>127</v>
      </c>
      <c r="C915" s="3">
        <v>45691.536469907413</v>
      </c>
      <c r="D915" t="s">
        <v>154</v>
      </c>
      <c r="E915" s="4">
        <v>2.5999999999999999E-2</v>
      </c>
      <c r="F915" s="4">
        <v>359157.32199999999</v>
      </c>
      <c r="G915" s="4">
        <v>359157.348</v>
      </c>
      <c r="H915" s="5">
        <f>0 / 86400</f>
        <v>0</v>
      </c>
      <c r="I915" t="s">
        <v>76</v>
      </c>
      <c r="J915" t="s">
        <v>132</v>
      </c>
      <c r="K915" s="5">
        <f>26 / 86400</f>
        <v>3.0092592592592595E-4</v>
      </c>
      <c r="L915" s="5">
        <f>102 / 86400</f>
        <v>1.1805555555555556E-3</v>
      </c>
    </row>
    <row r="916" spans="1:12" x14ac:dyDescent="0.25">
      <c r="A916" s="3">
        <v>45691.537650462968</v>
      </c>
      <c r="B916" t="s">
        <v>154</v>
      </c>
      <c r="C916" s="3">
        <v>45691.541481481487</v>
      </c>
      <c r="D916" t="s">
        <v>46</v>
      </c>
      <c r="E916" s="4">
        <v>1.1100000000000001</v>
      </c>
      <c r="F916" s="4">
        <v>359157.348</v>
      </c>
      <c r="G916" s="4">
        <v>359158.45799999998</v>
      </c>
      <c r="H916" s="5">
        <f>80 / 86400</f>
        <v>9.2592592592592596E-4</v>
      </c>
      <c r="I916" t="s">
        <v>248</v>
      </c>
      <c r="J916" t="s">
        <v>155</v>
      </c>
      <c r="K916" s="5">
        <f>330 / 86400</f>
        <v>3.8194444444444443E-3</v>
      </c>
      <c r="L916" s="5">
        <f>470 / 86400</f>
        <v>5.4398148148148149E-3</v>
      </c>
    </row>
    <row r="917" spans="1:12" x14ac:dyDescent="0.25">
      <c r="A917" s="3">
        <v>45691.546921296293</v>
      </c>
      <c r="B917" t="s">
        <v>46</v>
      </c>
      <c r="C917" s="3">
        <v>45691.546990740739</v>
      </c>
      <c r="D917" t="s">
        <v>46</v>
      </c>
      <c r="E917" s="4">
        <v>0</v>
      </c>
      <c r="F917" s="4">
        <v>359158.45799999998</v>
      </c>
      <c r="G917" s="4">
        <v>359158.45799999998</v>
      </c>
      <c r="H917" s="5">
        <f>0 / 86400</f>
        <v>0</v>
      </c>
      <c r="I917" t="s">
        <v>33</v>
      </c>
      <c r="J917" t="s">
        <v>33</v>
      </c>
      <c r="K917" s="5">
        <f>5 / 86400</f>
        <v>5.7870370370370373E-5</v>
      </c>
      <c r="L917" s="5">
        <f>26 / 86400</f>
        <v>3.0092592592592595E-4</v>
      </c>
    </row>
    <row r="918" spans="1:12" x14ac:dyDescent="0.25">
      <c r="A918" s="3">
        <v>45691.547291666662</v>
      </c>
      <c r="B918" t="s">
        <v>46</v>
      </c>
      <c r="C918" s="3">
        <v>45691.814386574071</v>
      </c>
      <c r="D918" t="s">
        <v>28</v>
      </c>
      <c r="E918" s="4">
        <v>77.679000000000002</v>
      </c>
      <c r="F918" s="4">
        <v>359158.45799999998</v>
      </c>
      <c r="G918" s="4">
        <v>359236.13699999999</v>
      </c>
      <c r="H918" s="5">
        <f>11302 / 86400</f>
        <v>0.1308101851851852</v>
      </c>
      <c r="I918" t="s">
        <v>34</v>
      </c>
      <c r="J918" t="s">
        <v>155</v>
      </c>
      <c r="K918" s="5">
        <f>23076 / 86400</f>
        <v>0.26708333333333334</v>
      </c>
      <c r="L918" s="5">
        <f>303 / 86400</f>
        <v>3.5069444444444445E-3</v>
      </c>
    </row>
    <row r="919" spans="1:12" x14ac:dyDescent="0.25">
      <c r="A919" s="3">
        <v>45691.817893518513</v>
      </c>
      <c r="B919" t="s">
        <v>28</v>
      </c>
      <c r="C919" s="3">
        <v>45691.864756944444</v>
      </c>
      <c r="D919" t="s">
        <v>28</v>
      </c>
      <c r="E919" s="4">
        <v>4.2089999999999996</v>
      </c>
      <c r="F919" s="4">
        <v>359236.13699999999</v>
      </c>
      <c r="G919" s="4">
        <v>359240.34600000002</v>
      </c>
      <c r="H919" s="5">
        <f>3035 / 86400</f>
        <v>3.5127314814814813E-2</v>
      </c>
      <c r="I919" t="s">
        <v>257</v>
      </c>
      <c r="J919" t="s">
        <v>132</v>
      </c>
      <c r="K919" s="5">
        <f>4049 / 86400</f>
        <v>4.6863425925925926E-2</v>
      </c>
      <c r="L919" s="5">
        <f>11684 / 86400</f>
        <v>0.13523148148148148</v>
      </c>
    </row>
    <row r="920" spans="1:12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</row>
    <row r="921" spans="1:12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</row>
    <row r="922" spans="1:12" s="10" customFormat="1" ht="20.100000000000001" customHeight="1" x14ac:dyDescent="0.35">
      <c r="A922" s="12" t="s">
        <v>454</v>
      </c>
      <c r="B922" s="12"/>
      <c r="C922" s="12"/>
      <c r="D922" s="12"/>
      <c r="E922" s="12"/>
      <c r="F922" s="12"/>
      <c r="G922" s="12"/>
      <c r="H922" s="12"/>
      <c r="I922" s="12"/>
      <c r="J922" s="12"/>
    </row>
    <row r="923" spans="1:12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</row>
    <row r="924" spans="1:12" ht="30" x14ac:dyDescent="0.25">
      <c r="A924" s="2" t="s">
        <v>6</v>
      </c>
      <c r="B924" s="2" t="s">
        <v>7</v>
      </c>
      <c r="C924" s="2" t="s">
        <v>8</v>
      </c>
      <c r="D924" s="2" t="s">
        <v>9</v>
      </c>
      <c r="E924" s="2" t="s">
        <v>10</v>
      </c>
      <c r="F924" s="2" t="s">
        <v>11</v>
      </c>
      <c r="G924" s="2" t="s">
        <v>12</v>
      </c>
      <c r="H924" s="2" t="s">
        <v>13</v>
      </c>
      <c r="I924" s="2" t="s">
        <v>14</v>
      </c>
      <c r="J924" s="2" t="s">
        <v>15</v>
      </c>
      <c r="K924" s="2" t="s">
        <v>16</v>
      </c>
      <c r="L924" s="2" t="s">
        <v>17</v>
      </c>
    </row>
    <row r="925" spans="1:12" x14ac:dyDescent="0.25">
      <c r="A925" s="3">
        <v>45691.282465277778</v>
      </c>
      <c r="B925" t="s">
        <v>86</v>
      </c>
      <c r="C925" s="3">
        <v>45691.356747685189</v>
      </c>
      <c r="D925" t="s">
        <v>106</v>
      </c>
      <c r="E925" s="4">
        <v>35.338000000000001</v>
      </c>
      <c r="F925" s="4">
        <v>80377.788</v>
      </c>
      <c r="G925" s="4">
        <v>80413.126000000004</v>
      </c>
      <c r="H925" s="5">
        <f>2272 / 86400</f>
        <v>2.6296296296296297E-2</v>
      </c>
      <c r="I925" t="s">
        <v>389</v>
      </c>
      <c r="J925" t="s">
        <v>75</v>
      </c>
      <c r="K925" s="5">
        <f>6417 / 86400</f>
        <v>7.4270833333333328E-2</v>
      </c>
      <c r="L925" s="5">
        <f>25187 / 86400</f>
        <v>0.29151620370370368</v>
      </c>
    </row>
    <row r="926" spans="1:12" x14ac:dyDescent="0.25">
      <c r="A926" s="3">
        <v>45691.365798611107</v>
      </c>
      <c r="B926" t="s">
        <v>106</v>
      </c>
      <c r="C926" s="3">
        <v>45691.427152777775</v>
      </c>
      <c r="D926" t="s">
        <v>21</v>
      </c>
      <c r="E926" s="4">
        <v>35.317999999999998</v>
      </c>
      <c r="F926" s="4">
        <v>80413.126000000004</v>
      </c>
      <c r="G926" s="4">
        <v>80448.444000000003</v>
      </c>
      <c r="H926" s="5">
        <f>1219 / 86400</f>
        <v>1.4108796296296296E-2</v>
      </c>
      <c r="I926" t="s">
        <v>305</v>
      </c>
      <c r="J926" t="s">
        <v>135</v>
      </c>
      <c r="K926" s="5">
        <f>5301 / 86400</f>
        <v>6.1354166666666668E-2</v>
      </c>
      <c r="L926" s="5">
        <f>541 / 86400</f>
        <v>6.2615740740740739E-3</v>
      </c>
    </row>
    <row r="927" spans="1:12" x14ac:dyDescent="0.25">
      <c r="A927" s="3">
        <v>45691.43341435185</v>
      </c>
      <c r="B927" t="s">
        <v>21</v>
      </c>
      <c r="C927" s="3">
        <v>45691.445081018523</v>
      </c>
      <c r="D927" t="s">
        <v>21</v>
      </c>
      <c r="E927" s="4">
        <v>0.23300000000000001</v>
      </c>
      <c r="F927" s="4">
        <v>80448.444000000003</v>
      </c>
      <c r="G927" s="4">
        <v>80448.676999999996</v>
      </c>
      <c r="H927" s="5">
        <f>840 / 86400</f>
        <v>9.7222222222222224E-3</v>
      </c>
      <c r="I927" t="s">
        <v>59</v>
      </c>
      <c r="J927" t="s">
        <v>62</v>
      </c>
      <c r="K927" s="5">
        <f>1008 / 86400</f>
        <v>1.1666666666666667E-2</v>
      </c>
      <c r="L927" s="5">
        <f>557 / 86400</f>
        <v>6.4467592592592588E-3</v>
      </c>
    </row>
    <row r="928" spans="1:12" x14ac:dyDescent="0.25">
      <c r="A928" s="3">
        <v>45691.451527777783</v>
      </c>
      <c r="B928" t="s">
        <v>21</v>
      </c>
      <c r="C928" s="3">
        <v>45691.458472222221</v>
      </c>
      <c r="D928" t="s">
        <v>133</v>
      </c>
      <c r="E928" s="4">
        <v>0.78300000000000003</v>
      </c>
      <c r="F928" s="4">
        <v>80448.676999999996</v>
      </c>
      <c r="G928" s="4">
        <v>80449.460000000006</v>
      </c>
      <c r="H928" s="5">
        <f>380 / 86400</f>
        <v>4.3981481481481484E-3</v>
      </c>
      <c r="I928" t="s">
        <v>176</v>
      </c>
      <c r="J928" t="s">
        <v>136</v>
      </c>
      <c r="K928" s="5">
        <f>600 / 86400</f>
        <v>6.9444444444444441E-3</v>
      </c>
      <c r="L928" s="5">
        <f>25 / 86400</f>
        <v>2.8935185185185184E-4</v>
      </c>
    </row>
    <row r="929" spans="1:12" x14ac:dyDescent="0.25">
      <c r="A929" s="3">
        <v>45691.458761574075</v>
      </c>
      <c r="B929" t="s">
        <v>366</v>
      </c>
      <c r="C929" s="3">
        <v>45691.458819444444</v>
      </c>
      <c r="D929" t="s">
        <v>366</v>
      </c>
      <c r="E929" s="4">
        <v>0</v>
      </c>
      <c r="F929" s="4">
        <v>80449.460000000006</v>
      </c>
      <c r="G929" s="4">
        <v>80449.460000000006</v>
      </c>
      <c r="H929" s="5">
        <f>0 / 86400</f>
        <v>0</v>
      </c>
      <c r="I929" t="s">
        <v>33</v>
      </c>
      <c r="J929" t="s">
        <v>33</v>
      </c>
      <c r="K929" s="5">
        <f>5 / 86400</f>
        <v>5.7870370370370373E-5</v>
      </c>
      <c r="L929" s="5">
        <f>210 / 86400</f>
        <v>2.4305555555555556E-3</v>
      </c>
    </row>
    <row r="930" spans="1:12" x14ac:dyDescent="0.25">
      <c r="A930" s="3">
        <v>45691.46125</v>
      </c>
      <c r="B930" t="s">
        <v>133</v>
      </c>
      <c r="C930" s="3">
        <v>45691.46130787037</v>
      </c>
      <c r="D930" t="s">
        <v>133</v>
      </c>
      <c r="E930" s="4">
        <v>0</v>
      </c>
      <c r="F930" s="4">
        <v>80449.460000000006</v>
      </c>
      <c r="G930" s="4">
        <v>80449.460000000006</v>
      </c>
      <c r="H930" s="5">
        <f>0 / 86400</f>
        <v>0</v>
      </c>
      <c r="I930" t="s">
        <v>33</v>
      </c>
      <c r="J930" t="s">
        <v>33</v>
      </c>
      <c r="K930" s="5">
        <f>5 / 86400</f>
        <v>5.7870370370370373E-5</v>
      </c>
      <c r="L930" s="5">
        <f>3 / 86400</f>
        <v>3.4722222222222222E-5</v>
      </c>
    </row>
    <row r="931" spans="1:12" x14ac:dyDescent="0.25">
      <c r="A931" s="3">
        <v>45691.461342592593</v>
      </c>
      <c r="B931" t="s">
        <v>133</v>
      </c>
      <c r="C931" s="3">
        <v>45691.464074074072</v>
      </c>
      <c r="D931" t="s">
        <v>86</v>
      </c>
      <c r="E931" s="4">
        <v>1.181</v>
      </c>
      <c r="F931" s="4">
        <v>80449.460000000006</v>
      </c>
      <c r="G931" s="4">
        <v>80450.641000000003</v>
      </c>
      <c r="H931" s="5">
        <f>20 / 86400</f>
        <v>2.3148148148148149E-4</v>
      </c>
      <c r="I931" t="s">
        <v>248</v>
      </c>
      <c r="J931" t="s">
        <v>20</v>
      </c>
      <c r="K931" s="5">
        <f>236 / 86400</f>
        <v>2.7314814814814814E-3</v>
      </c>
      <c r="L931" s="5">
        <f>12514 / 86400</f>
        <v>0.14483796296296297</v>
      </c>
    </row>
    <row r="932" spans="1:12" x14ac:dyDescent="0.25">
      <c r="A932" s="3">
        <v>45691.608912037038</v>
      </c>
      <c r="B932" t="s">
        <v>86</v>
      </c>
      <c r="C932" s="3">
        <v>45691.841898148152</v>
      </c>
      <c r="D932" t="s">
        <v>154</v>
      </c>
      <c r="E932" s="4">
        <v>95.634</v>
      </c>
      <c r="F932" s="4">
        <v>80450.641000000003</v>
      </c>
      <c r="G932" s="4">
        <v>80546.274999999994</v>
      </c>
      <c r="H932" s="5">
        <f>6761 / 86400</f>
        <v>7.8252314814814816E-2</v>
      </c>
      <c r="I932" t="s">
        <v>87</v>
      </c>
      <c r="J932" t="s">
        <v>47</v>
      </c>
      <c r="K932" s="5">
        <f>20130 / 86400</f>
        <v>0.23298611111111112</v>
      </c>
      <c r="L932" s="5">
        <f>220 / 86400</f>
        <v>2.5462962962962965E-3</v>
      </c>
    </row>
    <row r="933" spans="1:12" x14ac:dyDescent="0.25">
      <c r="A933" s="3">
        <v>45691.844444444447</v>
      </c>
      <c r="B933" t="s">
        <v>154</v>
      </c>
      <c r="C933" s="3">
        <v>45691.846076388887</v>
      </c>
      <c r="D933" t="s">
        <v>366</v>
      </c>
      <c r="E933" s="4">
        <v>0.27300000000000002</v>
      </c>
      <c r="F933" s="4">
        <v>80546.274999999994</v>
      </c>
      <c r="G933" s="4">
        <v>80546.547999999995</v>
      </c>
      <c r="H933" s="5">
        <f>59 / 86400</f>
        <v>6.8287037037037036E-4</v>
      </c>
      <c r="I933" t="s">
        <v>196</v>
      </c>
      <c r="J933" t="s">
        <v>76</v>
      </c>
      <c r="K933" s="5">
        <f>140 / 86400</f>
        <v>1.6203703703703703E-3</v>
      </c>
      <c r="L933" s="5">
        <f>178 / 86400</f>
        <v>2.0601851851851853E-3</v>
      </c>
    </row>
    <row r="934" spans="1:12" x14ac:dyDescent="0.25">
      <c r="A934" s="3">
        <v>45691.848136574074</v>
      </c>
      <c r="B934" t="s">
        <v>366</v>
      </c>
      <c r="C934" s="3">
        <v>45691.848194444443</v>
      </c>
      <c r="D934" t="s">
        <v>366</v>
      </c>
      <c r="E934" s="4">
        <v>0</v>
      </c>
      <c r="F934" s="4">
        <v>80546.547999999995</v>
      </c>
      <c r="G934" s="4">
        <v>80546.547999999995</v>
      </c>
      <c r="H934" s="5">
        <f>0 / 86400</f>
        <v>0</v>
      </c>
      <c r="I934" t="s">
        <v>33</v>
      </c>
      <c r="J934" t="s">
        <v>33</v>
      </c>
      <c r="K934" s="5">
        <f>4 / 86400</f>
        <v>4.6296296296296294E-5</v>
      </c>
      <c r="L934" s="5">
        <f>376 / 86400</f>
        <v>4.3518518518518515E-3</v>
      </c>
    </row>
    <row r="935" spans="1:12" x14ac:dyDescent="0.25">
      <c r="A935" s="3">
        <v>45691.852546296301</v>
      </c>
      <c r="B935" t="s">
        <v>366</v>
      </c>
      <c r="C935" s="3">
        <v>45691.873564814814</v>
      </c>
      <c r="D935" t="s">
        <v>86</v>
      </c>
      <c r="E935" s="4">
        <v>1.2090000000000001</v>
      </c>
      <c r="F935" s="4">
        <v>80546.547999999995</v>
      </c>
      <c r="G935" s="4">
        <v>80547.756999999998</v>
      </c>
      <c r="H935" s="5">
        <f>1499 / 86400</f>
        <v>1.7349537037037038E-2</v>
      </c>
      <c r="I935" t="s">
        <v>176</v>
      </c>
      <c r="J935" t="s">
        <v>137</v>
      </c>
      <c r="K935" s="5">
        <f>1815 / 86400</f>
        <v>2.1006944444444446E-2</v>
      </c>
      <c r="L935" s="5">
        <f>10923 / 86400</f>
        <v>0.12642361111111111</v>
      </c>
    </row>
    <row r="936" spans="1:12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</row>
    <row r="937" spans="1:12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</row>
    <row r="938" spans="1:12" s="10" customFormat="1" ht="20.100000000000001" customHeight="1" x14ac:dyDescent="0.35">
      <c r="A938" s="12" t="s">
        <v>455</v>
      </c>
      <c r="B938" s="12"/>
      <c r="C938" s="12"/>
      <c r="D938" s="12"/>
      <c r="E938" s="12"/>
      <c r="F938" s="12"/>
      <c r="G938" s="12"/>
      <c r="H938" s="12"/>
      <c r="I938" s="12"/>
      <c r="J938" s="12"/>
    </row>
    <row r="939" spans="1:12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</row>
    <row r="940" spans="1:12" ht="30" x14ac:dyDescent="0.25">
      <c r="A940" s="2" t="s">
        <v>6</v>
      </c>
      <c r="B940" s="2" t="s">
        <v>7</v>
      </c>
      <c r="C940" s="2" t="s">
        <v>8</v>
      </c>
      <c r="D940" s="2" t="s">
        <v>9</v>
      </c>
      <c r="E940" s="2" t="s">
        <v>10</v>
      </c>
      <c r="F940" s="2" t="s">
        <v>11</v>
      </c>
      <c r="G940" s="2" t="s">
        <v>12</v>
      </c>
      <c r="H940" s="2" t="s">
        <v>13</v>
      </c>
      <c r="I940" s="2" t="s">
        <v>14</v>
      </c>
      <c r="J940" s="2" t="s">
        <v>15</v>
      </c>
      <c r="K940" s="2" t="s">
        <v>16</v>
      </c>
      <c r="L940" s="2" t="s">
        <v>17</v>
      </c>
    </row>
    <row r="941" spans="1:12" x14ac:dyDescent="0.25">
      <c r="A941" s="3">
        <v>45691.351793981477</v>
      </c>
      <c r="B941" t="s">
        <v>28</v>
      </c>
      <c r="C941" s="3">
        <v>45691.356909722221</v>
      </c>
      <c r="D941" t="s">
        <v>390</v>
      </c>
      <c r="E941" s="4">
        <v>1.0369999999999999</v>
      </c>
      <c r="F941" s="4">
        <v>468177.04399999999</v>
      </c>
      <c r="G941" s="4">
        <v>468178.08100000001</v>
      </c>
      <c r="H941" s="5">
        <f>178 / 86400</f>
        <v>2.0601851851851853E-3</v>
      </c>
      <c r="I941" t="s">
        <v>88</v>
      </c>
      <c r="J941" t="s">
        <v>151</v>
      </c>
      <c r="K941" s="5">
        <f>441 / 86400</f>
        <v>5.1041666666666666E-3</v>
      </c>
      <c r="L941" s="5">
        <f>78750 / 86400</f>
        <v>0.91145833333333337</v>
      </c>
    </row>
    <row r="942" spans="1:12" x14ac:dyDescent="0.25">
      <c r="A942" s="3">
        <v>45691.916574074072</v>
      </c>
      <c r="B942" t="s">
        <v>390</v>
      </c>
      <c r="C942" s="3">
        <v>45691.930717592593</v>
      </c>
      <c r="D942" t="s">
        <v>28</v>
      </c>
      <c r="E942" s="4">
        <v>1.7130000000000001</v>
      </c>
      <c r="F942" s="4">
        <v>468178.08100000001</v>
      </c>
      <c r="G942" s="4">
        <v>468179.79399999999</v>
      </c>
      <c r="H942" s="5">
        <f>579 / 86400</f>
        <v>6.7013888888888887E-3</v>
      </c>
      <c r="I942" t="s">
        <v>165</v>
      </c>
      <c r="J942" t="s">
        <v>136</v>
      </c>
      <c r="K942" s="5">
        <f>1221 / 86400</f>
        <v>1.4131944444444445E-2</v>
      </c>
      <c r="L942" s="5">
        <f>2585 / 86400</f>
        <v>2.991898148148148E-2</v>
      </c>
    </row>
    <row r="943" spans="1:12" x14ac:dyDescent="0.25">
      <c r="A943" s="3">
        <v>45691.960636574076</v>
      </c>
      <c r="B943" t="s">
        <v>28</v>
      </c>
      <c r="C943" s="3">
        <v>45691.961168981477</v>
      </c>
      <c r="D943" t="s">
        <v>28</v>
      </c>
      <c r="E943" s="4">
        <v>8.0000000000000002E-3</v>
      </c>
      <c r="F943" s="4">
        <v>468179.79399999999</v>
      </c>
      <c r="G943" s="4">
        <v>468179.80200000003</v>
      </c>
      <c r="H943" s="5">
        <f>19 / 86400</f>
        <v>2.199074074074074E-4</v>
      </c>
      <c r="I943" t="s">
        <v>62</v>
      </c>
      <c r="J943" t="s">
        <v>62</v>
      </c>
      <c r="K943" s="5">
        <f>46 / 86400</f>
        <v>5.3240740740740744E-4</v>
      </c>
      <c r="L943" s="5">
        <f>644 / 86400</f>
        <v>7.4537037037037037E-3</v>
      </c>
    </row>
    <row r="944" spans="1:12" x14ac:dyDescent="0.25">
      <c r="A944" s="3">
        <v>45691.968622685185</v>
      </c>
      <c r="B944" t="s">
        <v>28</v>
      </c>
      <c r="C944" s="3">
        <v>45691.969687500001</v>
      </c>
      <c r="D944" t="s">
        <v>28</v>
      </c>
      <c r="E944" s="4">
        <v>1.7999999999999999E-2</v>
      </c>
      <c r="F944" s="4">
        <v>468179.80200000003</v>
      </c>
      <c r="G944" s="4">
        <v>468179.82</v>
      </c>
      <c r="H944" s="5">
        <f>40 / 86400</f>
        <v>4.6296296296296298E-4</v>
      </c>
      <c r="I944" t="s">
        <v>128</v>
      </c>
      <c r="J944" t="s">
        <v>62</v>
      </c>
      <c r="K944" s="5">
        <f>91 / 86400</f>
        <v>1.0532407407407407E-3</v>
      </c>
      <c r="L944" s="5">
        <f>2618 / 86400</f>
        <v>3.0300925925925926E-2</v>
      </c>
    </row>
    <row r="945" spans="1:12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</row>
    <row r="946" spans="1:12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</row>
    <row r="947" spans="1:12" s="10" customFormat="1" ht="20.100000000000001" customHeight="1" x14ac:dyDescent="0.35">
      <c r="A947" s="12" t="s">
        <v>456</v>
      </c>
      <c r="B947" s="12"/>
      <c r="C947" s="12"/>
      <c r="D947" s="12"/>
      <c r="E947" s="12"/>
      <c r="F947" s="12"/>
      <c r="G947" s="12"/>
      <c r="H947" s="12"/>
      <c r="I947" s="12"/>
      <c r="J947" s="12"/>
    </row>
    <row r="948" spans="1:12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</row>
    <row r="949" spans="1:12" ht="30" x14ac:dyDescent="0.25">
      <c r="A949" s="2" t="s">
        <v>6</v>
      </c>
      <c r="B949" s="2" t="s">
        <v>7</v>
      </c>
      <c r="C949" s="2" t="s">
        <v>8</v>
      </c>
      <c r="D949" s="2" t="s">
        <v>9</v>
      </c>
      <c r="E949" s="2" t="s">
        <v>10</v>
      </c>
      <c r="F949" s="2" t="s">
        <v>11</v>
      </c>
      <c r="G949" s="2" t="s">
        <v>12</v>
      </c>
      <c r="H949" s="2" t="s">
        <v>13</v>
      </c>
      <c r="I949" s="2" t="s">
        <v>14</v>
      </c>
      <c r="J949" s="2" t="s">
        <v>15</v>
      </c>
      <c r="K949" s="2" t="s">
        <v>16</v>
      </c>
      <c r="L949" s="2" t="s">
        <v>17</v>
      </c>
    </row>
    <row r="950" spans="1:12" x14ac:dyDescent="0.25">
      <c r="A950" s="3">
        <v>45691.269039351857</v>
      </c>
      <c r="B950" t="s">
        <v>89</v>
      </c>
      <c r="C950" s="3">
        <v>45691.26966435185</v>
      </c>
      <c r="D950" t="s">
        <v>89</v>
      </c>
      <c r="E950" s="4">
        <v>0.03</v>
      </c>
      <c r="F950" s="4">
        <v>427147.576</v>
      </c>
      <c r="G950" s="4">
        <v>427147.60600000003</v>
      </c>
      <c r="H950" s="5">
        <f>0 / 86400</f>
        <v>0</v>
      </c>
      <c r="I950" t="s">
        <v>32</v>
      </c>
      <c r="J950" t="s">
        <v>137</v>
      </c>
      <c r="K950" s="5">
        <f>53 / 86400</f>
        <v>6.134259259259259E-4</v>
      </c>
      <c r="L950" s="5">
        <f>23906 / 86400</f>
        <v>0.27668981481481481</v>
      </c>
    </row>
    <row r="951" spans="1:12" x14ac:dyDescent="0.25">
      <c r="A951" s="3">
        <v>45691.277314814812</v>
      </c>
      <c r="B951" t="s">
        <v>89</v>
      </c>
      <c r="C951" s="3">
        <v>45691.520358796297</v>
      </c>
      <c r="D951" t="s">
        <v>142</v>
      </c>
      <c r="E951" s="4">
        <v>101.532</v>
      </c>
      <c r="F951" s="4">
        <v>427147.60600000003</v>
      </c>
      <c r="G951" s="4">
        <v>427249.13799999998</v>
      </c>
      <c r="H951" s="5">
        <f>6821 / 86400</f>
        <v>7.8946759259259258E-2</v>
      </c>
      <c r="I951" t="s">
        <v>90</v>
      </c>
      <c r="J951" t="s">
        <v>47</v>
      </c>
      <c r="K951" s="5">
        <f>20998 / 86400</f>
        <v>0.24303240740740742</v>
      </c>
      <c r="L951" s="5">
        <f>416 / 86400</f>
        <v>4.8148148148148152E-3</v>
      </c>
    </row>
    <row r="952" spans="1:12" x14ac:dyDescent="0.25">
      <c r="A952" s="3">
        <v>45691.525173611109</v>
      </c>
      <c r="B952" t="s">
        <v>142</v>
      </c>
      <c r="C952" s="3">
        <v>45691.531087962961</v>
      </c>
      <c r="D952" t="s">
        <v>152</v>
      </c>
      <c r="E952" s="4">
        <v>1.127</v>
      </c>
      <c r="F952" s="4">
        <v>427249.13799999998</v>
      </c>
      <c r="G952" s="4">
        <v>427250.26500000001</v>
      </c>
      <c r="H952" s="5">
        <f>159 / 86400</f>
        <v>1.8402777777777777E-3</v>
      </c>
      <c r="I952" t="s">
        <v>131</v>
      </c>
      <c r="J952" t="s">
        <v>151</v>
      </c>
      <c r="K952" s="5">
        <f>511 / 86400</f>
        <v>5.9143518518518521E-3</v>
      </c>
      <c r="L952" s="5">
        <f>552 / 86400</f>
        <v>6.3888888888888893E-3</v>
      </c>
    </row>
    <row r="953" spans="1:12" x14ac:dyDescent="0.25">
      <c r="A953" s="3">
        <v>45691.537476851852</v>
      </c>
      <c r="B953" t="s">
        <v>152</v>
      </c>
      <c r="C953" s="3">
        <v>45691.539837962962</v>
      </c>
      <c r="D953" t="s">
        <v>86</v>
      </c>
      <c r="E953" s="4">
        <v>0.27800000000000002</v>
      </c>
      <c r="F953" s="4">
        <v>427250.26500000001</v>
      </c>
      <c r="G953" s="4">
        <v>427250.54300000001</v>
      </c>
      <c r="H953" s="5">
        <f>20 / 86400</f>
        <v>2.3148148148148149E-4</v>
      </c>
      <c r="I953" t="s">
        <v>20</v>
      </c>
      <c r="J953" t="s">
        <v>136</v>
      </c>
      <c r="K953" s="5">
        <f>203 / 86400</f>
        <v>2.3495370370370371E-3</v>
      </c>
      <c r="L953" s="5">
        <f>596 / 86400</f>
        <v>6.898148148148148E-3</v>
      </c>
    </row>
    <row r="954" spans="1:12" x14ac:dyDescent="0.25">
      <c r="A954" s="3">
        <v>45691.546736111108</v>
      </c>
      <c r="B954" t="s">
        <v>86</v>
      </c>
      <c r="C954" s="3">
        <v>45691.547175925924</v>
      </c>
      <c r="D954" t="s">
        <v>86</v>
      </c>
      <c r="E954" s="4">
        <v>0</v>
      </c>
      <c r="F954" s="4">
        <v>427250.54300000001</v>
      </c>
      <c r="G954" s="4">
        <v>427250.54300000001</v>
      </c>
      <c r="H954" s="5">
        <f>19 / 86400</f>
        <v>2.199074074074074E-4</v>
      </c>
      <c r="I954" t="s">
        <v>33</v>
      </c>
      <c r="J954" t="s">
        <v>33</v>
      </c>
      <c r="K954" s="5">
        <f>38 / 86400</f>
        <v>4.3981481481481481E-4</v>
      </c>
      <c r="L954" s="5">
        <f>600 / 86400</f>
        <v>6.9444444444444441E-3</v>
      </c>
    </row>
    <row r="955" spans="1:12" x14ac:dyDescent="0.25">
      <c r="A955" s="3">
        <v>45691.554120370369</v>
      </c>
      <c r="B955" t="s">
        <v>86</v>
      </c>
      <c r="C955" s="3">
        <v>45691.556805555556</v>
      </c>
      <c r="D955" t="s">
        <v>86</v>
      </c>
      <c r="E955" s="4">
        <v>0</v>
      </c>
      <c r="F955" s="4">
        <v>427250.54300000001</v>
      </c>
      <c r="G955" s="4">
        <v>427250.54300000001</v>
      </c>
      <c r="H955" s="5">
        <f>219 / 86400</f>
        <v>2.5347222222222221E-3</v>
      </c>
      <c r="I955" t="s">
        <v>33</v>
      </c>
      <c r="J955" t="s">
        <v>33</v>
      </c>
      <c r="K955" s="5">
        <f>231 / 86400</f>
        <v>2.673611111111111E-3</v>
      </c>
      <c r="L955" s="5">
        <f>136 / 86400</f>
        <v>1.5740740740740741E-3</v>
      </c>
    </row>
    <row r="956" spans="1:12" x14ac:dyDescent="0.25">
      <c r="A956" s="3">
        <v>45691.558379629627</v>
      </c>
      <c r="B956" t="s">
        <v>86</v>
      </c>
      <c r="C956" s="3">
        <v>45691.559930555552</v>
      </c>
      <c r="D956" t="s">
        <v>86</v>
      </c>
      <c r="E956" s="4">
        <v>0</v>
      </c>
      <c r="F956" s="4">
        <v>427250.54300000001</v>
      </c>
      <c r="G956" s="4">
        <v>427250.54300000001</v>
      </c>
      <c r="H956" s="5">
        <f>119 / 86400</f>
        <v>1.3773148148148147E-3</v>
      </c>
      <c r="I956" t="s">
        <v>33</v>
      </c>
      <c r="J956" t="s">
        <v>33</v>
      </c>
      <c r="K956" s="5">
        <f>134 / 86400</f>
        <v>1.5509259259259259E-3</v>
      </c>
      <c r="L956" s="5">
        <f>38 / 86400</f>
        <v>4.3981481481481481E-4</v>
      </c>
    </row>
    <row r="957" spans="1:12" x14ac:dyDescent="0.25">
      <c r="A957" s="3">
        <v>45691.560370370367</v>
      </c>
      <c r="B957" t="s">
        <v>86</v>
      </c>
      <c r="C957" s="3">
        <v>45691.561585648145</v>
      </c>
      <c r="D957" t="s">
        <v>154</v>
      </c>
      <c r="E957" s="4">
        <v>0.11799999999999999</v>
      </c>
      <c r="F957" s="4">
        <v>427250.54300000001</v>
      </c>
      <c r="G957" s="4">
        <v>427250.66100000002</v>
      </c>
      <c r="H957" s="5">
        <f>20 / 86400</f>
        <v>2.3148148148148149E-4</v>
      </c>
      <c r="I957" t="s">
        <v>47</v>
      </c>
      <c r="J957" t="s">
        <v>132</v>
      </c>
      <c r="K957" s="5">
        <f>104 / 86400</f>
        <v>1.2037037037037038E-3</v>
      </c>
      <c r="L957" s="5">
        <f>3113 / 86400</f>
        <v>3.6030092592592593E-2</v>
      </c>
    </row>
    <row r="958" spans="1:12" x14ac:dyDescent="0.25">
      <c r="A958" s="3">
        <v>45691.597615740742</v>
      </c>
      <c r="B958" t="s">
        <v>154</v>
      </c>
      <c r="C958" s="3">
        <v>45691.600057870368</v>
      </c>
      <c r="D958" t="s">
        <v>127</v>
      </c>
      <c r="E958" s="4">
        <v>0.125</v>
      </c>
      <c r="F958" s="4">
        <v>427250.66100000002</v>
      </c>
      <c r="G958" s="4">
        <v>427250.78600000002</v>
      </c>
      <c r="H958" s="5">
        <f>99 / 86400</f>
        <v>1.1458333333333333E-3</v>
      </c>
      <c r="I958" t="s">
        <v>156</v>
      </c>
      <c r="J958" t="s">
        <v>137</v>
      </c>
      <c r="K958" s="5">
        <f>211 / 86400</f>
        <v>2.4421296296296296E-3</v>
      </c>
      <c r="L958" s="5">
        <f>7 / 86400</f>
        <v>8.1018518518518516E-5</v>
      </c>
    </row>
    <row r="959" spans="1:12" x14ac:dyDescent="0.25">
      <c r="A959" s="3">
        <v>45691.600138888884</v>
      </c>
      <c r="B959" t="s">
        <v>127</v>
      </c>
      <c r="C959" s="3">
        <v>45691.600486111114</v>
      </c>
      <c r="D959" t="s">
        <v>127</v>
      </c>
      <c r="E959" s="4">
        <v>4.0000000000000001E-3</v>
      </c>
      <c r="F959" s="4">
        <v>427250.78600000002</v>
      </c>
      <c r="G959" s="4">
        <v>427250.79</v>
      </c>
      <c r="H959" s="5">
        <f>0 / 86400</f>
        <v>0</v>
      </c>
      <c r="I959" t="s">
        <v>62</v>
      </c>
      <c r="J959" t="s">
        <v>33</v>
      </c>
      <c r="K959" s="5">
        <f>30 / 86400</f>
        <v>3.4722222222222224E-4</v>
      </c>
      <c r="L959" s="5">
        <f>4974 / 86400</f>
        <v>5.7569444444444444E-2</v>
      </c>
    </row>
    <row r="960" spans="1:12" x14ac:dyDescent="0.25">
      <c r="A960" s="3">
        <v>45691.658055555556</v>
      </c>
      <c r="B960" t="s">
        <v>127</v>
      </c>
      <c r="C960" s="3">
        <v>45691.658310185187</v>
      </c>
      <c r="D960" t="s">
        <v>127</v>
      </c>
      <c r="E960" s="4">
        <v>0</v>
      </c>
      <c r="F960" s="4">
        <v>427250.79</v>
      </c>
      <c r="G960" s="4">
        <v>427250.79</v>
      </c>
      <c r="H960" s="5">
        <f>19 / 86400</f>
        <v>2.199074074074074E-4</v>
      </c>
      <c r="I960" t="s">
        <v>33</v>
      </c>
      <c r="J960" t="s">
        <v>33</v>
      </c>
      <c r="K960" s="5">
        <f>22 / 86400</f>
        <v>2.5462962962962961E-4</v>
      </c>
      <c r="L960" s="5">
        <f>191 / 86400</f>
        <v>2.2106481481481482E-3</v>
      </c>
    </row>
    <row r="961" spans="1:12" x14ac:dyDescent="0.25">
      <c r="A961" s="3">
        <v>45691.660520833335</v>
      </c>
      <c r="B961" t="s">
        <v>127</v>
      </c>
      <c r="C961" s="3">
        <v>45691.666770833333</v>
      </c>
      <c r="D961" t="s">
        <v>157</v>
      </c>
      <c r="E961" s="4">
        <v>0.82</v>
      </c>
      <c r="F961" s="4">
        <v>427250.79</v>
      </c>
      <c r="G961" s="4">
        <v>427251.61</v>
      </c>
      <c r="H961" s="5">
        <f>299 / 86400</f>
        <v>3.460648148148148E-3</v>
      </c>
      <c r="I961" t="s">
        <v>264</v>
      </c>
      <c r="J961" t="s">
        <v>136</v>
      </c>
      <c r="K961" s="5">
        <f>539 / 86400</f>
        <v>6.2384259259259259E-3</v>
      </c>
      <c r="L961" s="5">
        <f>296 / 86400</f>
        <v>3.425925925925926E-3</v>
      </c>
    </row>
    <row r="962" spans="1:12" x14ac:dyDescent="0.25">
      <c r="A962" s="3">
        <v>45691.67019675926</v>
      </c>
      <c r="B962" t="s">
        <v>157</v>
      </c>
      <c r="C962" s="3">
        <v>45691.671689814815</v>
      </c>
      <c r="D962" t="s">
        <v>157</v>
      </c>
      <c r="E962" s="4">
        <v>1.6E-2</v>
      </c>
      <c r="F962" s="4">
        <v>427251.61</v>
      </c>
      <c r="G962" s="4">
        <v>427251.62599999999</v>
      </c>
      <c r="H962" s="5">
        <f>99 / 86400</f>
        <v>1.1458333333333333E-3</v>
      </c>
      <c r="I962" t="s">
        <v>62</v>
      </c>
      <c r="J962" t="s">
        <v>33</v>
      </c>
      <c r="K962" s="5">
        <f>129 / 86400</f>
        <v>1.4930555555555556E-3</v>
      </c>
      <c r="L962" s="5">
        <f>119 / 86400</f>
        <v>1.3773148148148147E-3</v>
      </c>
    </row>
    <row r="963" spans="1:12" x14ac:dyDescent="0.25">
      <c r="A963" s="3">
        <v>45691.673067129625</v>
      </c>
      <c r="B963" t="s">
        <v>157</v>
      </c>
      <c r="C963" s="3">
        <v>45691.67322916667</v>
      </c>
      <c r="D963" t="s">
        <v>157</v>
      </c>
      <c r="E963" s="4">
        <v>1.2E-2</v>
      </c>
      <c r="F963" s="4">
        <v>427251.62599999999</v>
      </c>
      <c r="G963" s="4">
        <v>427251.63799999998</v>
      </c>
      <c r="H963" s="5">
        <f>0 / 86400</f>
        <v>0</v>
      </c>
      <c r="I963" t="s">
        <v>33</v>
      </c>
      <c r="J963" t="s">
        <v>128</v>
      </c>
      <c r="K963" s="5">
        <f>14 / 86400</f>
        <v>1.6203703703703703E-4</v>
      </c>
      <c r="L963" s="5">
        <f>256 / 86400</f>
        <v>2.9629629629629628E-3</v>
      </c>
    </row>
    <row r="964" spans="1:12" x14ac:dyDescent="0.25">
      <c r="A964" s="3">
        <v>45691.676192129627</v>
      </c>
      <c r="B964" t="s">
        <v>157</v>
      </c>
      <c r="C964" s="3">
        <v>45691.676319444443</v>
      </c>
      <c r="D964" t="s">
        <v>157</v>
      </c>
      <c r="E964" s="4">
        <v>6.0000000000000001E-3</v>
      </c>
      <c r="F964" s="4">
        <v>427251.63799999998</v>
      </c>
      <c r="G964" s="4">
        <v>427251.64399999997</v>
      </c>
      <c r="H964" s="5">
        <f>0 / 86400</f>
        <v>0</v>
      </c>
      <c r="I964" t="s">
        <v>33</v>
      </c>
      <c r="J964" t="s">
        <v>137</v>
      </c>
      <c r="K964" s="5">
        <f>11 / 86400</f>
        <v>1.273148148148148E-4</v>
      </c>
      <c r="L964" s="5">
        <f>491 / 86400</f>
        <v>5.6828703703703702E-3</v>
      </c>
    </row>
    <row r="965" spans="1:12" x14ac:dyDescent="0.25">
      <c r="A965" s="3">
        <v>45691.682002314818</v>
      </c>
      <c r="B965" t="s">
        <v>157</v>
      </c>
      <c r="C965" s="3">
        <v>45691.682962962965</v>
      </c>
      <c r="D965" t="s">
        <v>157</v>
      </c>
      <c r="E965" s="4">
        <v>7.0000000000000001E-3</v>
      </c>
      <c r="F965" s="4">
        <v>427251.64399999997</v>
      </c>
      <c r="G965" s="4">
        <v>427251.65100000001</v>
      </c>
      <c r="H965" s="5">
        <f>60 / 86400</f>
        <v>6.9444444444444447E-4</v>
      </c>
      <c r="I965" t="s">
        <v>136</v>
      </c>
      <c r="J965" t="s">
        <v>33</v>
      </c>
      <c r="K965" s="5">
        <f>82 / 86400</f>
        <v>9.4907407407407408E-4</v>
      </c>
      <c r="L965" s="5">
        <f>42 / 86400</f>
        <v>4.861111111111111E-4</v>
      </c>
    </row>
    <row r="966" spans="1:12" x14ac:dyDescent="0.25">
      <c r="A966" s="3">
        <v>45691.683449074073</v>
      </c>
      <c r="B966" t="s">
        <v>157</v>
      </c>
      <c r="C966" s="3">
        <v>45691.683842592596</v>
      </c>
      <c r="D966" t="s">
        <v>157</v>
      </c>
      <c r="E966" s="4">
        <v>5.0000000000000001E-3</v>
      </c>
      <c r="F966" s="4">
        <v>427251.65100000001</v>
      </c>
      <c r="G966" s="4">
        <v>427251.65600000002</v>
      </c>
      <c r="H966" s="5">
        <f>0 / 86400</f>
        <v>0</v>
      </c>
      <c r="I966" t="s">
        <v>128</v>
      </c>
      <c r="J966" t="s">
        <v>62</v>
      </c>
      <c r="K966" s="5">
        <f>34 / 86400</f>
        <v>3.9351851851851852E-4</v>
      </c>
      <c r="L966" s="5">
        <f>80 / 86400</f>
        <v>9.2592592592592596E-4</v>
      </c>
    </row>
    <row r="967" spans="1:12" x14ac:dyDescent="0.25">
      <c r="A967" s="3">
        <v>45691.68476851852</v>
      </c>
      <c r="B967" t="s">
        <v>157</v>
      </c>
      <c r="C967" s="3">
        <v>45691.843206018515</v>
      </c>
      <c r="D967" t="s">
        <v>384</v>
      </c>
      <c r="E967" s="4">
        <v>70.463999999999999</v>
      </c>
      <c r="F967" s="4">
        <v>427251.65600000002</v>
      </c>
      <c r="G967" s="4">
        <v>427322.12</v>
      </c>
      <c r="H967" s="5">
        <f>3752 / 86400</f>
        <v>4.3425925925925923E-2</v>
      </c>
      <c r="I967" t="s">
        <v>78</v>
      </c>
      <c r="J967" t="s">
        <v>35</v>
      </c>
      <c r="K967" s="5">
        <f>13688 / 86400</f>
        <v>0.15842592592592591</v>
      </c>
      <c r="L967" s="5">
        <f>117 / 86400</f>
        <v>1.3541666666666667E-3</v>
      </c>
    </row>
    <row r="968" spans="1:12" x14ac:dyDescent="0.25">
      <c r="A968" s="3">
        <v>45691.844560185185</v>
      </c>
      <c r="B968" t="s">
        <v>384</v>
      </c>
      <c r="C968" s="3">
        <v>45691.847870370373</v>
      </c>
      <c r="D968" t="s">
        <v>89</v>
      </c>
      <c r="E968" s="4">
        <v>1.3959999999999999</v>
      </c>
      <c r="F968" s="4">
        <v>427322.12</v>
      </c>
      <c r="G968" s="4">
        <v>427323.516</v>
      </c>
      <c r="H968" s="5">
        <f>39 / 86400</f>
        <v>4.5138888888888887E-4</v>
      </c>
      <c r="I968" t="s">
        <v>61</v>
      </c>
      <c r="J968" t="s">
        <v>20</v>
      </c>
      <c r="K968" s="5">
        <f>286 / 86400</f>
        <v>3.3101851851851851E-3</v>
      </c>
      <c r="L968" s="5">
        <f>850 / 86400</f>
        <v>9.8379629629629633E-3</v>
      </c>
    </row>
    <row r="969" spans="1:12" x14ac:dyDescent="0.25">
      <c r="A969" s="3">
        <v>45691.857708333337</v>
      </c>
      <c r="B969" t="s">
        <v>89</v>
      </c>
      <c r="C969" s="3">
        <v>45691.858668981484</v>
      </c>
      <c r="D969" t="s">
        <v>89</v>
      </c>
      <c r="E969" s="4">
        <v>0.13500000000000001</v>
      </c>
      <c r="F969" s="4">
        <v>427323.516</v>
      </c>
      <c r="G969" s="4">
        <v>427323.65100000001</v>
      </c>
      <c r="H969" s="5">
        <f>0 / 86400</f>
        <v>0</v>
      </c>
      <c r="I969" t="s">
        <v>140</v>
      </c>
      <c r="J969" t="s">
        <v>32</v>
      </c>
      <c r="K969" s="5">
        <f>82 / 86400</f>
        <v>9.4907407407407408E-4</v>
      </c>
      <c r="L969" s="5">
        <f>12210 / 86400</f>
        <v>0.14131944444444444</v>
      </c>
    </row>
    <row r="970" spans="1:12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</row>
    <row r="971" spans="1:12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</row>
    <row r="972" spans="1:12" s="10" customFormat="1" ht="20.100000000000001" customHeight="1" x14ac:dyDescent="0.35">
      <c r="A972" s="12" t="s">
        <v>457</v>
      </c>
      <c r="B972" s="12"/>
      <c r="C972" s="12"/>
      <c r="D972" s="12"/>
      <c r="E972" s="12"/>
      <c r="F972" s="12"/>
      <c r="G972" s="12"/>
      <c r="H972" s="12"/>
      <c r="I972" s="12"/>
      <c r="J972" s="12"/>
    </row>
    <row r="973" spans="1:12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</row>
    <row r="974" spans="1:12" ht="30" x14ac:dyDescent="0.25">
      <c r="A974" s="2" t="s">
        <v>6</v>
      </c>
      <c r="B974" s="2" t="s">
        <v>7</v>
      </c>
      <c r="C974" s="2" t="s">
        <v>8</v>
      </c>
      <c r="D974" s="2" t="s">
        <v>9</v>
      </c>
      <c r="E974" s="2" t="s">
        <v>10</v>
      </c>
      <c r="F974" s="2" t="s">
        <v>11</v>
      </c>
      <c r="G974" s="2" t="s">
        <v>12</v>
      </c>
      <c r="H974" s="2" t="s">
        <v>13</v>
      </c>
      <c r="I974" s="2" t="s">
        <v>14</v>
      </c>
      <c r="J974" s="2" t="s">
        <v>15</v>
      </c>
      <c r="K974" s="2" t="s">
        <v>16</v>
      </c>
      <c r="L974" s="2" t="s">
        <v>17</v>
      </c>
    </row>
    <row r="975" spans="1:12" x14ac:dyDescent="0.25">
      <c r="A975" s="3">
        <v>45691.242442129631</v>
      </c>
      <c r="B975" t="s">
        <v>28</v>
      </c>
      <c r="C975" s="3">
        <v>45691.255439814813</v>
      </c>
      <c r="D975" t="s">
        <v>163</v>
      </c>
      <c r="E975" s="4">
        <v>1.448</v>
      </c>
      <c r="F975" s="4">
        <v>573732.98899999994</v>
      </c>
      <c r="G975" s="4">
        <v>573734.43700000003</v>
      </c>
      <c r="H975" s="5">
        <f>779 / 86400</f>
        <v>9.0162037037037034E-3</v>
      </c>
      <c r="I975" t="s">
        <v>126</v>
      </c>
      <c r="J975" t="s">
        <v>136</v>
      </c>
      <c r="K975" s="5">
        <f>1123 / 86400</f>
        <v>1.2997685185185185E-2</v>
      </c>
      <c r="L975" s="5">
        <f>21215 / 86400</f>
        <v>0.24554398148148149</v>
      </c>
    </row>
    <row r="976" spans="1:12" x14ac:dyDescent="0.25">
      <c r="A976" s="3">
        <v>45691.25854166667</v>
      </c>
      <c r="B976" t="s">
        <v>163</v>
      </c>
      <c r="C976" s="3">
        <v>45691.262812500005</v>
      </c>
      <c r="D976" t="s">
        <v>163</v>
      </c>
      <c r="E976" s="4">
        <v>0.13800000000000001</v>
      </c>
      <c r="F976" s="4">
        <v>573734.43700000003</v>
      </c>
      <c r="G976" s="4">
        <v>573734.57499999995</v>
      </c>
      <c r="H976" s="5">
        <f>299 / 86400</f>
        <v>3.460648148148148E-3</v>
      </c>
      <c r="I976" t="s">
        <v>156</v>
      </c>
      <c r="J976" t="s">
        <v>62</v>
      </c>
      <c r="K976" s="5">
        <f>369 / 86400</f>
        <v>4.2708333333333331E-3</v>
      </c>
      <c r="L976" s="5">
        <f>257 / 86400</f>
        <v>2.9745370370370373E-3</v>
      </c>
    </row>
    <row r="977" spans="1:12" x14ac:dyDescent="0.25">
      <c r="A977" s="3">
        <v>45691.265787037039</v>
      </c>
      <c r="B977" t="s">
        <v>163</v>
      </c>
      <c r="C977" s="3">
        <v>45691.54965277778</v>
      </c>
      <c r="D977" t="s">
        <v>154</v>
      </c>
      <c r="E977" s="4">
        <v>103.05500000000001</v>
      </c>
      <c r="F977" s="4">
        <v>573734.57499999995</v>
      </c>
      <c r="G977" s="4">
        <v>573837.63</v>
      </c>
      <c r="H977" s="5">
        <f>9557 / 86400</f>
        <v>0.11061342592592592</v>
      </c>
      <c r="I977" t="s">
        <v>51</v>
      </c>
      <c r="J977" t="s">
        <v>30</v>
      </c>
      <c r="K977" s="5">
        <f>24526 / 86400</f>
        <v>0.28386574074074072</v>
      </c>
      <c r="L977" s="5">
        <f>902 / 86400</f>
        <v>1.0439814814814815E-2</v>
      </c>
    </row>
    <row r="978" spans="1:12" x14ac:dyDescent="0.25">
      <c r="A978" s="3">
        <v>45691.560092592597</v>
      </c>
      <c r="B978" t="s">
        <v>154</v>
      </c>
      <c r="C978" s="3">
        <v>45691.562256944446</v>
      </c>
      <c r="D978" t="s">
        <v>154</v>
      </c>
      <c r="E978" s="4">
        <v>0</v>
      </c>
      <c r="F978" s="4">
        <v>573837.63</v>
      </c>
      <c r="G978" s="4">
        <v>573837.63</v>
      </c>
      <c r="H978" s="5">
        <f>179 / 86400</f>
        <v>2.0717592592592593E-3</v>
      </c>
      <c r="I978" t="s">
        <v>33</v>
      </c>
      <c r="J978" t="s">
        <v>33</v>
      </c>
      <c r="K978" s="5">
        <f>187 / 86400</f>
        <v>2.1643518518518518E-3</v>
      </c>
      <c r="L978" s="5">
        <f>465 / 86400</f>
        <v>5.3819444444444444E-3</v>
      </c>
    </row>
    <row r="979" spans="1:12" x14ac:dyDescent="0.25">
      <c r="A979" s="3">
        <v>45691.56763888889</v>
      </c>
      <c r="B979" t="s">
        <v>154</v>
      </c>
      <c r="C979" s="3">
        <v>45691.569224537037</v>
      </c>
      <c r="D979" t="s">
        <v>127</v>
      </c>
      <c r="E979" s="4">
        <v>0.105</v>
      </c>
      <c r="F979" s="4">
        <v>573837.63</v>
      </c>
      <c r="G979" s="4">
        <v>573837.73499999999</v>
      </c>
      <c r="H979" s="5">
        <f>79 / 86400</f>
        <v>9.1435185185185185E-4</v>
      </c>
      <c r="I979" t="s">
        <v>155</v>
      </c>
      <c r="J979" t="s">
        <v>128</v>
      </c>
      <c r="K979" s="5">
        <f>137 / 86400</f>
        <v>1.5856481481481481E-3</v>
      </c>
      <c r="L979" s="5">
        <f>6 / 86400</f>
        <v>6.9444444444444444E-5</v>
      </c>
    </row>
    <row r="980" spans="1:12" x14ac:dyDescent="0.25">
      <c r="A980" s="3">
        <v>45691.569293981476</v>
      </c>
      <c r="B980" t="s">
        <v>127</v>
      </c>
      <c r="C980" s="3">
        <v>45691.569502314815</v>
      </c>
      <c r="D980" t="s">
        <v>127</v>
      </c>
      <c r="E980" s="4">
        <v>2E-3</v>
      </c>
      <c r="F980" s="4">
        <v>573837.73499999999</v>
      </c>
      <c r="G980" s="4">
        <v>573837.73699999996</v>
      </c>
      <c r="H980" s="5">
        <f>8 / 86400</f>
        <v>9.2592592592592588E-5</v>
      </c>
      <c r="I980" t="s">
        <v>33</v>
      </c>
      <c r="J980" t="s">
        <v>33</v>
      </c>
      <c r="K980" s="5">
        <f>18 / 86400</f>
        <v>2.0833333333333335E-4</v>
      </c>
      <c r="L980" s="5">
        <f>641 / 86400</f>
        <v>7.4189814814814813E-3</v>
      </c>
    </row>
    <row r="981" spans="1:12" x14ac:dyDescent="0.25">
      <c r="A981" s="3">
        <v>45691.576921296291</v>
      </c>
      <c r="B981" t="s">
        <v>127</v>
      </c>
      <c r="C981" s="3">
        <v>45691.584050925929</v>
      </c>
      <c r="D981" t="s">
        <v>142</v>
      </c>
      <c r="E981" s="4">
        <v>1.387</v>
      </c>
      <c r="F981" s="4">
        <v>573837.73699999996</v>
      </c>
      <c r="G981" s="4">
        <v>573839.12399999995</v>
      </c>
      <c r="H981" s="5">
        <f>260 / 86400</f>
        <v>3.0092592592592593E-3</v>
      </c>
      <c r="I981" t="s">
        <v>165</v>
      </c>
      <c r="J981" t="s">
        <v>151</v>
      </c>
      <c r="K981" s="5">
        <f>616 / 86400</f>
        <v>7.1296296296296299E-3</v>
      </c>
      <c r="L981" s="5">
        <f>1115 / 86400</f>
        <v>1.2905092592592593E-2</v>
      </c>
    </row>
    <row r="982" spans="1:12" x14ac:dyDescent="0.25">
      <c r="A982" s="3">
        <v>45691.596956018519</v>
      </c>
      <c r="B982" t="s">
        <v>142</v>
      </c>
      <c r="C982" s="3">
        <v>45691.601215277777</v>
      </c>
      <c r="D982" t="s">
        <v>46</v>
      </c>
      <c r="E982" s="4">
        <v>1.244</v>
      </c>
      <c r="F982" s="4">
        <v>573839.12399999995</v>
      </c>
      <c r="G982" s="4">
        <v>573840.36800000002</v>
      </c>
      <c r="H982" s="5">
        <f>19 / 86400</f>
        <v>2.199074074074074E-4</v>
      </c>
      <c r="I982" t="s">
        <v>24</v>
      </c>
      <c r="J982" t="s">
        <v>155</v>
      </c>
      <c r="K982" s="5">
        <f>368 / 86400</f>
        <v>4.2592592592592595E-3</v>
      </c>
      <c r="L982" s="5">
        <f>4475 / 86400</f>
        <v>5.1793981481481483E-2</v>
      </c>
    </row>
    <row r="983" spans="1:12" x14ac:dyDescent="0.25">
      <c r="A983" s="3">
        <v>45691.653009259258</v>
      </c>
      <c r="B983" t="s">
        <v>46</v>
      </c>
      <c r="C983" s="3">
        <v>45691.655057870375</v>
      </c>
      <c r="D983" t="s">
        <v>384</v>
      </c>
      <c r="E983" s="4">
        <v>0.21199999999999999</v>
      </c>
      <c r="F983" s="4">
        <v>573840.36800000002</v>
      </c>
      <c r="G983" s="4">
        <v>573840.57999999996</v>
      </c>
      <c r="H983" s="5">
        <f>59 / 86400</f>
        <v>6.8287037037037036E-4</v>
      </c>
      <c r="I983" t="s">
        <v>151</v>
      </c>
      <c r="J983" t="s">
        <v>132</v>
      </c>
      <c r="K983" s="5">
        <f>176 / 86400</f>
        <v>2.0370370370370369E-3</v>
      </c>
      <c r="L983" s="5">
        <f>305 / 86400</f>
        <v>3.5300925925925925E-3</v>
      </c>
    </row>
    <row r="984" spans="1:12" x14ac:dyDescent="0.25">
      <c r="A984" s="3">
        <v>45691.658587962964</v>
      </c>
      <c r="B984" t="s">
        <v>384</v>
      </c>
      <c r="C984" s="3">
        <v>45691.940972222219</v>
      </c>
      <c r="D984" t="s">
        <v>28</v>
      </c>
      <c r="E984" s="4">
        <v>92.99</v>
      </c>
      <c r="F984" s="4">
        <v>573840.57999999996</v>
      </c>
      <c r="G984" s="4">
        <v>573933.56999999995</v>
      </c>
      <c r="H984" s="5">
        <f>10498 / 86400</f>
        <v>0.12150462962962963</v>
      </c>
      <c r="I984" t="s">
        <v>91</v>
      </c>
      <c r="J984" t="s">
        <v>45</v>
      </c>
      <c r="K984" s="5">
        <f>24397 / 86400</f>
        <v>0.28237268518518521</v>
      </c>
      <c r="L984" s="5">
        <f>5099 / 86400</f>
        <v>5.9016203703703703E-2</v>
      </c>
    </row>
    <row r="985" spans="1:12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</row>
    <row r="986" spans="1:12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</row>
    <row r="987" spans="1:12" s="10" customFormat="1" ht="20.100000000000001" customHeight="1" x14ac:dyDescent="0.35">
      <c r="A987" s="12" t="s">
        <v>458</v>
      </c>
      <c r="B987" s="12"/>
      <c r="C987" s="12"/>
      <c r="D987" s="12"/>
      <c r="E987" s="12"/>
      <c r="F987" s="12"/>
      <c r="G987" s="12"/>
      <c r="H987" s="12"/>
      <c r="I987" s="12"/>
      <c r="J987" s="12"/>
    </row>
    <row r="988" spans="1:12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</row>
    <row r="989" spans="1:12" ht="30" x14ac:dyDescent="0.25">
      <c r="A989" s="2" t="s">
        <v>6</v>
      </c>
      <c r="B989" s="2" t="s">
        <v>7</v>
      </c>
      <c r="C989" s="2" t="s">
        <v>8</v>
      </c>
      <c r="D989" s="2" t="s">
        <v>9</v>
      </c>
      <c r="E989" s="2" t="s">
        <v>10</v>
      </c>
      <c r="F989" s="2" t="s">
        <v>11</v>
      </c>
      <c r="G989" s="2" t="s">
        <v>12</v>
      </c>
      <c r="H989" s="2" t="s">
        <v>13</v>
      </c>
      <c r="I989" s="2" t="s">
        <v>14</v>
      </c>
      <c r="J989" s="2" t="s">
        <v>15</v>
      </c>
      <c r="K989" s="2" t="s">
        <v>16</v>
      </c>
      <c r="L989" s="2" t="s">
        <v>17</v>
      </c>
    </row>
    <row r="990" spans="1:12" x14ac:dyDescent="0.25">
      <c r="A990" s="3">
        <v>45691.243530092594</v>
      </c>
      <c r="B990" t="s">
        <v>92</v>
      </c>
      <c r="C990" s="3">
        <v>45691.322511574079</v>
      </c>
      <c r="D990" t="s">
        <v>130</v>
      </c>
      <c r="E990" s="4">
        <v>37.448999999999998</v>
      </c>
      <c r="F990" s="4">
        <v>415303.09100000001</v>
      </c>
      <c r="G990" s="4">
        <v>415340.54</v>
      </c>
      <c r="H990" s="5">
        <f>2138 / 86400</f>
        <v>2.4745370370370369E-2</v>
      </c>
      <c r="I990" t="s">
        <v>123</v>
      </c>
      <c r="J990" t="s">
        <v>75</v>
      </c>
      <c r="K990" s="5">
        <f>6824 / 86400</f>
        <v>7.8981481481481486E-2</v>
      </c>
      <c r="L990" s="5">
        <f>21636 / 86400</f>
        <v>0.25041666666666668</v>
      </c>
    </row>
    <row r="991" spans="1:12" x14ac:dyDescent="0.25">
      <c r="A991" s="3">
        <v>45691.329398148147</v>
      </c>
      <c r="B991" t="s">
        <v>142</v>
      </c>
      <c r="C991" s="3">
        <v>45691.329837962963</v>
      </c>
      <c r="D991" t="s">
        <v>142</v>
      </c>
      <c r="E991" s="4">
        <v>4.9000000000000002E-2</v>
      </c>
      <c r="F991" s="4">
        <v>415340.54</v>
      </c>
      <c r="G991" s="4">
        <v>415340.58899999998</v>
      </c>
      <c r="H991" s="5">
        <f>0 / 86400</f>
        <v>0</v>
      </c>
      <c r="I991" t="s">
        <v>76</v>
      </c>
      <c r="J991" t="s">
        <v>136</v>
      </c>
      <c r="K991" s="5">
        <f>37 / 86400</f>
        <v>4.2824074074074075E-4</v>
      </c>
      <c r="L991" s="5">
        <f>114 / 86400</f>
        <v>1.3194444444444445E-3</v>
      </c>
    </row>
    <row r="992" spans="1:12" x14ac:dyDescent="0.25">
      <c r="A992" s="3">
        <v>45691.331157407403</v>
      </c>
      <c r="B992" t="s">
        <v>142</v>
      </c>
      <c r="C992" s="3">
        <v>45691.592291666668</v>
      </c>
      <c r="D992" t="s">
        <v>130</v>
      </c>
      <c r="E992" s="4">
        <v>102.578</v>
      </c>
      <c r="F992" s="4">
        <v>415340.58899999998</v>
      </c>
      <c r="G992" s="4">
        <v>415443.16700000002</v>
      </c>
      <c r="H992" s="5">
        <f>7673 / 86400</f>
        <v>8.880787037037037E-2</v>
      </c>
      <c r="I992" t="s">
        <v>44</v>
      </c>
      <c r="J992" t="s">
        <v>40</v>
      </c>
      <c r="K992" s="5">
        <f>22561 / 86400</f>
        <v>0.26112268518518517</v>
      </c>
      <c r="L992" s="5">
        <f>2931 / 86400</f>
        <v>3.3923611111111113E-2</v>
      </c>
    </row>
    <row r="993" spans="1:12" x14ac:dyDescent="0.25">
      <c r="A993" s="3">
        <v>45691.626215277778</v>
      </c>
      <c r="B993" t="s">
        <v>130</v>
      </c>
      <c r="C993" s="3">
        <v>45691.825752314813</v>
      </c>
      <c r="D993" t="s">
        <v>92</v>
      </c>
      <c r="E993" s="4">
        <v>72.56</v>
      </c>
      <c r="F993" s="4">
        <v>415443.16700000002</v>
      </c>
      <c r="G993" s="4">
        <v>415515.72700000001</v>
      </c>
      <c r="H993" s="5">
        <f>6050 / 86400</f>
        <v>7.0023148148148154E-2</v>
      </c>
      <c r="I993" t="s">
        <v>78</v>
      </c>
      <c r="J993" t="s">
        <v>30</v>
      </c>
      <c r="K993" s="5">
        <f>17239 / 86400</f>
        <v>0.19952546296296297</v>
      </c>
      <c r="L993" s="5">
        <f>15054 / 86400</f>
        <v>0.17423611111111112</v>
      </c>
    </row>
    <row r="994" spans="1:12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</row>
    <row r="995" spans="1:12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</row>
    <row r="996" spans="1:12" s="10" customFormat="1" ht="20.100000000000001" customHeight="1" x14ac:dyDescent="0.35">
      <c r="A996" s="12" t="s">
        <v>459</v>
      </c>
      <c r="B996" s="12"/>
      <c r="C996" s="12"/>
      <c r="D996" s="12"/>
      <c r="E996" s="12"/>
      <c r="F996" s="12"/>
      <c r="G996" s="12"/>
      <c r="H996" s="12"/>
      <c r="I996" s="12"/>
      <c r="J996" s="12"/>
    </row>
    <row r="997" spans="1:12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</row>
    <row r="998" spans="1:12" ht="30" x14ac:dyDescent="0.25">
      <c r="A998" s="2" t="s">
        <v>6</v>
      </c>
      <c r="B998" s="2" t="s">
        <v>7</v>
      </c>
      <c r="C998" s="2" t="s">
        <v>8</v>
      </c>
      <c r="D998" s="2" t="s">
        <v>9</v>
      </c>
      <c r="E998" s="2" t="s">
        <v>10</v>
      </c>
      <c r="F998" s="2" t="s">
        <v>11</v>
      </c>
      <c r="G998" s="2" t="s">
        <v>12</v>
      </c>
      <c r="H998" s="2" t="s">
        <v>13</v>
      </c>
      <c r="I998" s="2" t="s">
        <v>14</v>
      </c>
      <c r="J998" s="2" t="s">
        <v>15</v>
      </c>
      <c r="K998" s="2" t="s">
        <v>16</v>
      </c>
      <c r="L998" s="2" t="s">
        <v>17</v>
      </c>
    </row>
    <row r="999" spans="1:12" x14ac:dyDescent="0.25">
      <c r="A999" s="3">
        <v>45691.308078703703</v>
      </c>
      <c r="B999" t="s">
        <v>93</v>
      </c>
      <c r="C999" s="3">
        <v>45691.323148148149</v>
      </c>
      <c r="D999" t="s">
        <v>142</v>
      </c>
      <c r="E999" s="4">
        <v>10.144</v>
      </c>
      <c r="F999" s="4">
        <v>399138.951</v>
      </c>
      <c r="G999" s="4">
        <v>399149.09499999997</v>
      </c>
      <c r="H999" s="5">
        <f>259 / 86400</f>
        <v>2.9976851851851853E-3</v>
      </c>
      <c r="I999" t="s">
        <v>129</v>
      </c>
      <c r="J999" t="s">
        <v>196</v>
      </c>
      <c r="K999" s="5">
        <f>1302 / 86400</f>
        <v>1.5069444444444444E-2</v>
      </c>
      <c r="L999" s="5">
        <f>27105 / 86400</f>
        <v>0.3137152777777778</v>
      </c>
    </row>
    <row r="1000" spans="1:12" x14ac:dyDescent="0.25">
      <c r="A1000" s="3">
        <v>45691.328784722224</v>
      </c>
      <c r="B1000" t="s">
        <v>142</v>
      </c>
      <c r="C1000" s="3">
        <v>45691.616620370369</v>
      </c>
      <c r="D1000" t="s">
        <v>50</v>
      </c>
      <c r="E1000" s="4">
        <v>100.77200000000001</v>
      </c>
      <c r="F1000" s="4">
        <v>399149.09499999997</v>
      </c>
      <c r="G1000" s="4">
        <v>399249.86700000003</v>
      </c>
      <c r="H1000" s="5">
        <f>9120 / 86400</f>
        <v>0.10555555555555556</v>
      </c>
      <c r="I1000" t="s">
        <v>29</v>
      </c>
      <c r="J1000" t="s">
        <v>30</v>
      </c>
      <c r="K1000" s="5">
        <f>24869 / 86400</f>
        <v>0.28783564814814816</v>
      </c>
      <c r="L1000" s="5">
        <f>3728 / 86400</f>
        <v>4.3148148148148151E-2</v>
      </c>
    </row>
    <row r="1001" spans="1:12" x14ac:dyDescent="0.25">
      <c r="A1001" s="3">
        <v>45691.659768518519</v>
      </c>
      <c r="B1001" t="s">
        <v>50</v>
      </c>
      <c r="C1001" s="3">
        <v>45691.661956018521</v>
      </c>
      <c r="D1001" t="s">
        <v>157</v>
      </c>
      <c r="E1001" s="4">
        <v>0.68200000000000005</v>
      </c>
      <c r="F1001" s="4">
        <v>399249.86700000003</v>
      </c>
      <c r="G1001" s="4">
        <v>399250.549</v>
      </c>
      <c r="H1001" s="5">
        <f>20 / 86400</f>
        <v>2.3148148148148149E-4</v>
      </c>
      <c r="I1001" t="s">
        <v>70</v>
      </c>
      <c r="J1001" t="s">
        <v>59</v>
      </c>
      <c r="K1001" s="5">
        <f>188 / 86400</f>
        <v>2.1759259259259258E-3</v>
      </c>
      <c r="L1001" s="5">
        <f>329 / 86400</f>
        <v>3.8078703703703703E-3</v>
      </c>
    </row>
    <row r="1002" spans="1:12" x14ac:dyDescent="0.25">
      <c r="A1002" s="3">
        <v>45691.665763888886</v>
      </c>
      <c r="B1002" t="s">
        <v>157</v>
      </c>
      <c r="C1002" s="3">
        <v>45691.665960648148</v>
      </c>
      <c r="D1002" t="s">
        <v>157</v>
      </c>
      <c r="E1002" s="4">
        <v>3.0000000000000001E-3</v>
      </c>
      <c r="F1002" s="4">
        <v>399250.549</v>
      </c>
      <c r="G1002" s="4">
        <v>399250.55200000003</v>
      </c>
      <c r="H1002" s="5">
        <f>0 / 86400</f>
        <v>0</v>
      </c>
      <c r="I1002" t="s">
        <v>33</v>
      </c>
      <c r="J1002" t="s">
        <v>62</v>
      </c>
      <c r="K1002" s="5">
        <f>16 / 86400</f>
        <v>1.8518518518518518E-4</v>
      </c>
      <c r="L1002" s="5">
        <f>341 / 86400</f>
        <v>3.9467592592592592E-3</v>
      </c>
    </row>
    <row r="1003" spans="1:12" x14ac:dyDescent="0.25">
      <c r="A1003" s="3">
        <v>45691.669907407406</v>
      </c>
      <c r="B1003" t="s">
        <v>157</v>
      </c>
      <c r="C1003" s="3">
        <v>45691.672071759254</v>
      </c>
      <c r="D1003" t="s">
        <v>157</v>
      </c>
      <c r="E1003" s="4">
        <v>3.0000000000000001E-3</v>
      </c>
      <c r="F1003" s="4">
        <v>399250.55200000003</v>
      </c>
      <c r="G1003" s="4">
        <v>399250.55499999999</v>
      </c>
      <c r="H1003" s="5">
        <f>179 / 86400</f>
        <v>2.0717592592592593E-3</v>
      </c>
      <c r="I1003" t="s">
        <v>33</v>
      </c>
      <c r="J1003" t="s">
        <v>33</v>
      </c>
      <c r="K1003" s="5">
        <f>187 / 86400</f>
        <v>2.1643518518518518E-3</v>
      </c>
      <c r="L1003" s="5">
        <f>69 / 86400</f>
        <v>7.9861111111111116E-4</v>
      </c>
    </row>
    <row r="1004" spans="1:12" x14ac:dyDescent="0.25">
      <c r="A1004" s="3">
        <v>45691.67287037037</v>
      </c>
      <c r="B1004" t="s">
        <v>157</v>
      </c>
      <c r="C1004" s="3">
        <v>45691.954976851848</v>
      </c>
      <c r="D1004" t="s">
        <v>391</v>
      </c>
      <c r="E1004" s="4">
        <v>99.016000000000005</v>
      </c>
      <c r="F1004" s="4">
        <v>399250.55499999999</v>
      </c>
      <c r="G1004" s="4">
        <v>399349.571</v>
      </c>
      <c r="H1004" s="5">
        <f>8920 / 86400</f>
        <v>0.10324074074074074</v>
      </c>
      <c r="I1004" t="s">
        <v>123</v>
      </c>
      <c r="J1004" t="s">
        <v>30</v>
      </c>
      <c r="K1004" s="5">
        <f>24373 / 86400</f>
        <v>0.28209490740740739</v>
      </c>
      <c r="L1004" s="5">
        <f>3402 / 86400</f>
        <v>3.9375E-2</v>
      </c>
    </row>
    <row r="1005" spans="1:12" x14ac:dyDescent="0.25">
      <c r="A1005" s="3">
        <v>45691.994351851856</v>
      </c>
      <c r="B1005" t="s">
        <v>391</v>
      </c>
      <c r="C1005" s="3">
        <v>45691.99998842593</v>
      </c>
      <c r="D1005" t="s">
        <v>94</v>
      </c>
      <c r="E1005" s="4">
        <v>3.9079999999999999</v>
      </c>
      <c r="F1005" s="4">
        <v>399349.571</v>
      </c>
      <c r="G1005" s="4">
        <v>399353.47899999999</v>
      </c>
      <c r="H1005" s="5">
        <f>39 / 86400</f>
        <v>4.5138888888888887E-4</v>
      </c>
      <c r="I1005" t="s">
        <v>147</v>
      </c>
      <c r="J1005" t="s">
        <v>159</v>
      </c>
      <c r="K1005" s="5">
        <f>487 / 86400</f>
        <v>5.6365740740740742E-3</v>
      </c>
      <c r="L1005" s="5">
        <f>0 / 86400</f>
        <v>0</v>
      </c>
    </row>
    <row r="1006" spans="1:12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</row>
    <row r="1007" spans="1:12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</row>
    <row r="1008" spans="1:12" s="10" customFormat="1" ht="20.100000000000001" customHeight="1" x14ac:dyDescent="0.35">
      <c r="A1008" s="12" t="s">
        <v>460</v>
      </c>
      <c r="B1008" s="12"/>
      <c r="C1008" s="12"/>
      <c r="D1008" s="12"/>
      <c r="E1008" s="12"/>
      <c r="F1008" s="12"/>
      <c r="G1008" s="12"/>
      <c r="H1008" s="12"/>
      <c r="I1008" s="12"/>
      <c r="J1008" s="12"/>
    </row>
    <row r="1009" spans="1:12" x14ac:dyDescent="0.2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</row>
    <row r="1010" spans="1:12" ht="30" x14ac:dyDescent="0.25">
      <c r="A1010" s="2" t="s">
        <v>6</v>
      </c>
      <c r="B1010" s="2" t="s">
        <v>7</v>
      </c>
      <c r="C1010" s="2" t="s">
        <v>8</v>
      </c>
      <c r="D1010" s="2" t="s">
        <v>9</v>
      </c>
      <c r="E1010" s="2" t="s">
        <v>10</v>
      </c>
      <c r="F1010" s="2" t="s">
        <v>11</v>
      </c>
      <c r="G1010" s="2" t="s">
        <v>12</v>
      </c>
      <c r="H1010" s="2" t="s">
        <v>13</v>
      </c>
      <c r="I1010" s="2" t="s">
        <v>14</v>
      </c>
      <c r="J1010" s="2" t="s">
        <v>15</v>
      </c>
      <c r="K1010" s="2" t="s">
        <v>16</v>
      </c>
      <c r="L1010" s="2" t="s">
        <v>17</v>
      </c>
    </row>
    <row r="1011" spans="1:12" x14ac:dyDescent="0.25">
      <c r="A1011" s="3">
        <v>45691.207187499997</v>
      </c>
      <c r="B1011" t="s">
        <v>28</v>
      </c>
      <c r="C1011" s="3">
        <v>45691.208067129628</v>
      </c>
      <c r="D1011" t="s">
        <v>28</v>
      </c>
      <c r="E1011" s="4">
        <v>0</v>
      </c>
      <c r="F1011" s="4">
        <v>381299.11200000002</v>
      </c>
      <c r="G1011" s="4">
        <v>381299.11200000002</v>
      </c>
      <c r="H1011" s="5">
        <f>59 / 86400</f>
        <v>6.8287037037037036E-4</v>
      </c>
      <c r="I1011" t="s">
        <v>33</v>
      </c>
      <c r="J1011" t="s">
        <v>33</v>
      </c>
      <c r="K1011" s="5">
        <f>76 / 86400</f>
        <v>8.7962962962962962E-4</v>
      </c>
      <c r="L1011" s="5">
        <f>17904 / 86400</f>
        <v>0.20722222222222222</v>
      </c>
    </row>
    <row r="1012" spans="1:12" x14ac:dyDescent="0.25">
      <c r="A1012" s="3">
        <v>45691.208101851851</v>
      </c>
      <c r="B1012" t="s">
        <v>28</v>
      </c>
      <c r="C1012" s="3">
        <v>45691.422569444447</v>
      </c>
      <c r="D1012" t="s">
        <v>384</v>
      </c>
      <c r="E1012" s="4">
        <v>97.082999999999998</v>
      </c>
      <c r="F1012" s="4">
        <v>381299.11200000002</v>
      </c>
      <c r="G1012" s="4">
        <v>381396.19500000001</v>
      </c>
      <c r="H1012" s="5">
        <f>5698 / 86400</f>
        <v>6.5949074074074077E-2</v>
      </c>
      <c r="I1012" t="s">
        <v>39</v>
      </c>
      <c r="J1012" t="s">
        <v>35</v>
      </c>
      <c r="K1012" s="5">
        <f>18529 / 86400</f>
        <v>0.21445601851851853</v>
      </c>
      <c r="L1012" s="5">
        <f>168 / 86400</f>
        <v>1.9444444444444444E-3</v>
      </c>
    </row>
    <row r="1013" spans="1:12" x14ac:dyDescent="0.25">
      <c r="A1013" s="3">
        <v>45691.424513888887</v>
      </c>
      <c r="B1013" t="s">
        <v>384</v>
      </c>
      <c r="C1013" s="3">
        <v>45691.427581018521</v>
      </c>
      <c r="D1013" t="s">
        <v>50</v>
      </c>
      <c r="E1013" s="4">
        <v>0.114</v>
      </c>
      <c r="F1013" s="4">
        <v>381396.19500000001</v>
      </c>
      <c r="G1013" s="4">
        <v>381396.30900000001</v>
      </c>
      <c r="H1013" s="5">
        <f>119 / 86400</f>
        <v>1.3773148148148147E-3</v>
      </c>
      <c r="I1013" t="s">
        <v>156</v>
      </c>
      <c r="J1013" t="s">
        <v>137</v>
      </c>
      <c r="K1013" s="5">
        <f>265 / 86400</f>
        <v>3.0671296296296297E-3</v>
      </c>
      <c r="L1013" s="5">
        <f>2046 / 86400</f>
        <v>2.3680555555555555E-2</v>
      </c>
    </row>
    <row r="1014" spans="1:12" x14ac:dyDescent="0.25">
      <c r="A1014" s="3">
        <v>45691.451261574075</v>
      </c>
      <c r="B1014" t="s">
        <v>50</v>
      </c>
      <c r="C1014" s="3">
        <v>45691.451435185183</v>
      </c>
      <c r="D1014" t="s">
        <v>50</v>
      </c>
      <c r="E1014" s="4">
        <v>1E-3</v>
      </c>
      <c r="F1014" s="4">
        <v>381396.30900000001</v>
      </c>
      <c r="G1014" s="4">
        <v>381396.31</v>
      </c>
      <c r="H1014" s="5">
        <f>0 / 86400</f>
        <v>0</v>
      </c>
      <c r="I1014" t="s">
        <v>33</v>
      </c>
      <c r="J1014" t="s">
        <v>33</v>
      </c>
      <c r="K1014" s="5">
        <f>15 / 86400</f>
        <v>1.7361111111111112E-4</v>
      </c>
      <c r="L1014" s="5">
        <f>1 / 86400</f>
        <v>1.1574074074074073E-5</v>
      </c>
    </row>
    <row r="1015" spans="1:12" x14ac:dyDescent="0.25">
      <c r="A1015" s="3">
        <v>45691.45144675926</v>
      </c>
      <c r="B1015" t="s">
        <v>50</v>
      </c>
      <c r="C1015" s="3">
        <v>45691.451666666668</v>
      </c>
      <c r="D1015" t="s">
        <v>50</v>
      </c>
      <c r="E1015" s="4">
        <v>0.01</v>
      </c>
      <c r="F1015" s="4">
        <v>381396.31</v>
      </c>
      <c r="G1015" s="4">
        <v>381396.32</v>
      </c>
      <c r="H1015" s="5">
        <f>0 / 86400</f>
        <v>0</v>
      </c>
      <c r="I1015" t="s">
        <v>137</v>
      </c>
      <c r="J1015" t="s">
        <v>137</v>
      </c>
      <c r="K1015" s="5">
        <f>19 / 86400</f>
        <v>2.199074074074074E-4</v>
      </c>
      <c r="L1015" s="5">
        <f>219 / 86400</f>
        <v>2.5347222222222221E-3</v>
      </c>
    </row>
    <row r="1016" spans="1:12" x14ac:dyDescent="0.25">
      <c r="A1016" s="3">
        <v>45691.454201388886</v>
      </c>
      <c r="B1016" t="s">
        <v>50</v>
      </c>
      <c r="C1016" s="3">
        <v>45691.454629629632</v>
      </c>
      <c r="D1016" t="s">
        <v>50</v>
      </c>
      <c r="E1016" s="4">
        <v>1.0999999999999999E-2</v>
      </c>
      <c r="F1016" s="4">
        <v>381396.32</v>
      </c>
      <c r="G1016" s="4">
        <v>381396.33100000001</v>
      </c>
      <c r="H1016" s="5">
        <f>0 / 86400</f>
        <v>0</v>
      </c>
      <c r="I1016" t="s">
        <v>137</v>
      </c>
      <c r="J1016" t="s">
        <v>62</v>
      </c>
      <c r="K1016" s="5">
        <f>37 / 86400</f>
        <v>4.2824074074074075E-4</v>
      </c>
      <c r="L1016" s="5">
        <f>2 / 86400</f>
        <v>2.3148148148148147E-5</v>
      </c>
    </row>
    <row r="1017" spans="1:12" x14ac:dyDescent="0.25">
      <c r="A1017" s="3">
        <v>45691.454652777778</v>
      </c>
      <c r="B1017" t="s">
        <v>50</v>
      </c>
      <c r="C1017" s="3">
        <v>45691.455277777779</v>
      </c>
      <c r="D1017" t="s">
        <v>50</v>
      </c>
      <c r="E1017" s="4">
        <v>5.1999999999999998E-2</v>
      </c>
      <c r="F1017" s="4">
        <v>381396.33100000001</v>
      </c>
      <c r="G1017" s="4">
        <v>381396.38299999997</v>
      </c>
      <c r="H1017" s="5">
        <f>19 / 86400</f>
        <v>2.199074074074074E-4</v>
      </c>
      <c r="I1017" t="s">
        <v>136</v>
      </c>
      <c r="J1017" t="s">
        <v>128</v>
      </c>
      <c r="K1017" s="5">
        <f>54 / 86400</f>
        <v>6.2500000000000001E-4</v>
      </c>
      <c r="L1017" s="5">
        <f>2 / 86400</f>
        <v>2.3148148148148147E-5</v>
      </c>
    </row>
    <row r="1018" spans="1:12" x14ac:dyDescent="0.25">
      <c r="A1018" s="3">
        <v>45691.455300925925</v>
      </c>
      <c r="B1018" t="s">
        <v>50</v>
      </c>
      <c r="C1018" s="3">
        <v>45691.456365740742</v>
      </c>
      <c r="D1018" t="s">
        <v>384</v>
      </c>
      <c r="E1018" s="4">
        <v>0.14599999999999999</v>
      </c>
      <c r="F1018" s="4">
        <v>381396.38299999997</v>
      </c>
      <c r="G1018" s="4">
        <v>381396.52899999998</v>
      </c>
      <c r="H1018" s="5">
        <f>0 / 86400</f>
        <v>0</v>
      </c>
      <c r="I1018" t="s">
        <v>79</v>
      </c>
      <c r="J1018" t="s">
        <v>32</v>
      </c>
      <c r="K1018" s="5">
        <f>92 / 86400</f>
        <v>1.0648148148148149E-3</v>
      </c>
      <c r="L1018" s="5">
        <f>856 / 86400</f>
        <v>9.9074074074074082E-3</v>
      </c>
    </row>
    <row r="1019" spans="1:12" x14ac:dyDescent="0.25">
      <c r="A1019" s="3">
        <v>45691.466273148151</v>
      </c>
      <c r="B1019" t="s">
        <v>384</v>
      </c>
      <c r="C1019" s="3">
        <v>45691.474189814813</v>
      </c>
      <c r="D1019" t="s">
        <v>130</v>
      </c>
      <c r="E1019" s="4">
        <v>1.0109999999999999</v>
      </c>
      <c r="F1019" s="4">
        <v>381396.52899999998</v>
      </c>
      <c r="G1019" s="4">
        <v>381397.54</v>
      </c>
      <c r="H1019" s="5">
        <f>440 / 86400</f>
        <v>5.092592592592593E-3</v>
      </c>
      <c r="I1019" t="s">
        <v>120</v>
      </c>
      <c r="J1019" t="s">
        <v>136</v>
      </c>
      <c r="K1019" s="5">
        <f>684 / 86400</f>
        <v>7.9166666666666673E-3</v>
      </c>
      <c r="L1019" s="5">
        <f>1796 / 86400</f>
        <v>2.0787037037037038E-2</v>
      </c>
    </row>
    <row r="1020" spans="1:12" x14ac:dyDescent="0.25">
      <c r="A1020" s="3">
        <v>45691.494976851856</v>
      </c>
      <c r="B1020" t="s">
        <v>130</v>
      </c>
      <c r="C1020" s="3">
        <v>45691.495138888888</v>
      </c>
      <c r="D1020" t="s">
        <v>130</v>
      </c>
      <c r="E1020" s="4">
        <v>0</v>
      </c>
      <c r="F1020" s="4">
        <v>381397.54</v>
      </c>
      <c r="G1020" s="4">
        <v>381397.54</v>
      </c>
      <c r="H1020" s="5">
        <f>0 / 86400</f>
        <v>0</v>
      </c>
      <c r="I1020" t="s">
        <v>33</v>
      </c>
      <c r="J1020" t="s">
        <v>33</v>
      </c>
      <c r="K1020" s="5">
        <f>13 / 86400</f>
        <v>1.5046296296296297E-4</v>
      </c>
      <c r="L1020" s="5">
        <f>5 / 86400</f>
        <v>5.7870370370370373E-5</v>
      </c>
    </row>
    <row r="1021" spans="1:12" x14ac:dyDescent="0.25">
      <c r="A1021" s="3">
        <v>45691.495196759264</v>
      </c>
      <c r="B1021" t="s">
        <v>130</v>
      </c>
      <c r="C1021" s="3">
        <v>45691.495532407411</v>
      </c>
      <c r="D1021" t="s">
        <v>130</v>
      </c>
      <c r="E1021" s="4">
        <v>1.9E-2</v>
      </c>
      <c r="F1021" s="4">
        <v>381397.54</v>
      </c>
      <c r="G1021" s="4">
        <v>381397.55900000001</v>
      </c>
      <c r="H1021" s="5">
        <f>1 / 86400</f>
        <v>1.1574074074074073E-5</v>
      </c>
      <c r="I1021" t="s">
        <v>76</v>
      </c>
      <c r="J1021" t="s">
        <v>137</v>
      </c>
      <c r="K1021" s="5">
        <f>29 / 86400</f>
        <v>3.3564814814814812E-4</v>
      </c>
      <c r="L1021" s="5">
        <f>3 / 86400</f>
        <v>3.4722222222222222E-5</v>
      </c>
    </row>
    <row r="1022" spans="1:12" x14ac:dyDescent="0.25">
      <c r="A1022" s="3">
        <v>45691.495567129634</v>
      </c>
      <c r="B1022" t="s">
        <v>130</v>
      </c>
      <c r="C1022" s="3">
        <v>45691.496064814812</v>
      </c>
      <c r="D1022" t="s">
        <v>142</v>
      </c>
      <c r="E1022" s="4">
        <v>0.06</v>
      </c>
      <c r="F1022" s="4">
        <v>381397.55900000001</v>
      </c>
      <c r="G1022" s="4">
        <v>381397.61900000001</v>
      </c>
      <c r="H1022" s="5">
        <f>0 / 86400</f>
        <v>0</v>
      </c>
      <c r="I1022" t="s">
        <v>32</v>
      </c>
      <c r="J1022" t="s">
        <v>136</v>
      </c>
      <c r="K1022" s="5">
        <f>43 / 86400</f>
        <v>4.9768518518518521E-4</v>
      </c>
      <c r="L1022" s="5">
        <f>45 / 86400</f>
        <v>5.2083333333333333E-4</v>
      </c>
    </row>
    <row r="1023" spans="1:12" x14ac:dyDescent="0.25">
      <c r="A1023" s="3">
        <v>45691.496585648143</v>
      </c>
      <c r="B1023" t="s">
        <v>142</v>
      </c>
      <c r="C1023" s="3">
        <v>45691.569282407407</v>
      </c>
      <c r="D1023" t="s">
        <v>312</v>
      </c>
      <c r="E1023" s="4">
        <v>36.767000000000003</v>
      </c>
      <c r="F1023" s="4">
        <v>381397.61900000001</v>
      </c>
      <c r="G1023" s="4">
        <v>381434.386</v>
      </c>
      <c r="H1023" s="5">
        <f>1680 / 86400</f>
        <v>1.9444444444444445E-2</v>
      </c>
      <c r="I1023" t="s">
        <v>78</v>
      </c>
      <c r="J1023" t="s">
        <v>70</v>
      </c>
      <c r="K1023" s="5">
        <f>6280 / 86400</f>
        <v>7.2685185185185186E-2</v>
      </c>
      <c r="L1023" s="5">
        <f>34 / 86400</f>
        <v>3.9351851851851852E-4</v>
      </c>
    </row>
    <row r="1024" spans="1:12" x14ac:dyDescent="0.25">
      <c r="A1024" s="3">
        <v>45691.56967592593</v>
      </c>
      <c r="B1024" t="s">
        <v>312</v>
      </c>
      <c r="C1024" s="3">
        <v>45691.619872685187</v>
      </c>
      <c r="D1024" t="s">
        <v>153</v>
      </c>
      <c r="E1024" s="4">
        <v>13.67</v>
      </c>
      <c r="F1024" s="4">
        <v>381434.386</v>
      </c>
      <c r="G1024" s="4">
        <v>381448.05599999998</v>
      </c>
      <c r="H1024" s="5">
        <f>1779 / 86400</f>
        <v>2.0590277777777777E-2</v>
      </c>
      <c r="I1024" t="s">
        <v>211</v>
      </c>
      <c r="J1024" t="s">
        <v>140</v>
      </c>
      <c r="K1024" s="5">
        <f>4336 / 86400</f>
        <v>5.0185185185185187E-2</v>
      </c>
      <c r="L1024" s="5">
        <f>1668 / 86400</f>
        <v>1.9305555555555555E-2</v>
      </c>
    </row>
    <row r="1025" spans="1:12" x14ac:dyDescent="0.25">
      <c r="A1025" s="3">
        <v>45691.639178240745</v>
      </c>
      <c r="B1025" t="s">
        <v>153</v>
      </c>
      <c r="C1025" s="3">
        <v>45691.766793981486</v>
      </c>
      <c r="D1025" t="s">
        <v>297</v>
      </c>
      <c r="E1025" s="4">
        <v>48.69</v>
      </c>
      <c r="F1025" s="4">
        <v>381448.05599999998</v>
      </c>
      <c r="G1025" s="4">
        <v>381496.74599999998</v>
      </c>
      <c r="H1025" s="5">
        <f>3640 / 86400</f>
        <v>4.2129629629629628E-2</v>
      </c>
      <c r="I1025" t="s">
        <v>258</v>
      </c>
      <c r="J1025" t="s">
        <v>40</v>
      </c>
      <c r="K1025" s="5">
        <f>11025 / 86400</f>
        <v>0.12760416666666666</v>
      </c>
      <c r="L1025" s="5">
        <f>40 / 86400</f>
        <v>4.6296296296296298E-4</v>
      </c>
    </row>
    <row r="1026" spans="1:12" x14ac:dyDescent="0.25">
      <c r="A1026" s="3">
        <v>45691.76725694444</v>
      </c>
      <c r="B1026" t="s">
        <v>297</v>
      </c>
      <c r="C1026" s="3">
        <v>45691.772291666668</v>
      </c>
      <c r="D1026" t="s">
        <v>133</v>
      </c>
      <c r="E1026" s="4">
        <v>1.9610000000000001</v>
      </c>
      <c r="F1026" s="4">
        <v>381496.74599999998</v>
      </c>
      <c r="G1026" s="4">
        <v>381498.70699999999</v>
      </c>
      <c r="H1026" s="5">
        <f>60 / 86400</f>
        <v>6.9444444444444447E-4</v>
      </c>
      <c r="I1026" t="s">
        <v>248</v>
      </c>
      <c r="J1026" t="s">
        <v>40</v>
      </c>
      <c r="K1026" s="5">
        <f>435 / 86400</f>
        <v>5.0347222222222225E-3</v>
      </c>
      <c r="L1026" s="5">
        <f>1003 / 86400</f>
        <v>1.1608796296296296E-2</v>
      </c>
    </row>
    <row r="1027" spans="1:12" x14ac:dyDescent="0.25">
      <c r="A1027" s="3">
        <v>45691.783900462964</v>
      </c>
      <c r="B1027" t="s">
        <v>133</v>
      </c>
      <c r="C1027" s="3">
        <v>45691.828877314816</v>
      </c>
      <c r="D1027" t="s">
        <v>392</v>
      </c>
      <c r="E1027" s="4">
        <v>23.06</v>
      </c>
      <c r="F1027" s="4">
        <v>381498.70699999999</v>
      </c>
      <c r="G1027" s="4">
        <v>381521.76699999999</v>
      </c>
      <c r="H1027" s="5">
        <f>818 / 86400</f>
        <v>9.4675925925925934E-3</v>
      </c>
      <c r="I1027" t="s">
        <v>183</v>
      </c>
      <c r="J1027" t="s">
        <v>70</v>
      </c>
      <c r="K1027" s="5">
        <f>3885 / 86400</f>
        <v>4.4965277777777778E-2</v>
      </c>
      <c r="L1027" s="5">
        <f>330 / 86400</f>
        <v>3.8194444444444443E-3</v>
      </c>
    </row>
    <row r="1028" spans="1:12" x14ac:dyDescent="0.25">
      <c r="A1028" s="3">
        <v>45691.832696759258</v>
      </c>
      <c r="B1028" t="s">
        <v>392</v>
      </c>
      <c r="C1028" s="3">
        <v>45691.835520833338</v>
      </c>
      <c r="D1028" t="s">
        <v>28</v>
      </c>
      <c r="E1028" s="4">
        <v>0.47199999999999998</v>
      </c>
      <c r="F1028" s="4">
        <v>381521.76699999999</v>
      </c>
      <c r="G1028" s="4">
        <v>381522.239</v>
      </c>
      <c r="H1028" s="5">
        <f>80 / 86400</f>
        <v>9.2592592592592596E-4</v>
      </c>
      <c r="I1028" t="s">
        <v>47</v>
      </c>
      <c r="J1028" t="s">
        <v>76</v>
      </c>
      <c r="K1028" s="5">
        <f>244 / 86400</f>
        <v>2.8240740740740739E-3</v>
      </c>
      <c r="L1028" s="5">
        <f>265 / 86400</f>
        <v>3.0671296296296297E-3</v>
      </c>
    </row>
    <row r="1029" spans="1:12" x14ac:dyDescent="0.25">
      <c r="A1029" s="3">
        <v>45691.838587962964</v>
      </c>
      <c r="B1029" t="s">
        <v>28</v>
      </c>
      <c r="C1029" s="3">
        <v>45691.839432870373</v>
      </c>
      <c r="D1029" t="s">
        <v>28</v>
      </c>
      <c r="E1029" s="4">
        <v>2.1999999999999999E-2</v>
      </c>
      <c r="F1029" s="4">
        <v>381522.239</v>
      </c>
      <c r="G1029" s="4">
        <v>381522.261</v>
      </c>
      <c r="H1029" s="5">
        <f>19 / 86400</f>
        <v>2.199074074074074E-4</v>
      </c>
      <c r="I1029" t="s">
        <v>128</v>
      </c>
      <c r="J1029" t="s">
        <v>62</v>
      </c>
      <c r="K1029" s="5">
        <f>73 / 86400</f>
        <v>8.4490740740740739E-4</v>
      </c>
      <c r="L1029" s="5">
        <f>13872 / 86400</f>
        <v>0.16055555555555556</v>
      </c>
    </row>
    <row r="1030" spans="1:12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</row>
    <row r="1031" spans="1:12" x14ac:dyDescent="0.2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</row>
    <row r="1032" spans="1:12" s="10" customFormat="1" ht="20.100000000000001" customHeight="1" x14ac:dyDescent="0.35">
      <c r="A1032" s="12" t="s">
        <v>461</v>
      </c>
      <c r="B1032" s="12"/>
      <c r="C1032" s="12"/>
      <c r="D1032" s="12"/>
      <c r="E1032" s="12"/>
      <c r="F1032" s="12"/>
      <c r="G1032" s="12"/>
      <c r="H1032" s="12"/>
      <c r="I1032" s="12"/>
      <c r="J1032" s="12"/>
    </row>
    <row r="1033" spans="1:12" x14ac:dyDescent="0.2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</row>
    <row r="1034" spans="1:12" ht="30" x14ac:dyDescent="0.25">
      <c r="A1034" s="2" t="s">
        <v>6</v>
      </c>
      <c r="B1034" s="2" t="s">
        <v>7</v>
      </c>
      <c r="C1034" s="2" t="s">
        <v>8</v>
      </c>
      <c r="D1034" s="2" t="s">
        <v>9</v>
      </c>
      <c r="E1034" s="2" t="s">
        <v>10</v>
      </c>
      <c r="F1034" s="2" t="s">
        <v>11</v>
      </c>
      <c r="G1034" s="2" t="s">
        <v>12</v>
      </c>
      <c r="H1034" s="2" t="s">
        <v>13</v>
      </c>
      <c r="I1034" s="2" t="s">
        <v>14</v>
      </c>
      <c r="J1034" s="2" t="s">
        <v>15</v>
      </c>
      <c r="K1034" s="2" t="s">
        <v>16</v>
      </c>
      <c r="L1034" s="2" t="s">
        <v>17</v>
      </c>
    </row>
    <row r="1035" spans="1:12" x14ac:dyDescent="0.25">
      <c r="A1035" s="3">
        <v>45691.27407407407</v>
      </c>
      <c r="B1035" t="s">
        <v>22</v>
      </c>
      <c r="C1035" s="3">
        <v>45691.284791666665</v>
      </c>
      <c r="D1035" t="s">
        <v>22</v>
      </c>
      <c r="E1035" s="4">
        <v>0</v>
      </c>
      <c r="F1035" s="4">
        <v>544248.12600000005</v>
      </c>
      <c r="G1035" s="4">
        <v>544248.12600000005</v>
      </c>
      <c r="H1035" s="5">
        <f>919 / 86400</f>
        <v>1.0636574074074074E-2</v>
      </c>
      <c r="I1035" t="s">
        <v>33</v>
      </c>
      <c r="J1035" t="s">
        <v>33</v>
      </c>
      <c r="K1035" s="5">
        <f>925 / 86400</f>
        <v>1.0706018518518519E-2</v>
      </c>
      <c r="L1035" s="5">
        <f>24185 / 86400</f>
        <v>0.27991898148148148</v>
      </c>
    </row>
    <row r="1036" spans="1:12" x14ac:dyDescent="0.25">
      <c r="A1036" s="3">
        <v>45691.290636574078</v>
      </c>
      <c r="B1036" t="s">
        <v>22</v>
      </c>
      <c r="C1036" s="3">
        <v>45691.296956018516</v>
      </c>
      <c r="D1036" t="s">
        <v>142</v>
      </c>
      <c r="E1036" s="4">
        <v>1.9259999999999999</v>
      </c>
      <c r="F1036" s="4">
        <v>544248.12600000005</v>
      </c>
      <c r="G1036" s="4">
        <v>544250.05200000003</v>
      </c>
      <c r="H1036" s="5">
        <f>59 / 86400</f>
        <v>6.8287037037037036E-4</v>
      </c>
      <c r="I1036" t="s">
        <v>259</v>
      </c>
      <c r="J1036" t="s">
        <v>59</v>
      </c>
      <c r="K1036" s="5">
        <f>545 / 86400</f>
        <v>6.3078703703703708E-3</v>
      </c>
      <c r="L1036" s="5">
        <f>670 / 86400</f>
        <v>7.7546296296296295E-3</v>
      </c>
    </row>
    <row r="1037" spans="1:12" x14ac:dyDescent="0.25">
      <c r="A1037" s="3">
        <v>45691.304710648154</v>
      </c>
      <c r="B1037" t="s">
        <v>142</v>
      </c>
      <c r="C1037" s="3">
        <v>45691.421226851853</v>
      </c>
      <c r="D1037" t="s">
        <v>153</v>
      </c>
      <c r="E1037" s="4">
        <v>50.844999999999999</v>
      </c>
      <c r="F1037" s="4">
        <v>544250.05200000003</v>
      </c>
      <c r="G1037" s="4">
        <v>544300.897</v>
      </c>
      <c r="H1037" s="5">
        <f>3060 / 86400</f>
        <v>3.5416666666666666E-2</v>
      </c>
      <c r="I1037" t="s">
        <v>187</v>
      </c>
      <c r="J1037" t="s">
        <v>20</v>
      </c>
      <c r="K1037" s="5">
        <f>10067 / 86400</f>
        <v>0.11651620370370371</v>
      </c>
      <c r="L1037" s="5">
        <f>1496 / 86400</f>
        <v>1.7314814814814814E-2</v>
      </c>
    </row>
    <row r="1038" spans="1:12" x14ac:dyDescent="0.25">
      <c r="A1038" s="3">
        <v>45691.438541666663</v>
      </c>
      <c r="B1038" t="s">
        <v>153</v>
      </c>
      <c r="C1038" s="3">
        <v>45691.440798611111</v>
      </c>
      <c r="D1038" t="s">
        <v>221</v>
      </c>
      <c r="E1038" s="4">
        <v>0.112</v>
      </c>
      <c r="F1038" s="4">
        <v>544300.897</v>
      </c>
      <c r="G1038" s="4">
        <v>544301.00899999996</v>
      </c>
      <c r="H1038" s="5">
        <f>139 / 86400</f>
        <v>1.6087962962962963E-3</v>
      </c>
      <c r="I1038" t="s">
        <v>156</v>
      </c>
      <c r="J1038" t="s">
        <v>137</v>
      </c>
      <c r="K1038" s="5">
        <f>195 / 86400</f>
        <v>2.2569444444444442E-3</v>
      </c>
      <c r="L1038" s="5">
        <f>66 / 86400</f>
        <v>7.6388888888888893E-4</v>
      </c>
    </row>
    <row r="1039" spans="1:12" x14ac:dyDescent="0.25">
      <c r="A1039" s="3">
        <v>45691.441562499997</v>
      </c>
      <c r="B1039" t="s">
        <v>220</v>
      </c>
      <c r="C1039" s="3">
        <v>45691.558298611111</v>
      </c>
      <c r="D1039" t="s">
        <v>46</v>
      </c>
      <c r="E1039" s="4">
        <v>49.984000000000002</v>
      </c>
      <c r="F1039" s="4">
        <v>544301.00899999996</v>
      </c>
      <c r="G1039" s="4">
        <v>544350.99300000002</v>
      </c>
      <c r="H1039" s="5">
        <f>2799 / 86400</f>
        <v>3.2395833333333332E-2</v>
      </c>
      <c r="I1039" t="s">
        <v>175</v>
      </c>
      <c r="J1039" t="s">
        <v>20</v>
      </c>
      <c r="K1039" s="5">
        <f>10085 / 86400</f>
        <v>0.11672453703703704</v>
      </c>
      <c r="L1039" s="5">
        <f>12 / 86400</f>
        <v>1.3888888888888889E-4</v>
      </c>
    </row>
    <row r="1040" spans="1:12" x14ac:dyDescent="0.25">
      <c r="A1040" s="3">
        <v>45691.558437500003</v>
      </c>
      <c r="B1040" t="s">
        <v>46</v>
      </c>
      <c r="C1040" s="3">
        <v>45691.558599537035</v>
      </c>
      <c r="D1040" t="s">
        <v>46</v>
      </c>
      <c r="E1040" s="4">
        <v>0.01</v>
      </c>
      <c r="F1040" s="4">
        <v>544350.99300000002</v>
      </c>
      <c r="G1040" s="4">
        <v>544351.00300000003</v>
      </c>
      <c r="H1040" s="5">
        <f>0 / 86400</f>
        <v>0</v>
      </c>
      <c r="I1040" t="s">
        <v>33</v>
      </c>
      <c r="J1040" t="s">
        <v>128</v>
      </c>
      <c r="K1040" s="5">
        <f>13 / 86400</f>
        <v>1.5046296296296297E-4</v>
      </c>
      <c r="L1040" s="5">
        <f>2561 / 86400</f>
        <v>2.9641203703703704E-2</v>
      </c>
    </row>
    <row r="1041" spans="1:12" x14ac:dyDescent="0.25">
      <c r="A1041" s="3">
        <v>45691.588240740741</v>
      </c>
      <c r="B1041" t="s">
        <v>46</v>
      </c>
      <c r="C1041" s="3">
        <v>45691.592187499999</v>
      </c>
      <c r="D1041" t="s">
        <v>157</v>
      </c>
      <c r="E1041" s="4">
        <v>1.1000000000000001</v>
      </c>
      <c r="F1041" s="4">
        <v>544351.00300000003</v>
      </c>
      <c r="G1041" s="4">
        <v>544352.103</v>
      </c>
      <c r="H1041" s="5">
        <f>20 / 86400</f>
        <v>2.3148148148148149E-4</v>
      </c>
      <c r="I1041" t="s">
        <v>75</v>
      </c>
      <c r="J1041" t="s">
        <v>155</v>
      </c>
      <c r="K1041" s="5">
        <f>341 / 86400</f>
        <v>3.9467592592592592E-3</v>
      </c>
      <c r="L1041" s="5">
        <f>350 / 86400</f>
        <v>4.0509259259259257E-3</v>
      </c>
    </row>
    <row r="1042" spans="1:12" x14ac:dyDescent="0.25">
      <c r="A1042" s="3">
        <v>45691.596238425926</v>
      </c>
      <c r="B1042" t="s">
        <v>157</v>
      </c>
      <c r="C1042" s="3">
        <v>45691.701516203699</v>
      </c>
      <c r="D1042" t="s">
        <v>393</v>
      </c>
      <c r="E1042" s="4">
        <v>47.609000000000002</v>
      </c>
      <c r="F1042" s="4">
        <v>544352.103</v>
      </c>
      <c r="G1042" s="4">
        <v>544399.71200000006</v>
      </c>
      <c r="H1042" s="5">
        <f>2839 / 86400</f>
        <v>3.2858796296296296E-2</v>
      </c>
      <c r="I1042" t="s">
        <v>95</v>
      </c>
      <c r="J1042" t="s">
        <v>35</v>
      </c>
      <c r="K1042" s="5">
        <f>9095 / 86400</f>
        <v>0.10526620370370371</v>
      </c>
      <c r="L1042" s="5">
        <f>104 / 86400</f>
        <v>1.2037037037037038E-3</v>
      </c>
    </row>
    <row r="1043" spans="1:12" x14ac:dyDescent="0.25">
      <c r="A1043" s="3">
        <v>45691.702719907407</v>
      </c>
      <c r="B1043" t="s">
        <v>393</v>
      </c>
      <c r="C1043" s="3">
        <v>45691.832106481481</v>
      </c>
      <c r="D1043" t="s">
        <v>127</v>
      </c>
      <c r="E1043" s="4">
        <v>46.356999999999999</v>
      </c>
      <c r="F1043" s="4">
        <v>544399.71200000006</v>
      </c>
      <c r="G1043" s="4">
        <v>544446.06900000002</v>
      </c>
      <c r="H1043" s="5">
        <f>3438 / 86400</f>
        <v>3.979166666666667E-2</v>
      </c>
      <c r="I1043" t="s">
        <v>187</v>
      </c>
      <c r="J1043" t="s">
        <v>30</v>
      </c>
      <c r="K1043" s="5">
        <f>11179 / 86400</f>
        <v>0.12938657407407408</v>
      </c>
      <c r="L1043" s="5">
        <f>618 / 86400</f>
        <v>7.1527777777777779E-3</v>
      </c>
    </row>
    <row r="1044" spans="1:12" x14ac:dyDescent="0.25">
      <c r="A1044" s="3">
        <v>45691.839259259257</v>
      </c>
      <c r="B1044" t="s">
        <v>127</v>
      </c>
      <c r="C1044" s="3">
        <v>45691.84239583333</v>
      </c>
      <c r="D1044" t="s">
        <v>22</v>
      </c>
      <c r="E1044" s="4">
        <v>0.54400000000000004</v>
      </c>
      <c r="F1044" s="4">
        <v>544446.06900000002</v>
      </c>
      <c r="G1044" s="4">
        <v>544446.61300000001</v>
      </c>
      <c r="H1044" s="5">
        <f>100 / 86400</f>
        <v>1.1574074074074073E-3</v>
      </c>
      <c r="I1044" t="s">
        <v>120</v>
      </c>
      <c r="J1044" t="s">
        <v>76</v>
      </c>
      <c r="K1044" s="5">
        <f>271 / 86400</f>
        <v>3.1365740740740742E-3</v>
      </c>
      <c r="L1044" s="5">
        <f>13616 / 86400</f>
        <v>0.15759259259259259</v>
      </c>
    </row>
    <row r="1045" spans="1:12" x14ac:dyDescent="0.2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</row>
    <row r="1046" spans="1:12" x14ac:dyDescent="0.25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</row>
    <row r="1047" spans="1:12" s="10" customFormat="1" ht="20.100000000000001" customHeight="1" x14ac:dyDescent="0.35">
      <c r="A1047" s="12" t="s">
        <v>462</v>
      </c>
      <c r="B1047" s="12"/>
      <c r="C1047" s="12"/>
      <c r="D1047" s="12"/>
      <c r="E1047" s="12"/>
      <c r="F1047" s="12"/>
      <c r="G1047" s="12"/>
      <c r="H1047" s="12"/>
      <c r="I1047" s="12"/>
      <c r="J1047" s="12"/>
    </row>
    <row r="1048" spans="1:12" x14ac:dyDescent="0.25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</row>
    <row r="1049" spans="1:12" ht="30" x14ac:dyDescent="0.25">
      <c r="A1049" s="2" t="s">
        <v>6</v>
      </c>
      <c r="B1049" s="2" t="s">
        <v>7</v>
      </c>
      <c r="C1049" s="2" t="s">
        <v>8</v>
      </c>
      <c r="D1049" s="2" t="s">
        <v>9</v>
      </c>
      <c r="E1049" s="2" t="s">
        <v>10</v>
      </c>
      <c r="F1049" s="2" t="s">
        <v>11</v>
      </c>
      <c r="G1049" s="2" t="s">
        <v>12</v>
      </c>
      <c r="H1049" s="2" t="s">
        <v>13</v>
      </c>
      <c r="I1049" s="2" t="s">
        <v>14</v>
      </c>
      <c r="J1049" s="2" t="s">
        <v>15</v>
      </c>
      <c r="K1049" s="2" t="s">
        <v>16</v>
      </c>
      <c r="L1049" s="2" t="s">
        <v>17</v>
      </c>
    </row>
    <row r="1050" spans="1:12" x14ac:dyDescent="0.25">
      <c r="A1050" s="3">
        <v>45691</v>
      </c>
      <c r="B1050" t="s">
        <v>96</v>
      </c>
      <c r="C1050" s="3">
        <v>45691.059097222227</v>
      </c>
      <c r="D1050" t="s">
        <v>49</v>
      </c>
      <c r="E1050" s="4">
        <v>38.052999999999997</v>
      </c>
      <c r="F1050" s="4">
        <v>101061.804</v>
      </c>
      <c r="G1050" s="4">
        <v>101099.857</v>
      </c>
      <c r="H1050" s="5">
        <f>1320 / 86400</f>
        <v>1.5277777777777777E-2</v>
      </c>
      <c r="I1050" t="s">
        <v>123</v>
      </c>
      <c r="J1050" t="s">
        <v>131</v>
      </c>
      <c r="K1050" s="5">
        <f>5106 / 86400</f>
        <v>5.9097222222222225E-2</v>
      </c>
      <c r="L1050" s="5">
        <f>176 / 86400</f>
        <v>2.0370370370370369E-3</v>
      </c>
    </row>
    <row r="1051" spans="1:12" x14ac:dyDescent="0.25">
      <c r="A1051" s="3">
        <v>45691.06113425926</v>
      </c>
      <c r="B1051" t="s">
        <v>49</v>
      </c>
      <c r="C1051" s="3">
        <v>45691.080011574071</v>
      </c>
      <c r="D1051" t="s">
        <v>89</v>
      </c>
      <c r="E1051" s="4">
        <v>5.1230000000000002</v>
      </c>
      <c r="F1051" s="4">
        <v>101099.857</v>
      </c>
      <c r="G1051" s="4">
        <v>101104.98</v>
      </c>
      <c r="H1051" s="5">
        <f>1140 / 86400</f>
        <v>1.3194444444444444E-2</v>
      </c>
      <c r="I1051" t="s">
        <v>211</v>
      </c>
      <c r="J1051" t="s">
        <v>140</v>
      </c>
      <c r="K1051" s="5">
        <f>1631 / 86400</f>
        <v>1.8877314814814816E-2</v>
      </c>
      <c r="L1051" s="5">
        <f>10430 / 86400</f>
        <v>0.1207175925925926</v>
      </c>
    </row>
    <row r="1052" spans="1:12" x14ac:dyDescent="0.25">
      <c r="A1052" s="3">
        <v>45691.200729166667</v>
      </c>
      <c r="B1052" t="s">
        <v>89</v>
      </c>
      <c r="C1052" s="3">
        <v>45691.202025462961</v>
      </c>
      <c r="D1052" t="s">
        <v>89</v>
      </c>
      <c r="E1052" s="4">
        <v>4.2999999999999997E-2</v>
      </c>
      <c r="F1052" s="4">
        <v>101104.98</v>
      </c>
      <c r="G1052" s="4">
        <v>101105.023</v>
      </c>
      <c r="H1052" s="5">
        <f>78 / 86400</f>
        <v>9.0277777777777774E-4</v>
      </c>
      <c r="I1052" t="s">
        <v>156</v>
      </c>
      <c r="J1052" t="s">
        <v>62</v>
      </c>
      <c r="K1052" s="5">
        <f>112 / 86400</f>
        <v>1.2962962962962963E-3</v>
      </c>
      <c r="L1052" s="5">
        <f>7539 / 86400</f>
        <v>8.7256944444444443E-2</v>
      </c>
    </row>
    <row r="1053" spans="1:12" x14ac:dyDescent="0.25">
      <c r="A1053" s="3">
        <v>45691.289282407408</v>
      </c>
      <c r="B1053" t="s">
        <v>89</v>
      </c>
      <c r="C1053" s="3">
        <v>45691.314328703702</v>
      </c>
      <c r="D1053" t="s">
        <v>394</v>
      </c>
      <c r="E1053" s="4">
        <v>20.797999999999998</v>
      </c>
      <c r="F1053" s="4">
        <v>101105.023</v>
      </c>
      <c r="G1053" s="4">
        <v>101125.821</v>
      </c>
      <c r="H1053" s="5">
        <f>396 / 86400</f>
        <v>4.5833333333333334E-3</v>
      </c>
      <c r="I1053" t="s">
        <v>97</v>
      </c>
      <c r="J1053" t="s">
        <v>264</v>
      </c>
      <c r="K1053" s="5">
        <f>2164 / 86400</f>
        <v>2.5046296296296296E-2</v>
      </c>
      <c r="L1053" s="5">
        <f>6564 / 86400</f>
        <v>7.5972222222222219E-2</v>
      </c>
    </row>
    <row r="1054" spans="1:12" x14ac:dyDescent="0.25">
      <c r="A1054" s="3">
        <v>45691.390300925923</v>
      </c>
      <c r="B1054" t="s">
        <v>394</v>
      </c>
      <c r="C1054" s="3">
        <v>45691.405624999999</v>
      </c>
      <c r="D1054" t="s">
        <v>28</v>
      </c>
      <c r="E1054" s="4">
        <v>6.1360000000000001</v>
      </c>
      <c r="F1054" s="4">
        <v>101125.821</v>
      </c>
      <c r="G1054" s="4">
        <v>101131.95699999999</v>
      </c>
      <c r="H1054" s="5">
        <f>140 / 86400</f>
        <v>1.6203703703703703E-3</v>
      </c>
      <c r="I1054" t="s">
        <v>259</v>
      </c>
      <c r="J1054" t="s">
        <v>47</v>
      </c>
      <c r="K1054" s="5">
        <f>1324 / 86400</f>
        <v>1.5324074074074073E-2</v>
      </c>
      <c r="L1054" s="5">
        <f>1021 / 86400</f>
        <v>1.1817129629629629E-2</v>
      </c>
    </row>
    <row r="1055" spans="1:12" x14ac:dyDescent="0.25">
      <c r="A1055" s="3">
        <v>45691.417442129634</v>
      </c>
      <c r="B1055" t="s">
        <v>28</v>
      </c>
      <c r="C1055" s="3">
        <v>45691.418819444443</v>
      </c>
      <c r="D1055" t="s">
        <v>28</v>
      </c>
      <c r="E1055" s="4">
        <v>0</v>
      </c>
      <c r="F1055" s="4">
        <v>101131.95699999999</v>
      </c>
      <c r="G1055" s="4">
        <v>101131.95699999999</v>
      </c>
      <c r="H1055" s="5">
        <f>98 / 86400</f>
        <v>1.1342592592592593E-3</v>
      </c>
      <c r="I1055" t="s">
        <v>33</v>
      </c>
      <c r="J1055" t="s">
        <v>33</v>
      </c>
      <c r="K1055" s="5">
        <f>119 / 86400</f>
        <v>1.3773148148148147E-3</v>
      </c>
      <c r="L1055" s="5">
        <f>14159 / 86400</f>
        <v>0.16387731481481482</v>
      </c>
    </row>
    <row r="1056" spans="1:12" x14ac:dyDescent="0.25">
      <c r="A1056" s="3">
        <v>45691.582696759258</v>
      </c>
      <c r="B1056" t="s">
        <v>28</v>
      </c>
      <c r="C1056" s="3">
        <v>45691.589039351849</v>
      </c>
      <c r="D1056" t="s">
        <v>28</v>
      </c>
      <c r="E1056" s="4">
        <v>0</v>
      </c>
      <c r="F1056" s="4">
        <v>101131.95699999999</v>
      </c>
      <c r="G1056" s="4">
        <v>101131.95699999999</v>
      </c>
      <c r="H1056" s="5">
        <f>538 / 86400</f>
        <v>6.2268518518518515E-3</v>
      </c>
      <c r="I1056" t="s">
        <v>33</v>
      </c>
      <c r="J1056" t="s">
        <v>33</v>
      </c>
      <c r="K1056" s="5">
        <f>548 / 86400</f>
        <v>6.3425925925925924E-3</v>
      </c>
      <c r="L1056" s="5">
        <f>431 / 86400</f>
        <v>4.9884259259259257E-3</v>
      </c>
    </row>
    <row r="1057" spans="1:12" x14ac:dyDescent="0.25">
      <c r="A1057" s="3">
        <v>45691.594027777777</v>
      </c>
      <c r="B1057" t="s">
        <v>28</v>
      </c>
      <c r="C1057" s="3">
        <v>45691.594444444447</v>
      </c>
      <c r="D1057" t="s">
        <v>28</v>
      </c>
      <c r="E1057" s="4">
        <v>0</v>
      </c>
      <c r="F1057" s="4">
        <v>101131.95699999999</v>
      </c>
      <c r="G1057" s="4">
        <v>101131.95699999999</v>
      </c>
      <c r="H1057" s="5">
        <f>17 / 86400</f>
        <v>1.9675925925925926E-4</v>
      </c>
      <c r="I1057" t="s">
        <v>33</v>
      </c>
      <c r="J1057" t="s">
        <v>33</v>
      </c>
      <c r="K1057" s="5">
        <f>36 / 86400</f>
        <v>4.1666666666666669E-4</v>
      </c>
      <c r="L1057" s="5">
        <f>616 / 86400</f>
        <v>7.1296296296296299E-3</v>
      </c>
    </row>
    <row r="1058" spans="1:12" x14ac:dyDescent="0.25">
      <c r="A1058" s="3">
        <v>45691.60157407407</v>
      </c>
      <c r="B1058" t="s">
        <v>28</v>
      </c>
      <c r="C1058" s="3">
        <v>45691.621122685188</v>
      </c>
      <c r="D1058" t="s">
        <v>375</v>
      </c>
      <c r="E1058" s="4">
        <v>8.7119999999999997</v>
      </c>
      <c r="F1058" s="4">
        <v>101131.95699999999</v>
      </c>
      <c r="G1058" s="4">
        <v>101140.66899999999</v>
      </c>
      <c r="H1058" s="5">
        <f>398 / 86400</f>
        <v>4.6064814814814814E-3</v>
      </c>
      <c r="I1058" t="s">
        <v>95</v>
      </c>
      <c r="J1058" t="s">
        <v>35</v>
      </c>
      <c r="K1058" s="5">
        <f>1689 / 86400</f>
        <v>1.954861111111111E-2</v>
      </c>
      <c r="L1058" s="5">
        <f>7990 / 86400</f>
        <v>9.2476851851851852E-2</v>
      </c>
    </row>
    <row r="1059" spans="1:12" x14ac:dyDescent="0.25">
      <c r="A1059" s="3">
        <v>45691.713599537034</v>
      </c>
      <c r="B1059" t="s">
        <v>375</v>
      </c>
      <c r="C1059" s="3">
        <v>45691.753657407404</v>
      </c>
      <c r="D1059" t="s">
        <v>46</v>
      </c>
      <c r="E1059" s="4">
        <v>21.382999999999999</v>
      </c>
      <c r="F1059" s="4">
        <v>101140.66899999999</v>
      </c>
      <c r="G1059" s="4">
        <v>101162.052</v>
      </c>
      <c r="H1059" s="5">
        <f>697 / 86400</f>
        <v>8.067129629629629E-3</v>
      </c>
      <c r="I1059" t="s">
        <v>305</v>
      </c>
      <c r="J1059" t="s">
        <v>24</v>
      </c>
      <c r="K1059" s="5">
        <f>3461 / 86400</f>
        <v>4.0057870370370369E-2</v>
      </c>
      <c r="L1059" s="5">
        <f>1004 / 86400</f>
        <v>1.1620370370370371E-2</v>
      </c>
    </row>
    <row r="1060" spans="1:12" x14ac:dyDescent="0.25">
      <c r="A1060" s="3">
        <v>45691.765277777777</v>
      </c>
      <c r="B1060" t="s">
        <v>46</v>
      </c>
      <c r="C1060" s="3">
        <v>45691.767557870371</v>
      </c>
      <c r="D1060" t="s">
        <v>395</v>
      </c>
      <c r="E1060" s="4">
        <v>0.155</v>
      </c>
      <c r="F1060" s="4">
        <v>101162.052</v>
      </c>
      <c r="G1060" s="4">
        <v>101162.20699999999</v>
      </c>
      <c r="H1060" s="5">
        <f>120 / 86400</f>
        <v>1.3888888888888889E-3</v>
      </c>
      <c r="I1060" t="s">
        <v>76</v>
      </c>
      <c r="J1060" t="s">
        <v>128</v>
      </c>
      <c r="K1060" s="5">
        <f>197 / 86400</f>
        <v>2.2800925925925927E-3</v>
      </c>
      <c r="L1060" s="5">
        <f>141 / 86400</f>
        <v>1.6319444444444445E-3</v>
      </c>
    </row>
    <row r="1061" spans="1:12" x14ac:dyDescent="0.25">
      <c r="A1061" s="3">
        <v>45691.769189814819</v>
      </c>
      <c r="B1061" t="s">
        <v>395</v>
      </c>
      <c r="C1061" s="3">
        <v>45691.77071759259</v>
      </c>
      <c r="D1061" t="s">
        <v>46</v>
      </c>
      <c r="E1061" s="4">
        <v>9.1999999999999998E-2</v>
      </c>
      <c r="F1061" s="4">
        <v>101162.20699999999</v>
      </c>
      <c r="G1061" s="4">
        <v>101162.299</v>
      </c>
      <c r="H1061" s="5">
        <f>97 / 86400</f>
        <v>1.1226851851851851E-3</v>
      </c>
      <c r="I1061" t="s">
        <v>76</v>
      </c>
      <c r="J1061" t="s">
        <v>128</v>
      </c>
      <c r="K1061" s="5">
        <f>132 / 86400</f>
        <v>1.5277777777777779E-3</v>
      </c>
      <c r="L1061" s="5">
        <f>3299 / 86400</f>
        <v>3.8182870370370367E-2</v>
      </c>
    </row>
    <row r="1062" spans="1:12" x14ac:dyDescent="0.25">
      <c r="A1062" s="3">
        <v>45691.808900462958</v>
      </c>
      <c r="B1062" t="s">
        <v>46</v>
      </c>
      <c r="C1062" s="3">
        <v>45691.811631944445</v>
      </c>
      <c r="D1062" t="s">
        <v>50</v>
      </c>
      <c r="E1062" s="4">
        <v>0.67200000000000004</v>
      </c>
      <c r="F1062" s="4">
        <v>101162.299</v>
      </c>
      <c r="G1062" s="4">
        <v>101162.97100000001</v>
      </c>
      <c r="H1062" s="5">
        <f>78 / 86400</f>
        <v>9.0277777777777774E-4</v>
      </c>
      <c r="I1062" t="s">
        <v>143</v>
      </c>
      <c r="J1062" t="s">
        <v>156</v>
      </c>
      <c r="K1062" s="5">
        <f>236 / 86400</f>
        <v>2.7314814814814814E-3</v>
      </c>
      <c r="L1062" s="5">
        <f>4587 / 86400</f>
        <v>5.3090277777777778E-2</v>
      </c>
    </row>
    <row r="1063" spans="1:12" x14ac:dyDescent="0.25">
      <c r="A1063" s="3">
        <v>45691.864722222221</v>
      </c>
      <c r="B1063" t="s">
        <v>50</v>
      </c>
      <c r="C1063" s="3">
        <v>45691.87018518518</v>
      </c>
      <c r="D1063" t="s">
        <v>89</v>
      </c>
      <c r="E1063" s="4">
        <v>1.643</v>
      </c>
      <c r="F1063" s="4">
        <v>101162.97100000001</v>
      </c>
      <c r="G1063" s="4">
        <v>101164.614</v>
      </c>
      <c r="H1063" s="5">
        <f>180 / 86400</f>
        <v>2.0833333333333333E-3</v>
      </c>
      <c r="I1063" t="s">
        <v>126</v>
      </c>
      <c r="J1063" t="s">
        <v>59</v>
      </c>
      <c r="K1063" s="5">
        <f>472 / 86400</f>
        <v>5.4629629629629629E-3</v>
      </c>
      <c r="L1063" s="5">
        <f>11215 / 86400</f>
        <v>0.12980324074074073</v>
      </c>
    </row>
    <row r="1064" spans="1:12" x14ac:dyDescent="0.25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</row>
    <row r="1065" spans="1:12" x14ac:dyDescent="0.2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</row>
    <row r="1066" spans="1:12" s="10" customFormat="1" ht="20.100000000000001" customHeight="1" x14ac:dyDescent="0.35">
      <c r="A1066" s="12" t="s">
        <v>463</v>
      </c>
      <c r="B1066" s="12"/>
      <c r="C1066" s="12"/>
      <c r="D1066" s="12"/>
      <c r="E1066" s="12"/>
      <c r="F1066" s="12"/>
      <c r="G1066" s="12"/>
      <c r="H1066" s="12"/>
      <c r="I1066" s="12"/>
      <c r="J1066" s="12"/>
    </row>
    <row r="1067" spans="1:12" x14ac:dyDescent="0.25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</row>
    <row r="1068" spans="1:12" ht="30" x14ac:dyDescent="0.25">
      <c r="A1068" s="2" t="s">
        <v>6</v>
      </c>
      <c r="B1068" s="2" t="s">
        <v>7</v>
      </c>
      <c r="C1068" s="2" t="s">
        <v>8</v>
      </c>
      <c r="D1068" s="2" t="s">
        <v>9</v>
      </c>
      <c r="E1068" s="2" t="s">
        <v>10</v>
      </c>
      <c r="F1068" s="2" t="s">
        <v>11</v>
      </c>
      <c r="G1068" s="2" t="s">
        <v>12</v>
      </c>
      <c r="H1068" s="2" t="s">
        <v>13</v>
      </c>
      <c r="I1068" s="2" t="s">
        <v>14</v>
      </c>
      <c r="J1068" s="2" t="s">
        <v>15</v>
      </c>
      <c r="K1068" s="2" t="s">
        <v>16</v>
      </c>
      <c r="L1068" s="2" t="s">
        <v>17</v>
      </c>
    </row>
    <row r="1069" spans="1:12" x14ac:dyDescent="0.25">
      <c r="A1069" s="3">
        <v>45691.233854166669</v>
      </c>
      <c r="B1069" t="s">
        <v>28</v>
      </c>
      <c r="C1069" s="3">
        <v>45691.346307870372</v>
      </c>
      <c r="D1069" t="s">
        <v>74</v>
      </c>
      <c r="E1069" s="4">
        <v>38.527999999999999</v>
      </c>
      <c r="F1069" s="4">
        <v>52527.366999999998</v>
      </c>
      <c r="G1069" s="4">
        <v>52565.894999999997</v>
      </c>
      <c r="H1069" s="5">
        <f>3818 / 86400</f>
        <v>4.4189814814814814E-2</v>
      </c>
      <c r="I1069" t="s">
        <v>39</v>
      </c>
      <c r="J1069" t="s">
        <v>45</v>
      </c>
      <c r="K1069" s="5">
        <f>9716 / 86400</f>
        <v>0.11245370370370371</v>
      </c>
      <c r="L1069" s="5">
        <f>20933 / 86400</f>
        <v>0.24228009259259259</v>
      </c>
    </row>
    <row r="1070" spans="1:12" x14ac:dyDescent="0.25">
      <c r="A1070" s="3">
        <v>45691.354733796295</v>
      </c>
      <c r="B1070" t="s">
        <v>74</v>
      </c>
      <c r="C1070" s="3">
        <v>45691.354780092588</v>
      </c>
      <c r="D1070" t="s">
        <v>74</v>
      </c>
      <c r="E1070" s="4">
        <v>0</v>
      </c>
      <c r="F1070" s="4">
        <v>52565.894999999997</v>
      </c>
      <c r="G1070" s="4">
        <v>52565.894999999997</v>
      </c>
      <c r="H1070" s="5">
        <f>0 / 86400</f>
        <v>0</v>
      </c>
      <c r="I1070" t="s">
        <v>33</v>
      </c>
      <c r="J1070" t="s">
        <v>33</v>
      </c>
      <c r="K1070" s="5">
        <f>4 / 86400</f>
        <v>4.6296296296296294E-5</v>
      </c>
      <c r="L1070" s="5">
        <f>23 / 86400</f>
        <v>2.6620370370370372E-4</v>
      </c>
    </row>
    <row r="1071" spans="1:12" x14ac:dyDescent="0.25">
      <c r="A1071" s="3">
        <v>45691.355046296296</v>
      </c>
      <c r="B1071" t="s">
        <v>74</v>
      </c>
      <c r="C1071" s="3">
        <v>45691.355081018519</v>
      </c>
      <c r="D1071" t="s">
        <v>74</v>
      </c>
      <c r="E1071" s="4">
        <v>0</v>
      </c>
      <c r="F1071" s="4">
        <v>52565.894999999997</v>
      </c>
      <c r="G1071" s="4">
        <v>52565.894999999997</v>
      </c>
      <c r="H1071" s="5">
        <f>0 / 86400</f>
        <v>0</v>
      </c>
      <c r="I1071" t="s">
        <v>33</v>
      </c>
      <c r="J1071" t="s">
        <v>33</v>
      </c>
      <c r="K1071" s="5">
        <f>3 / 86400</f>
        <v>3.4722222222222222E-5</v>
      </c>
      <c r="L1071" s="5">
        <f>152 / 86400</f>
        <v>1.7592592592592592E-3</v>
      </c>
    </row>
    <row r="1072" spans="1:12" x14ac:dyDescent="0.25">
      <c r="A1072" s="3">
        <v>45691.356840277775</v>
      </c>
      <c r="B1072" t="s">
        <v>74</v>
      </c>
      <c r="C1072" s="3">
        <v>45691.447083333333</v>
      </c>
      <c r="D1072" t="s">
        <v>237</v>
      </c>
      <c r="E1072" s="4">
        <v>15.273999999999999</v>
      </c>
      <c r="F1072" s="4">
        <v>52565.894999999997</v>
      </c>
      <c r="G1072" s="4">
        <v>52581.169000000002</v>
      </c>
      <c r="H1072" s="5">
        <f>5575 / 86400</f>
        <v>6.4525462962962965E-2</v>
      </c>
      <c r="I1072" t="s">
        <v>56</v>
      </c>
      <c r="J1072" t="s">
        <v>76</v>
      </c>
      <c r="K1072" s="5">
        <f>7797 / 86400</f>
        <v>9.0243055555555562E-2</v>
      </c>
      <c r="L1072" s="5">
        <f>112 / 86400</f>
        <v>1.2962962962962963E-3</v>
      </c>
    </row>
    <row r="1073" spans="1:12" x14ac:dyDescent="0.25">
      <c r="A1073" s="3">
        <v>45691.448379629626</v>
      </c>
      <c r="B1073" t="s">
        <v>361</v>
      </c>
      <c r="C1073" s="3">
        <v>45691.554826388892</v>
      </c>
      <c r="D1073" t="s">
        <v>50</v>
      </c>
      <c r="E1073" s="4">
        <v>46.558999999999997</v>
      </c>
      <c r="F1073" s="4">
        <v>52581.169000000002</v>
      </c>
      <c r="G1073" s="4">
        <v>52627.728000000003</v>
      </c>
      <c r="H1073" s="5">
        <f>2639 / 86400</f>
        <v>3.0543981481481481E-2</v>
      </c>
      <c r="I1073" t="s">
        <v>29</v>
      </c>
      <c r="J1073" t="s">
        <v>20</v>
      </c>
      <c r="K1073" s="5">
        <f>9197 / 86400</f>
        <v>0.10644675925925925</v>
      </c>
      <c r="L1073" s="5">
        <f>866 / 86400</f>
        <v>1.0023148148148147E-2</v>
      </c>
    </row>
    <row r="1074" spans="1:12" x14ac:dyDescent="0.25">
      <c r="A1074" s="3">
        <v>45691.564849537041</v>
      </c>
      <c r="B1074" t="s">
        <v>50</v>
      </c>
      <c r="C1074" s="3">
        <v>45691.565243055556</v>
      </c>
      <c r="D1074" t="s">
        <v>50</v>
      </c>
      <c r="E1074" s="4">
        <v>0</v>
      </c>
      <c r="F1074" s="4">
        <v>52627.728000000003</v>
      </c>
      <c r="G1074" s="4">
        <v>52627.728000000003</v>
      </c>
      <c r="H1074" s="5">
        <f>18 / 86400</f>
        <v>2.0833333333333335E-4</v>
      </c>
      <c r="I1074" t="s">
        <v>33</v>
      </c>
      <c r="J1074" t="s">
        <v>33</v>
      </c>
      <c r="K1074" s="5">
        <f>34 / 86400</f>
        <v>3.9351851851851852E-4</v>
      </c>
      <c r="L1074" s="5">
        <f>860 / 86400</f>
        <v>9.9537037037037042E-3</v>
      </c>
    </row>
    <row r="1075" spans="1:12" x14ac:dyDescent="0.25">
      <c r="A1075" s="3">
        <v>45691.575196759259</v>
      </c>
      <c r="B1075" t="s">
        <v>50</v>
      </c>
      <c r="C1075" s="3">
        <v>45691.577245370368</v>
      </c>
      <c r="D1075" t="s">
        <v>157</v>
      </c>
      <c r="E1075" s="4">
        <v>0.72099999999999997</v>
      </c>
      <c r="F1075" s="4">
        <v>52627.728000000003</v>
      </c>
      <c r="G1075" s="4">
        <v>52628.449000000001</v>
      </c>
      <c r="H1075" s="5">
        <f>17 / 86400</f>
        <v>1.9675925925925926E-4</v>
      </c>
      <c r="I1075" t="s">
        <v>135</v>
      </c>
      <c r="J1075" t="s">
        <v>30</v>
      </c>
      <c r="K1075" s="5">
        <f>177 / 86400</f>
        <v>2.0486111111111113E-3</v>
      </c>
      <c r="L1075" s="5">
        <f>328 / 86400</f>
        <v>3.7962962962962963E-3</v>
      </c>
    </row>
    <row r="1076" spans="1:12" x14ac:dyDescent="0.25">
      <c r="A1076" s="3">
        <v>45691.581041666665</v>
      </c>
      <c r="B1076" t="s">
        <v>157</v>
      </c>
      <c r="C1076" s="3">
        <v>45691.581493055557</v>
      </c>
      <c r="D1076" t="s">
        <v>157</v>
      </c>
      <c r="E1076" s="4">
        <v>0</v>
      </c>
      <c r="F1076" s="4">
        <v>52628.449000000001</v>
      </c>
      <c r="G1076" s="4">
        <v>52628.449000000001</v>
      </c>
      <c r="H1076" s="5">
        <f>17 / 86400</f>
        <v>1.9675925925925926E-4</v>
      </c>
      <c r="I1076" t="s">
        <v>33</v>
      </c>
      <c r="J1076" t="s">
        <v>33</v>
      </c>
      <c r="K1076" s="5">
        <f>39 / 86400</f>
        <v>4.5138888888888887E-4</v>
      </c>
      <c r="L1076" s="5">
        <f>428 / 86400</f>
        <v>4.9537037037037041E-3</v>
      </c>
    </row>
    <row r="1077" spans="1:12" x14ac:dyDescent="0.25">
      <c r="A1077" s="3">
        <v>45691.586446759262</v>
      </c>
      <c r="B1077" t="s">
        <v>157</v>
      </c>
      <c r="C1077" s="3">
        <v>45691.632928240739</v>
      </c>
      <c r="D1077" t="s">
        <v>71</v>
      </c>
      <c r="E1077" s="4">
        <v>25.831</v>
      </c>
      <c r="F1077" s="4">
        <v>52628.449000000001</v>
      </c>
      <c r="G1077" s="4">
        <v>52654.28</v>
      </c>
      <c r="H1077" s="5">
        <f>1178 / 86400</f>
        <v>1.3634259259259259E-2</v>
      </c>
      <c r="I1077" t="s">
        <v>57</v>
      </c>
      <c r="J1077" t="s">
        <v>170</v>
      </c>
      <c r="K1077" s="5">
        <f>4016 / 86400</f>
        <v>4.6481481481481485E-2</v>
      </c>
      <c r="L1077" s="5">
        <f>27 / 86400</f>
        <v>3.1250000000000001E-4</v>
      </c>
    </row>
    <row r="1078" spans="1:12" x14ac:dyDescent="0.25">
      <c r="A1078" s="3">
        <v>45691.633240740739</v>
      </c>
      <c r="B1078" t="s">
        <v>71</v>
      </c>
      <c r="C1078" s="3">
        <v>45691.653020833328</v>
      </c>
      <c r="D1078" t="s">
        <v>106</v>
      </c>
      <c r="E1078" s="4">
        <v>9.2119999999999997</v>
      </c>
      <c r="F1078" s="4">
        <v>52654.28</v>
      </c>
      <c r="G1078" s="4">
        <v>52663.491999999998</v>
      </c>
      <c r="H1078" s="5">
        <f>501 / 86400</f>
        <v>5.7986111111111112E-3</v>
      </c>
      <c r="I1078" t="s">
        <v>95</v>
      </c>
      <c r="J1078" t="s">
        <v>35</v>
      </c>
      <c r="K1078" s="5">
        <f>1709 / 86400</f>
        <v>1.9780092592592592E-2</v>
      </c>
      <c r="L1078" s="5">
        <f>377 / 86400</f>
        <v>4.363425925925926E-3</v>
      </c>
    </row>
    <row r="1079" spans="1:12" x14ac:dyDescent="0.25">
      <c r="A1079" s="3">
        <v>45691.657384259262</v>
      </c>
      <c r="B1079" t="s">
        <v>106</v>
      </c>
      <c r="C1079" s="3">
        <v>45691.728946759264</v>
      </c>
      <c r="D1079" t="s">
        <v>127</v>
      </c>
      <c r="E1079" s="4">
        <v>36.042999999999999</v>
      </c>
      <c r="F1079" s="4">
        <v>52663.491999999998</v>
      </c>
      <c r="G1079" s="4">
        <v>52699.535000000003</v>
      </c>
      <c r="H1079" s="5">
        <f>1198 / 86400</f>
        <v>1.3865740740740741E-2</v>
      </c>
      <c r="I1079" t="s">
        <v>29</v>
      </c>
      <c r="J1079" t="s">
        <v>70</v>
      </c>
      <c r="K1079" s="5">
        <f>6183 / 86400</f>
        <v>7.1562500000000001E-2</v>
      </c>
      <c r="L1079" s="5">
        <f>1004 / 86400</f>
        <v>1.1620370370370371E-2</v>
      </c>
    </row>
    <row r="1080" spans="1:12" x14ac:dyDescent="0.25">
      <c r="A1080" s="3">
        <v>45691.740567129629</v>
      </c>
      <c r="B1080" t="s">
        <v>127</v>
      </c>
      <c r="C1080" s="3">
        <v>45691.743599537032</v>
      </c>
      <c r="D1080" t="s">
        <v>157</v>
      </c>
      <c r="E1080" s="4">
        <v>0.82699999999999996</v>
      </c>
      <c r="F1080" s="4">
        <v>52699.535000000003</v>
      </c>
      <c r="G1080" s="4">
        <v>52700.362000000001</v>
      </c>
      <c r="H1080" s="5">
        <f>78 / 86400</f>
        <v>9.0277777777777774E-4</v>
      </c>
      <c r="I1080" t="s">
        <v>176</v>
      </c>
      <c r="J1080" t="s">
        <v>140</v>
      </c>
      <c r="K1080" s="5">
        <f>262 / 86400</f>
        <v>3.0324074074074073E-3</v>
      </c>
      <c r="L1080" s="5">
        <f>277 / 86400</f>
        <v>3.2060185185185186E-3</v>
      </c>
    </row>
    <row r="1081" spans="1:12" x14ac:dyDescent="0.25">
      <c r="A1081" s="3">
        <v>45691.746805555551</v>
      </c>
      <c r="B1081" t="s">
        <v>157</v>
      </c>
      <c r="C1081" s="3">
        <v>45691.747187500005</v>
      </c>
      <c r="D1081" t="s">
        <v>157</v>
      </c>
      <c r="E1081" s="4">
        <v>0</v>
      </c>
      <c r="F1081" s="4">
        <v>52700.362000000001</v>
      </c>
      <c r="G1081" s="4">
        <v>52700.362000000001</v>
      </c>
      <c r="H1081" s="5">
        <f>18 / 86400</f>
        <v>2.0833333333333335E-4</v>
      </c>
      <c r="I1081" t="s">
        <v>33</v>
      </c>
      <c r="J1081" t="s">
        <v>33</v>
      </c>
      <c r="K1081" s="5">
        <f>33 / 86400</f>
        <v>3.8194444444444446E-4</v>
      </c>
      <c r="L1081" s="5">
        <f>113 / 86400</f>
        <v>1.3078703703703703E-3</v>
      </c>
    </row>
    <row r="1082" spans="1:12" x14ac:dyDescent="0.25">
      <c r="A1082" s="3">
        <v>45691.748495370368</v>
      </c>
      <c r="B1082" t="s">
        <v>157</v>
      </c>
      <c r="C1082" s="3">
        <v>45691.748715277776</v>
      </c>
      <c r="D1082" t="s">
        <v>157</v>
      </c>
      <c r="E1082" s="4">
        <v>0</v>
      </c>
      <c r="F1082" s="4">
        <v>52700.362000000001</v>
      </c>
      <c r="G1082" s="4">
        <v>52700.362000000001</v>
      </c>
      <c r="H1082" s="5">
        <f>0 / 86400</f>
        <v>0</v>
      </c>
      <c r="I1082" t="s">
        <v>33</v>
      </c>
      <c r="J1082" t="s">
        <v>33</v>
      </c>
      <c r="K1082" s="5">
        <f>19 / 86400</f>
        <v>2.199074074074074E-4</v>
      </c>
      <c r="L1082" s="5">
        <f>258 / 86400</f>
        <v>2.9861111111111113E-3</v>
      </c>
    </row>
    <row r="1083" spans="1:12" x14ac:dyDescent="0.25">
      <c r="A1083" s="3">
        <v>45691.751701388886</v>
      </c>
      <c r="B1083" t="s">
        <v>157</v>
      </c>
      <c r="C1083" s="3">
        <v>45691.752511574072</v>
      </c>
      <c r="D1083" t="s">
        <v>157</v>
      </c>
      <c r="E1083" s="4">
        <v>0</v>
      </c>
      <c r="F1083" s="4">
        <v>52700.362000000001</v>
      </c>
      <c r="G1083" s="4">
        <v>52700.362000000001</v>
      </c>
      <c r="H1083" s="5">
        <f>58 / 86400</f>
        <v>6.7129629629629625E-4</v>
      </c>
      <c r="I1083" t="s">
        <v>33</v>
      </c>
      <c r="J1083" t="s">
        <v>33</v>
      </c>
      <c r="K1083" s="5">
        <f>70 / 86400</f>
        <v>8.1018518518518516E-4</v>
      </c>
      <c r="L1083" s="5">
        <f>175 / 86400</f>
        <v>2.0254629629629629E-3</v>
      </c>
    </row>
    <row r="1084" spans="1:12" x14ac:dyDescent="0.25">
      <c r="A1084" s="3">
        <v>45691.754537037035</v>
      </c>
      <c r="B1084" t="s">
        <v>157</v>
      </c>
      <c r="C1084" s="3">
        <v>45691.813391203701</v>
      </c>
      <c r="D1084" t="s">
        <v>146</v>
      </c>
      <c r="E1084" s="4">
        <v>28.718</v>
      </c>
      <c r="F1084" s="4">
        <v>52700.362000000001</v>
      </c>
      <c r="G1084" s="4">
        <v>52729.08</v>
      </c>
      <c r="H1084" s="5">
        <f>1359 / 86400</f>
        <v>1.5729166666666666E-2</v>
      </c>
      <c r="I1084" t="s">
        <v>23</v>
      </c>
      <c r="J1084" t="s">
        <v>75</v>
      </c>
      <c r="K1084" s="5">
        <f>5085 / 86400</f>
        <v>5.8854166666666666E-2</v>
      </c>
      <c r="L1084" s="5">
        <f>596 / 86400</f>
        <v>6.898148148148148E-3</v>
      </c>
    </row>
    <row r="1085" spans="1:12" x14ac:dyDescent="0.25">
      <c r="A1085" s="3">
        <v>45691.820289351846</v>
      </c>
      <c r="B1085" t="s">
        <v>146</v>
      </c>
      <c r="C1085" s="3">
        <v>45691.825219907405</v>
      </c>
      <c r="D1085" t="s">
        <v>26</v>
      </c>
      <c r="E1085" s="4">
        <v>1.446</v>
      </c>
      <c r="F1085" s="4">
        <v>52729.08</v>
      </c>
      <c r="G1085" s="4">
        <v>52730.525999999998</v>
      </c>
      <c r="H1085" s="5">
        <f>180 / 86400</f>
        <v>2.0833333333333333E-3</v>
      </c>
      <c r="I1085" t="s">
        <v>194</v>
      </c>
      <c r="J1085" t="s">
        <v>155</v>
      </c>
      <c r="K1085" s="5">
        <f>426 / 86400</f>
        <v>4.9305555555555552E-3</v>
      </c>
      <c r="L1085" s="5">
        <f>4423 / 86400</f>
        <v>5.1192129629629629E-2</v>
      </c>
    </row>
    <row r="1086" spans="1:12" x14ac:dyDescent="0.25">
      <c r="A1086" s="3">
        <v>45691.876412037032</v>
      </c>
      <c r="B1086" t="s">
        <v>26</v>
      </c>
      <c r="C1086" s="3">
        <v>45691.87704861111</v>
      </c>
      <c r="D1086" t="s">
        <v>26</v>
      </c>
      <c r="E1086" s="4">
        <v>0</v>
      </c>
      <c r="F1086" s="4">
        <v>52730.525999999998</v>
      </c>
      <c r="G1086" s="4">
        <v>52730.525999999998</v>
      </c>
      <c r="H1086" s="5">
        <f>37 / 86400</f>
        <v>4.2824074074074075E-4</v>
      </c>
      <c r="I1086" t="s">
        <v>33</v>
      </c>
      <c r="J1086" t="s">
        <v>33</v>
      </c>
      <c r="K1086" s="5">
        <f>55 / 86400</f>
        <v>6.3657407407407413E-4</v>
      </c>
      <c r="L1086" s="5">
        <f>10622 / 86400</f>
        <v>0.12293981481481482</v>
      </c>
    </row>
    <row r="1087" spans="1:12" x14ac:dyDescent="0.25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</row>
    <row r="1088" spans="1:12" x14ac:dyDescent="0.25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</row>
    <row r="1089" spans="1:12" s="10" customFormat="1" ht="20.100000000000001" customHeight="1" x14ac:dyDescent="0.35">
      <c r="A1089" s="12" t="s">
        <v>464</v>
      </c>
      <c r="B1089" s="12"/>
      <c r="C1089" s="12"/>
      <c r="D1089" s="12"/>
      <c r="E1089" s="12"/>
      <c r="F1089" s="12"/>
      <c r="G1089" s="12"/>
      <c r="H1089" s="12"/>
      <c r="I1089" s="12"/>
      <c r="J1089" s="12"/>
    </row>
    <row r="1090" spans="1:12" x14ac:dyDescent="0.25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</row>
    <row r="1091" spans="1:12" ht="30" x14ac:dyDescent="0.25">
      <c r="A1091" s="2" t="s">
        <v>6</v>
      </c>
      <c r="B1091" s="2" t="s">
        <v>7</v>
      </c>
      <c r="C1091" s="2" t="s">
        <v>8</v>
      </c>
      <c r="D1091" s="2" t="s">
        <v>9</v>
      </c>
      <c r="E1091" s="2" t="s">
        <v>10</v>
      </c>
      <c r="F1091" s="2" t="s">
        <v>11</v>
      </c>
      <c r="G1091" s="2" t="s">
        <v>12</v>
      </c>
      <c r="H1091" s="2" t="s">
        <v>13</v>
      </c>
      <c r="I1091" s="2" t="s">
        <v>14</v>
      </c>
      <c r="J1091" s="2" t="s">
        <v>15</v>
      </c>
      <c r="K1091" s="2" t="s">
        <v>16</v>
      </c>
      <c r="L1091" s="2" t="s">
        <v>17</v>
      </c>
    </row>
    <row r="1092" spans="1:12" x14ac:dyDescent="0.25">
      <c r="A1092" s="3">
        <v>45691.20579861111</v>
      </c>
      <c r="B1092" t="s">
        <v>98</v>
      </c>
      <c r="C1092" s="3">
        <v>45691.434340277774</v>
      </c>
      <c r="D1092" t="s">
        <v>152</v>
      </c>
      <c r="E1092" s="4">
        <v>101.80500000000001</v>
      </c>
      <c r="F1092" s="4">
        <v>44710.675000000003</v>
      </c>
      <c r="G1092" s="4">
        <v>44812.480000000003</v>
      </c>
      <c r="H1092" s="5">
        <f>6439 / 86400</f>
        <v>7.452546296296296E-2</v>
      </c>
      <c r="I1092" t="s">
        <v>37</v>
      </c>
      <c r="J1092" t="s">
        <v>35</v>
      </c>
      <c r="K1092" s="5">
        <f>19746 / 86400</f>
        <v>0.22854166666666667</v>
      </c>
      <c r="L1092" s="5">
        <f>18584 / 86400</f>
        <v>0.21509259259259259</v>
      </c>
    </row>
    <row r="1093" spans="1:12" x14ac:dyDescent="0.25">
      <c r="A1093" s="3">
        <v>45691.44363425926</v>
      </c>
      <c r="B1093" t="s">
        <v>152</v>
      </c>
      <c r="C1093" s="3">
        <v>45691.4528587963</v>
      </c>
      <c r="D1093" t="s">
        <v>127</v>
      </c>
      <c r="E1093" s="4">
        <v>0.23799999999999999</v>
      </c>
      <c r="F1093" s="4">
        <v>44812.480000000003</v>
      </c>
      <c r="G1093" s="4">
        <v>44812.718000000001</v>
      </c>
      <c r="H1093" s="5">
        <f>717 / 86400</f>
        <v>8.2986111111111108E-3</v>
      </c>
      <c r="I1093" t="s">
        <v>70</v>
      </c>
      <c r="J1093" t="s">
        <v>62</v>
      </c>
      <c r="K1093" s="5">
        <f>797 / 86400</f>
        <v>9.2245370370370363E-3</v>
      </c>
      <c r="L1093" s="5">
        <f>375 / 86400</f>
        <v>4.340277777777778E-3</v>
      </c>
    </row>
    <row r="1094" spans="1:12" x14ac:dyDescent="0.25">
      <c r="A1094" s="3">
        <v>45691.457199074073</v>
      </c>
      <c r="B1094" t="s">
        <v>127</v>
      </c>
      <c r="C1094" s="3">
        <v>45691.460289351853</v>
      </c>
      <c r="D1094" t="s">
        <v>396</v>
      </c>
      <c r="E1094" s="4">
        <v>0.94299999999999995</v>
      </c>
      <c r="F1094" s="4">
        <v>44812.718000000001</v>
      </c>
      <c r="G1094" s="4">
        <v>44813.661</v>
      </c>
      <c r="H1094" s="5">
        <f>0 / 86400</f>
        <v>0</v>
      </c>
      <c r="I1094" t="s">
        <v>159</v>
      </c>
      <c r="J1094" t="s">
        <v>59</v>
      </c>
      <c r="K1094" s="5">
        <f>267 / 86400</f>
        <v>3.0902777777777777E-3</v>
      </c>
      <c r="L1094" s="5">
        <f>443 / 86400</f>
        <v>5.1273148148148146E-3</v>
      </c>
    </row>
    <row r="1095" spans="1:12" x14ac:dyDescent="0.25">
      <c r="A1095" s="3">
        <v>45691.465416666666</v>
      </c>
      <c r="B1095" t="s">
        <v>396</v>
      </c>
      <c r="C1095" s="3">
        <v>45691.466805555552</v>
      </c>
      <c r="D1095" t="s">
        <v>98</v>
      </c>
      <c r="E1095" s="4">
        <v>0.46</v>
      </c>
      <c r="F1095" s="4">
        <v>44813.661</v>
      </c>
      <c r="G1095" s="4">
        <v>44814.120999999999</v>
      </c>
      <c r="H1095" s="5">
        <f>0 / 86400</f>
        <v>0</v>
      </c>
      <c r="I1095" t="s">
        <v>135</v>
      </c>
      <c r="J1095" t="s">
        <v>45</v>
      </c>
      <c r="K1095" s="5">
        <f>120 / 86400</f>
        <v>1.3888888888888889E-3</v>
      </c>
      <c r="L1095" s="5">
        <f>3779 / 86400</f>
        <v>4.3738425925925924E-2</v>
      </c>
    </row>
    <row r="1096" spans="1:12" x14ac:dyDescent="0.25">
      <c r="A1096" s="3">
        <v>45691.51054398148</v>
      </c>
      <c r="B1096" t="s">
        <v>98</v>
      </c>
      <c r="C1096" s="3">
        <v>45691.708969907406</v>
      </c>
      <c r="D1096" t="s">
        <v>384</v>
      </c>
      <c r="E1096" s="4">
        <v>94.194000000000003</v>
      </c>
      <c r="F1096" s="4">
        <v>44814.120999999999</v>
      </c>
      <c r="G1096" s="4">
        <v>44908.315000000002</v>
      </c>
      <c r="H1096" s="5">
        <f>5317 / 86400</f>
        <v>6.1539351851851852E-2</v>
      </c>
      <c r="I1096" t="s">
        <v>27</v>
      </c>
      <c r="J1096" t="s">
        <v>75</v>
      </c>
      <c r="K1096" s="5">
        <f>17144 / 86400</f>
        <v>0.19842592592592592</v>
      </c>
      <c r="L1096" s="5">
        <f>1106 / 86400</f>
        <v>1.2800925925925926E-2</v>
      </c>
    </row>
    <row r="1097" spans="1:12" x14ac:dyDescent="0.25">
      <c r="A1097" s="3">
        <v>45691.721770833334</v>
      </c>
      <c r="B1097" t="s">
        <v>384</v>
      </c>
      <c r="C1097" s="3">
        <v>45691.724212962959</v>
      </c>
      <c r="D1097" t="s">
        <v>127</v>
      </c>
      <c r="E1097" s="4">
        <v>0.86</v>
      </c>
      <c r="F1097" s="4">
        <v>44908.315000000002</v>
      </c>
      <c r="G1097" s="4">
        <v>44909.175000000003</v>
      </c>
      <c r="H1097" s="5">
        <f>38 / 86400</f>
        <v>4.3981481481481481E-4</v>
      </c>
      <c r="I1097" t="s">
        <v>88</v>
      </c>
      <c r="J1097" t="s">
        <v>30</v>
      </c>
      <c r="K1097" s="5">
        <f>211 / 86400</f>
        <v>2.4421296296296296E-3</v>
      </c>
      <c r="L1097" s="5">
        <f>562 / 86400</f>
        <v>6.5046296296296293E-3</v>
      </c>
    </row>
    <row r="1098" spans="1:12" x14ac:dyDescent="0.25">
      <c r="A1098" s="3">
        <v>45691.730717592596</v>
      </c>
      <c r="B1098" t="s">
        <v>127</v>
      </c>
      <c r="C1098" s="3">
        <v>45691.73137731482</v>
      </c>
      <c r="D1098" t="s">
        <v>154</v>
      </c>
      <c r="E1098" s="4">
        <v>0.161</v>
      </c>
      <c r="F1098" s="4">
        <v>44909.175000000003</v>
      </c>
      <c r="G1098" s="4">
        <v>44909.336000000003</v>
      </c>
      <c r="H1098" s="5">
        <f>0 / 86400</f>
        <v>0</v>
      </c>
      <c r="I1098" t="s">
        <v>140</v>
      </c>
      <c r="J1098" t="s">
        <v>156</v>
      </c>
      <c r="K1098" s="5">
        <f>57 / 86400</f>
        <v>6.5972222222222224E-4</v>
      </c>
      <c r="L1098" s="5">
        <f>179 / 86400</f>
        <v>2.0717592592592593E-3</v>
      </c>
    </row>
    <row r="1099" spans="1:12" x14ac:dyDescent="0.25">
      <c r="A1099" s="3">
        <v>45691.733449074076</v>
      </c>
      <c r="B1099" t="s">
        <v>154</v>
      </c>
      <c r="C1099" s="3">
        <v>45691.734560185185</v>
      </c>
      <c r="D1099" t="s">
        <v>134</v>
      </c>
      <c r="E1099" s="4">
        <v>0.36399999999999999</v>
      </c>
      <c r="F1099" s="4">
        <v>44909.336000000003</v>
      </c>
      <c r="G1099" s="4">
        <v>44909.7</v>
      </c>
      <c r="H1099" s="5">
        <f>20 / 86400</f>
        <v>2.3148148148148149E-4</v>
      </c>
      <c r="I1099" t="s">
        <v>257</v>
      </c>
      <c r="J1099" t="s">
        <v>45</v>
      </c>
      <c r="K1099" s="5">
        <f>96 / 86400</f>
        <v>1.1111111111111111E-3</v>
      </c>
      <c r="L1099" s="5">
        <f>219 / 86400</f>
        <v>2.5347222222222221E-3</v>
      </c>
    </row>
    <row r="1100" spans="1:12" x14ac:dyDescent="0.25">
      <c r="A1100" s="3">
        <v>45691.73709490741</v>
      </c>
      <c r="B1100" t="s">
        <v>134</v>
      </c>
      <c r="C1100" s="3">
        <v>45691.739421296297</v>
      </c>
      <c r="D1100" t="s">
        <v>397</v>
      </c>
      <c r="E1100" s="4">
        <v>0.72299999999999998</v>
      </c>
      <c r="F1100" s="4">
        <v>44909.7</v>
      </c>
      <c r="G1100" s="4">
        <v>44910.423000000003</v>
      </c>
      <c r="H1100" s="5">
        <f>0 / 86400</f>
        <v>0</v>
      </c>
      <c r="I1100" t="s">
        <v>176</v>
      </c>
      <c r="J1100" t="s">
        <v>59</v>
      </c>
      <c r="K1100" s="5">
        <f>201 / 86400</f>
        <v>2.3263888888888887E-3</v>
      </c>
      <c r="L1100" s="5">
        <f>573 / 86400</f>
        <v>6.6319444444444446E-3</v>
      </c>
    </row>
    <row r="1101" spans="1:12" x14ac:dyDescent="0.25">
      <c r="A1101" s="3">
        <v>45691.746053240742</v>
      </c>
      <c r="B1101" t="s">
        <v>397</v>
      </c>
      <c r="C1101" s="3">
        <v>45691.748784722222</v>
      </c>
      <c r="D1101" t="s">
        <v>98</v>
      </c>
      <c r="E1101" s="4">
        <v>0.29199999999999998</v>
      </c>
      <c r="F1101" s="4">
        <v>44910.423000000003</v>
      </c>
      <c r="G1101" s="4">
        <v>44910.714999999997</v>
      </c>
      <c r="H1101" s="5">
        <f>138 / 86400</f>
        <v>1.5972222222222223E-3</v>
      </c>
      <c r="I1101" t="s">
        <v>155</v>
      </c>
      <c r="J1101" t="s">
        <v>132</v>
      </c>
      <c r="K1101" s="5">
        <f>236 / 86400</f>
        <v>2.7314814814814814E-3</v>
      </c>
      <c r="L1101" s="5">
        <f>21704 / 86400</f>
        <v>0.25120370370370371</v>
      </c>
    </row>
    <row r="1102" spans="1:12" x14ac:dyDescent="0.25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</row>
    <row r="1103" spans="1:12" x14ac:dyDescent="0.25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</row>
    <row r="1104" spans="1:12" s="10" customFormat="1" ht="20.100000000000001" customHeight="1" x14ac:dyDescent="0.35">
      <c r="A1104" s="12" t="s">
        <v>465</v>
      </c>
      <c r="B1104" s="12"/>
      <c r="C1104" s="12"/>
      <c r="D1104" s="12"/>
      <c r="E1104" s="12"/>
      <c r="F1104" s="12"/>
      <c r="G1104" s="12"/>
      <c r="H1104" s="12"/>
      <c r="I1104" s="12"/>
      <c r="J1104" s="12"/>
    </row>
    <row r="1105" spans="1:12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</row>
    <row r="1106" spans="1:12" ht="30" x14ac:dyDescent="0.25">
      <c r="A1106" s="2" t="s">
        <v>6</v>
      </c>
      <c r="B1106" s="2" t="s">
        <v>7</v>
      </c>
      <c r="C1106" s="2" t="s">
        <v>8</v>
      </c>
      <c r="D1106" s="2" t="s">
        <v>9</v>
      </c>
      <c r="E1106" s="2" t="s">
        <v>10</v>
      </c>
      <c r="F1106" s="2" t="s">
        <v>11</v>
      </c>
      <c r="G1106" s="2" t="s">
        <v>12</v>
      </c>
      <c r="H1106" s="2" t="s">
        <v>13</v>
      </c>
      <c r="I1106" s="2" t="s">
        <v>14</v>
      </c>
      <c r="J1106" s="2" t="s">
        <v>15</v>
      </c>
      <c r="K1106" s="2" t="s">
        <v>16</v>
      </c>
      <c r="L1106" s="2" t="s">
        <v>17</v>
      </c>
    </row>
    <row r="1107" spans="1:12" x14ac:dyDescent="0.25">
      <c r="A1107" s="3">
        <v>45691.392870370371</v>
      </c>
      <c r="B1107" t="s">
        <v>99</v>
      </c>
      <c r="C1107" s="3">
        <v>45691.399050925931</v>
      </c>
      <c r="D1107" t="s">
        <v>127</v>
      </c>
      <c r="E1107" s="4">
        <v>0.80500000000000005</v>
      </c>
      <c r="F1107" s="4">
        <v>76740.941000000006</v>
      </c>
      <c r="G1107" s="4">
        <v>76741.745999999999</v>
      </c>
      <c r="H1107" s="5">
        <f>377 / 86400</f>
        <v>4.363425925925926E-3</v>
      </c>
      <c r="I1107" t="s">
        <v>257</v>
      </c>
      <c r="J1107" t="s">
        <v>136</v>
      </c>
      <c r="K1107" s="5">
        <f>534 / 86400</f>
        <v>6.1805555555555555E-3</v>
      </c>
      <c r="L1107" s="5">
        <f>35050 / 86400</f>
        <v>0.40567129629629628</v>
      </c>
    </row>
    <row r="1108" spans="1:12" x14ac:dyDescent="0.25">
      <c r="A1108" s="3">
        <v>45691.411851851852</v>
      </c>
      <c r="B1108" t="s">
        <v>127</v>
      </c>
      <c r="C1108" s="3">
        <v>45691.636307870373</v>
      </c>
      <c r="D1108" t="s">
        <v>160</v>
      </c>
      <c r="E1108" s="4">
        <v>102.70099999999999</v>
      </c>
      <c r="F1108" s="4">
        <v>76741.745999999999</v>
      </c>
      <c r="G1108" s="4">
        <v>76844.447</v>
      </c>
      <c r="H1108" s="5">
        <f>5659 / 86400</f>
        <v>6.5497685185185187E-2</v>
      </c>
      <c r="I1108" t="s">
        <v>95</v>
      </c>
      <c r="J1108" t="s">
        <v>35</v>
      </c>
      <c r="K1108" s="5">
        <f>19393 / 86400</f>
        <v>0.22445601851851851</v>
      </c>
      <c r="L1108" s="5">
        <f>1808 / 86400</f>
        <v>2.0925925925925924E-2</v>
      </c>
    </row>
    <row r="1109" spans="1:12" x14ac:dyDescent="0.25">
      <c r="A1109" s="3">
        <v>45691.657233796301</v>
      </c>
      <c r="B1109" t="s">
        <v>160</v>
      </c>
      <c r="C1109" s="3">
        <v>45691.878784722227</v>
      </c>
      <c r="D1109" t="s">
        <v>127</v>
      </c>
      <c r="E1109" s="4">
        <v>94.334999999999994</v>
      </c>
      <c r="F1109" s="4">
        <v>76844.447</v>
      </c>
      <c r="G1109" s="4">
        <v>76938.782000000007</v>
      </c>
      <c r="H1109" s="5">
        <f>6321 / 86400</f>
        <v>7.3159722222222223E-2</v>
      </c>
      <c r="I1109" t="s">
        <v>39</v>
      </c>
      <c r="J1109" t="s">
        <v>20</v>
      </c>
      <c r="K1109" s="5">
        <f>19142 / 86400</f>
        <v>0.22155092592592593</v>
      </c>
      <c r="L1109" s="5">
        <f>431 / 86400</f>
        <v>4.9884259259259257E-3</v>
      </c>
    </row>
    <row r="1110" spans="1:12" x14ac:dyDescent="0.25">
      <c r="A1110" s="3">
        <v>45691.883773148147</v>
      </c>
      <c r="B1110" t="s">
        <v>127</v>
      </c>
      <c r="C1110" s="3">
        <v>45691.884525462963</v>
      </c>
      <c r="D1110" t="s">
        <v>152</v>
      </c>
      <c r="E1110" s="4">
        <v>0.20499999999999999</v>
      </c>
      <c r="F1110" s="4">
        <v>76938.782000000007</v>
      </c>
      <c r="G1110" s="4">
        <v>76938.986999999994</v>
      </c>
      <c r="H1110" s="5">
        <f>0 / 86400</f>
        <v>0</v>
      </c>
      <c r="I1110" t="s">
        <v>70</v>
      </c>
      <c r="J1110" t="s">
        <v>140</v>
      </c>
      <c r="K1110" s="5">
        <f>65 / 86400</f>
        <v>7.5231481481481482E-4</v>
      </c>
      <c r="L1110" s="5">
        <f>545 / 86400</f>
        <v>6.3078703703703708E-3</v>
      </c>
    </row>
    <row r="1111" spans="1:12" x14ac:dyDescent="0.25">
      <c r="A1111" s="3">
        <v>45691.890833333338</v>
      </c>
      <c r="B1111" t="s">
        <v>152</v>
      </c>
      <c r="C1111" s="3">
        <v>45691.899525462963</v>
      </c>
      <c r="D1111" t="s">
        <v>99</v>
      </c>
      <c r="E1111" s="4">
        <v>0.94499999999999995</v>
      </c>
      <c r="F1111" s="4">
        <v>76938.986999999994</v>
      </c>
      <c r="G1111" s="4">
        <v>76939.932000000001</v>
      </c>
      <c r="H1111" s="5">
        <f>558 / 86400</f>
        <v>6.4583333333333333E-3</v>
      </c>
      <c r="I1111" t="s">
        <v>172</v>
      </c>
      <c r="J1111" t="s">
        <v>136</v>
      </c>
      <c r="K1111" s="5">
        <f>751 / 86400</f>
        <v>8.6921296296296295E-3</v>
      </c>
      <c r="L1111" s="5">
        <f>135 / 86400</f>
        <v>1.5625000000000001E-3</v>
      </c>
    </row>
    <row r="1112" spans="1:12" x14ac:dyDescent="0.25">
      <c r="A1112" s="3">
        <v>45691.901087962964</v>
      </c>
      <c r="B1112" t="s">
        <v>99</v>
      </c>
      <c r="C1112" s="3">
        <v>45691.901724537034</v>
      </c>
      <c r="D1112" t="s">
        <v>99</v>
      </c>
      <c r="E1112" s="4">
        <v>4.4999999999999998E-2</v>
      </c>
      <c r="F1112" s="4">
        <v>76939.932000000001</v>
      </c>
      <c r="G1112" s="4">
        <v>76939.976999999999</v>
      </c>
      <c r="H1112" s="5">
        <f>17 / 86400</f>
        <v>1.9675925925925926E-4</v>
      </c>
      <c r="I1112" t="s">
        <v>137</v>
      </c>
      <c r="J1112" t="s">
        <v>128</v>
      </c>
      <c r="K1112" s="5">
        <f>55 / 86400</f>
        <v>6.3657407407407413E-4</v>
      </c>
      <c r="L1112" s="5">
        <f>8490 / 86400</f>
        <v>9.8263888888888887E-2</v>
      </c>
    </row>
    <row r="1113" spans="1:12" x14ac:dyDescent="0.25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</row>
    <row r="1114" spans="1:12" x14ac:dyDescent="0.25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</row>
    <row r="1115" spans="1:12" s="10" customFormat="1" ht="20.100000000000001" customHeight="1" x14ac:dyDescent="0.35">
      <c r="A1115" s="12" t="s">
        <v>466</v>
      </c>
      <c r="B1115" s="12"/>
      <c r="C1115" s="12"/>
      <c r="D1115" s="12"/>
      <c r="E1115" s="12"/>
      <c r="F1115" s="12"/>
      <c r="G1115" s="12"/>
      <c r="H1115" s="12"/>
      <c r="I1115" s="12"/>
      <c r="J1115" s="12"/>
    </row>
    <row r="1116" spans="1:12" x14ac:dyDescent="0.25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</row>
    <row r="1117" spans="1:12" ht="30" x14ac:dyDescent="0.25">
      <c r="A1117" s="2" t="s">
        <v>6</v>
      </c>
      <c r="B1117" s="2" t="s">
        <v>7</v>
      </c>
      <c r="C1117" s="2" t="s">
        <v>8</v>
      </c>
      <c r="D1117" s="2" t="s">
        <v>9</v>
      </c>
      <c r="E1117" s="2" t="s">
        <v>10</v>
      </c>
      <c r="F1117" s="2" t="s">
        <v>11</v>
      </c>
      <c r="G1117" s="2" t="s">
        <v>12</v>
      </c>
      <c r="H1117" s="2" t="s">
        <v>13</v>
      </c>
      <c r="I1117" s="2" t="s">
        <v>14</v>
      </c>
      <c r="J1117" s="2" t="s">
        <v>15</v>
      </c>
      <c r="K1117" s="2" t="s">
        <v>16</v>
      </c>
      <c r="L1117" s="2" t="s">
        <v>17</v>
      </c>
    </row>
    <row r="1118" spans="1:12" x14ac:dyDescent="0.25">
      <c r="A1118" s="3">
        <v>45691.017650462964</v>
      </c>
      <c r="B1118" t="s">
        <v>100</v>
      </c>
      <c r="C1118" s="3">
        <v>45691.022858796292</v>
      </c>
      <c r="D1118" t="s">
        <v>398</v>
      </c>
      <c r="E1118" s="4">
        <v>1.234</v>
      </c>
      <c r="F1118" s="4">
        <v>37657.982000000004</v>
      </c>
      <c r="G1118" s="4">
        <v>37659.216</v>
      </c>
      <c r="H1118" s="5">
        <f>151 / 86400</f>
        <v>1.7476851851851852E-3</v>
      </c>
      <c r="I1118" t="s">
        <v>188</v>
      </c>
      <c r="J1118" t="s">
        <v>156</v>
      </c>
      <c r="K1118" s="5">
        <f>450 / 86400</f>
        <v>5.208333333333333E-3</v>
      </c>
      <c r="L1118" s="5">
        <f>17817 / 86400</f>
        <v>0.20621527777777779</v>
      </c>
    </row>
    <row r="1119" spans="1:12" x14ac:dyDescent="0.25">
      <c r="A1119" s="3">
        <v>45691.211423611108</v>
      </c>
      <c r="B1119" t="s">
        <v>398</v>
      </c>
      <c r="C1119" s="3">
        <v>45691.367893518516</v>
      </c>
      <c r="D1119" t="s">
        <v>46</v>
      </c>
      <c r="E1119" s="4">
        <v>65.902000000000001</v>
      </c>
      <c r="F1119" s="4">
        <v>37659.216</v>
      </c>
      <c r="G1119" s="4">
        <v>37725.118000000002</v>
      </c>
      <c r="H1119" s="5">
        <f>5340 / 86400</f>
        <v>6.1805555555555558E-2</v>
      </c>
      <c r="I1119" t="s">
        <v>187</v>
      </c>
      <c r="J1119" t="s">
        <v>20</v>
      </c>
      <c r="K1119" s="5">
        <f>13519 / 86400</f>
        <v>0.1564699074074074</v>
      </c>
      <c r="L1119" s="5">
        <f>1514 / 86400</f>
        <v>1.7523148148148149E-2</v>
      </c>
    </row>
    <row r="1120" spans="1:12" x14ac:dyDescent="0.25">
      <c r="A1120" s="3">
        <v>45691.385416666672</v>
      </c>
      <c r="B1120" t="s">
        <v>46</v>
      </c>
      <c r="C1120" s="3">
        <v>45691.393101851849</v>
      </c>
      <c r="D1120" t="s">
        <v>130</v>
      </c>
      <c r="E1120" s="4">
        <v>1.177</v>
      </c>
      <c r="F1120" s="4">
        <v>37725.118000000002</v>
      </c>
      <c r="G1120" s="4">
        <v>37726.294999999998</v>
      </c>
      <c r="H1120" s="5">
        <f>180 / 86400</f>
        <v>2.0833333333333333E-3</v>
      </c>
      <c r="I1120" t="s">
        <v>45</v>
      </c>
      <c r="J1120" t="s">
        <v>32</v>
      </c>
      <c r="K1120" s="5">
        <f>664 / 86400</f>
        <v>7.6851851851851855E-3</v>
      </c>
      <c r="L1120" s="5">
        <f>3306 / 86400</f>
        <v>3.8263888888888889E-2</v>
      </c>
    </row>
    <row r="1121" spans="1:12" x14ac:dyDescent="0.25">
      <c r="A1121" s="3">
        <v>45691.43136574074</v>
      </c>
      <c r="B1121" t="s">
        <v>130</v>
      </c>
      <c r="C1121" s="3">
        <v>45691.436851851853</v>
      </c>
      <c r="D1121" t="s">
        <v>127</v>
      </c>
      <c r="E1121" s="4">
        <v>1.4319999999999999</v>
      </c>
      <c r="F1121" s="4">
        <v>37726.294999999998</v>
      </c>
      <c r="G1121" s="4">
        <v>37727.726999999999</v>
      </c>
      <c r="H1121" s="5">
        <f>150 / 86400</f>
        <v>1.736111111111111E-3</v>
      </c>
      <c r="I1121" t="s">
        <v>257</v>
      </c>
      <c r="J1121" t="s">
        <v>140</v>
      </c>
      <c r="K1121" s="5">
        <f>474 / 86400</f>
        <v>5.4861111111111109E-3</v>
      </c>
      <c r="L1121" s="5">
        <f>278 / 86400</f>
        <v>3.2175925925925926E-3</v>
      </c>
    </row>
    <row r="1122" spans="1:12" x14ac:dyDescent="0.25">
      <c r="A1122" s="3">
        <v>45691.440069444448</v>
      </c>
      <c r="B1122" t="s">
        <v>127</v>
      </c>
      <c r="C1122" s="3">
        <v>45691.65325231482</v>
      </c>
      <c r="D1122" t="s">
        <v>127</v>
      </c>
      <c r="E1122" s="4">
        <v>98.224000000000004</v>
      </c>
      <c r="F1122" s="4">
        <v>37727.726999999999</v>
      </c>
      <c r="G1122" s="4">
        <v>37825.951000000001</v>
      </c>
      <c r="H1122" s="5">
        <f>5849 / 86400</f>
        <v>6.7696759259259262E-2</v>
      </c>
      <c r="I1122" t="s">
        <v>51</v>
      </c>
      <c r="J1122" t="s">
        <v>35</v>
      </c>
      <c r="K1122" s="5">
        <f>18419 / 86400</f>
        <v>0.21318287037037037</v>
      </c>
      <c r="L1122" s="5">
        <f>835 / 86400</f>
        <v>9.6643518518518511E-3</v>
      </c>
    </row>
    <row r="1123" spans="1:12" x14ac:dyDescent="0.25">
      <c r="A1123" s="3">
        <v>45691.662916666668</v>
      </c>
      <c r="B1123" t="s">
        <v>127</v>
      </c>
      <c r="C1123" s="3">
        <v>45691.990601851852</v>
      </c>
      <c r="D1123" t="s">
        <v>38</v>
      </c>
      <c r="E1123" s="4">
        <v>156.874</v>
      </c>
      <c r="F1123" s="4">
        <v>37825.951000000001</v>
      </c>
      <c r="G1123" s="4">
        <v>37982.824999999997</v>
      </c>
      <c r="H1123" s="5">
        <f>8789 / 86400</f>
        <v>0.10172453703703704</v>
      </c>
      <c r="I1123" t="s">
        <v>48</v>
      </c>
      <c r="J1123" t="s">
        <v>75</v>
      </c>
      <c r="K1123" s="5">
        <f>28312 / 86400</f>
        <v>0.32768518518518519</v>
      </c>
      <c r="L1123" s="5">
        <f>811 / 86400</f>
        <v>9.3865740740740732E-3</v>
      </c>
    </row>
    <row r="1124" spans="1:12" x14ac:dyDescent="0.25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</row>
    <row r="1125" spans="1:12" x14ac:dyDescent="0.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</row>
    <row r="1126" spans="1:12" s="10" customFormat="1" ht="20.100000000000001" customHeight="1" x14ac:dyDescent="0.35">
      <c r="A1126" s="12" t="s">
        <v>467</v>
      </c>
      <c r="B1126" s="12"/>
      <c r="C1126" s="12"/>
      <c r="D1126" s="12"/>
      <c r="E1126" s="12"/>
      <c r="F1126" s="12"/>
      <c r="G1126" s="12"/>
      <c r="H1126" s="12"/>
      <c r="I1126" s="12"/>
      <c r="J1126" s="12"/>
    </row>
    <row r="1127" spans="1:12" x14ac:dyDescent="0.25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</row>
    <row r="1128" spans="1:12" ht="30" x14ac:dyDescent="0.25">
      <c r="A1128" s="2" t="s">
        <v>6</v>
      </c>
      <c r="B1128" s="2" t="s">
        <v>7</v>
      </c>
      <c r="C1128" s="2" t="s">
        <v>8</v>
      </c>
      <c r="D1128" s="2" t="s">
        <v>9</v>
      </c>
      <c r="E1128" s="2" t="s">
        <v>10</v>
      </c>
      <c r="F1128" s="2" t="s">
        <v>11</v>
      </c>
      <c r="G1128" s="2" t="s">
        <v>12</v>
      </c>
      <c r="H1128" s="2" t="s">
        <v>13</v>
      </c>
      <c r="I1128" s="2" t="s">
        <v>14</v>
      </c>
      <c r="J1128" s="2" t="s">
        <v>15</v>
      </c>
      <c r="K1128" s="2" t="s">
        <v>16</v>
      </c>
      <c r="L1128" s="2" t="s">
        <v>17</v>
      </c>
    </row>
    <row r="1129" spans="1:12" x14ac:dyDescent="0.25">
      <c r="A1129" s="3">
        <v>45691.265949074077</v>
      </c>
      <c r="B1129" t="s">
        <v>101</v>
      </c>
      <c r="C1129" s="3">
        <v>45691.329733796301</v>
      </c>
      <c r="D1129" t="s">
        <v>142</v>
      </c>
      <c r="E1129" s="4">
        <v>35.131</v>
      </c>
      <c r="F1129" s="4">
        <v>190462.84299999999</v>
      </c>
      <c r="G1129" s="4">
        <v>190497.97399999999</v>
      </c>
      <c r="H1129" s="5">
        <f>1039 / 86400</f>
        <v>1.2025462962962963E-2</v>
      </c>
      <c r="I1129" t="s">
        <v>169</v>
      </c>
      <c r="J1129" t="s">
        <v>170</v>
      </c>
      <c r="K1129" s="5">
        <f>5510 / 86400</f>
        <v>6.3773148148148148E-2</v>
      </c>
      <c r="L1129" s="5">
        <f>24230 / 86400</f>
        <v>0.28043981481481484</v>
      </c>
    </row>
    <row r="1130" spans="1:12" x14ac:dyDescent="0.25">
      <c r="A1130" s="3">
        <v>45691.344224537039</v>
      </c>
      <c r="B1130" t="s">
        <v>142</v>
      </c>
      <c r="C1130" s="3">
        <v>45691.467766203699</v>
      </c>
      <c r="D1130" t="s">
        <v>161</v>
      </c>
      <c r="E1130" s="4">
        <v>51.21</v>
      </c>
      <c r="F1130" s="4">
        <v>190497.97399999999</v>
      </c>
      <c r="G1130" s="4">
        <v>190549.18400000001</v>
      </c>
      <c r="H1130" s="5">
        <f>3160 / 86400</f>
        <v>3.6574074074074071E-2</v>
      </c>
      <c r="I1130" t="s">
        <v>78</v>
      </c>
      <c r="J1130" t="s">
        <v>47</v>
      </c>
      <c r="K1130" s="5">
        <f>10674 / 86400</f>
        <v>0.12354166666666666</v>
      </c>
      <c r="L1130" s="5">
        <f>1178 / 86400</f>
        <v>1.3634259259259259E-2</v>
      </c>
    </row>
    <row r="1131" spans="1:12" x14ac:dyDescent="0.25">
      <c r="A1131" s="3">
        <v>45691.481400462959</v>
      </c>
      <c r="B1131" t="s">
        <v>161</v>
      </c>
      <c r="C1131" s="3">
        <v>45691.610567129625</v>
      </c>
      <c r="D1131" t="s">
        <v>50</v>
      </c>
      <c r="E1131" s="4">
        <v>50.335999999999999</v>
      </c>
      <c r="F1131" s="4">
        <v>190549.18400000001</v>
      </c>
      <c r="G1131" s="4">
        <v>190599.52</v>
      </c>
      <c r="H1131" s="5">
        <f>3219 / 86400</f>
        <v>3.7256944444444447E-2</v>
      </c>
      <c r="I1131" t="s">
        <v>97</v>
      </c>
      <c r="J1131" t="s">
        <v>40</v>
      </c>
      <c r="K1131" s="5">
        <f>11159 / 86400</f>
        <v>0.12915509259259259</v>
      </c>
      <c r="L1131" s="5">
        <f>2458 / 86400</f>
        <v>2.8449074074074075E-2</v>
      </c>
    </row>
    <row r="1132" spans="1:12" x14ac:dyDescent="0.25">
      <c r="A1132" s="3">
        <v>45691.639016203699</v>
      </c>
      <c r="B1132" t="s">
        <v>50</v>
      </c>
      <c r="C1132" s="3">
        <v>45691.642858796295</v>
      </c>
      <c r="D1132" t="s">
        <v>127</v>
      </c>
      <c r="E1132" s="4">
        <v>1.06</v>
      </c>
      <c r="F1132" s="4">
        <v>190599.52</v>
      </c>
      <c r="G1132" s="4">
        <v>190600.58</v>
      </c>
      <c r="H1132" s="5">
        <f>20 / 86400</f>
        <v>2.3148148148148149E-4</v>
      </c>
      <c r="I1132" t="s">
        <v>186</v>
      </c>
      <c r="J1132" t="s">
        <v>155</v>
      </c>
      <c r="K1132" s="5">
        <f>331 / 86400</f>
        <v>3.8310185185185183E-3</v>
      </c>
      <c r="L1132" s="5">
        <f>1016 / 86400</f>
        <v>1.1759259259259259E-2</v>
      </c>
    </row>
    <row r="1133" spans="1:12" x14ac:dyDescent="0.25">
      <c r="A1133" s="3">
        <v>45691.65461805556</v>
      </c>
      <c r="B1133" t="s">
        <v>127</v>
      </c>
      <c r="C1133" s="3">
        <v>45691.656099537038</v>
      </c>
      <c r="D1133" t="s">
        <v>86</v>
      </c>
      <c r="E1133" s="4">
        <v>2.5999999999999999E-2</v>
      </c>
      <c r="F1133" s="4">
        <v>190600.58</v>
      </c>
      <c r="G1133" s="4">
        <v>190600.606</v>
      </c>
      <c r="H1133" s="5">
        <f>60 / 86400</f>
        <v>6.9444444444444447E-4</v>
      </c>
      <c r="I1133" t="s">
        <v>137</v>
      </c>
      <c r="J1133" t="s">
        <v>62</v>
      </c>
      <c r="K1133" s="5">
        <f>128 / 86400</f>
        <v>1.4814814814814814E-3</v>
      </c>
      <c r="L1133" s="5">
        <f>3777 / 86400</f>
        <v>4.3715277777777777E-2</v>
      </c>
    </row>
    <row r="1134" spans="1:12" x14ac:dyDescent="0.25">
      <c r="A1134" s="3">
        <v>45691.699814814812</v>
      </c>
      <c r="B1134" t="s">
        <v>127</v>
      </c>
      <c r="C1134" s="3">
        <v>45691.703171296293</v>
      </c>
      <c r="D1134" t="s">
        <v>127</v>
      </c>
      <c r="E1134" s="4">
        <v>0.183</v>
      </c>
      <c r="F1134" s="4">
        <v>190600.606</v>
      </c>
      <c r="G1134" s="4">
        <v>190600.78899999999</v>
      </c>
      <c r="H1134" s="5">
        <f>159 / 86400</f>
        <v>1.8402777777777777E-3</v>
      </c>
      <c r="I1134" t="s">
        <v>140</v>
      </c>
      <c r="J1134" t="s">
        <v>137</v>
      </c>
      <c r="K1134" s="5">
        <f>290 / 86400</f>
        <v>3.3564814814814816E-3</v>
      </c>
      <c r="L1134" s="5">
        <f>435 / 86400</f>
        <v>5.0347222222222225E-3</v>
      </c>
    </row>
    <row r="1135" spans="1:12" x14ac:dyDescent="0.25">
      <c r="A1135" s="3">
        <v>45691.70820601852</v>
      </c>
      <c r="B1135" t="s">
        <v>127</v>
      </c>
      <c r="C1135" s="3">
        <v>45691.874166666668</v>
      </c>
      <c r="D1135" t="s">
        <v>107</v>
      </c>
      <c r="E1135" s="4">
        <v>61.878</v>
      </c>
      <c r="F1135" s="4">
        <v>190600.78899999999</v>
      </c>
      <c r="G1135" s="4">
        <v>190662.66699999999</v>
      </c>
      <c r="H1135" s="5">
        <f>4360 / 86400</f>
        <v>5.0462962962962966E-2</v>
      </c>
      <c r="I1135" t="s">
        <v>23</v>
      </c>
      <c r="J1135" t="s">
        <v>40</v>
      </c>
      <c r="K1135" s="5">
        <f>14338 / 86400</f>
        <v>0.16594907407407408</v>
      </c>
      <c r="L1135" s="5">
        <f>188 / 86400</f>
        <v>2.1759259259259258E-3</v>
      </c>
    </row>
    <row r="1136" spans="1:12" x14ac:dyDescent="0.25">
      <c r="A1136" s="3">
        <v>45691.876342592594</v>
      </c>
      <c r="B1136" t="s">
        <v>107</v>
      </c>
      <c r="C1136" s="3">
        <v>45691.876539351855</v>
      </c>
      <c r="D1136" t="s">
        <v>107</v>
      </c>
      <c r="E1136" s="4">
        <v>1.2999999999999999E-2</v>
      </c>
      <c r="F1136" s="4">
        <v>190662.66699999999</v>
      </c>
      <c r="G1136" s="4">
        <v>190662.68</v>
      </c>
      <c r="H1136" s="5">
        <f>0 / 86400</f>
        <v>0</v>
      </c>
      <c r="I1136" t="s">
        <v>136</v>
      </c>
      <c r="J1136" t="s">
        <v>128</v>
      </c>
      <c r="K1136" s="5">
        <f>16 / 86400</f>
        <v>1.8518518518518518E-4</v>
      </c>
      <c r="L1136" s="5">
        <f>270 / 86400</f>
        <v>3.1250000000000002E-3</v>
      </c>
    </row>
    <row r="1137" spans="1:12" x14ac:dyDescent="0.25">
      <c r="A1137" s="3">
        <v>45691.879664351851</v>
      </c>
      <c r="B1137" t="s">
        <v>107</v>
      </c>
      <c r="C1137" s="3">
        <v>45691.884479166663</v>
      </c>
      <c r="D1137" t="s">
        <v>101</v>
      </c>
      <c r="E1137" s="4">
        <v>1.476</v>
      </c>
      <c r="F1137" s="4">
        <v>190662.68</v>
      </c>
      <c r="G1137" s="4">
        <v>190664.15599999999</v>
      </c>
      <c r="H1137" s="5">
        <f>120 / 86400</f>
        <v>1.3888888888888889E-3</v>
      </c>
      <c r="I1137" t="s">
        <v>197</v>
      </c>
      <c r="J1137" t="s">
        <v>59</v>
      </c>
      <c r="K1137" s="5">
        <f>416 / 86400</f>
        <v>4.8148148148148152E-3</v>
      </c>
      <c r="L1137" s="5">
        <f>344 / 86400</f>
        <v>3.9814814814814817E-3</v>
      </c>
    </row>
    <row r="1138" spans="1:12" x14ac:dyDescent="0.25">
      <c r="A1138" s="3">
        <v>45691.888460648144</v>
      </c>
      <c r="B1138" t="s">
        <v>101</v>
      </c>
      <c r="C1138" s="3">
        <v>45691.889351851853</v>
      </c>
      <c r="D1138" t="s">
        <v>101</v>
      </c>
      <c r="E1138" s="4">
        <v>0.123</v>
      </c>
      <c r="F1138" s="4">
        <v>190664.15599999999</v>
      </c>
      <c r="G1138" s="4">
        <v>190664.27900000001</v>
      </c>
      <c r="H1138" s="5">
        <f>0 / 86400</f>
        <v>0</v>
      </c>
      <c r="I1138" t="s">
        <v>76</v>
      </c>
      <c r="J1138" t="s">
        <v>32</v>
      </c>
      <c r="K1138" s="5">
        <f>76 / 86400</f>
        <v>8.7962962962962962E-4</v>
      </c>
      <c r="L1138" s="5">
        <f>9559 / 86400</f>
        <v>0.11063657407407407</v>
      </c>
    </row>
    <row r="1139" spans="1:12" x14ac:dyDescent="0.25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</row>
    <row r="1140" spans="1:12" x14ac:dyDescent="0.25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</row>
    <row r="1141" spans="1:12" s="10" customFormat="1" ht="20.100000000000001" customHeight="1" x14ac:dyDescent="0.35">
      <c r="A1141" s="12" t="s">
        <v>468</v>
      </c>
      <c r="B1141" s="12"/>
      <c r="C1141" s="12"/>
      <c r="D1141" s="12"/>
      <c r="E1141" s="12"/>
      <c r="F1141" s="12"/>
      <c r="G1141" s="12"/>
      <c r="H1141" s="12"/>
      <c r="I1141" s="12"/>
      <c r="J1141" s="12"/>
    </row>
    <row r="1142" spans="1:12" x14ac:dyDescent="0.25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</row>
    <row r="1143" spans="1:12" ht="30" x14ac:dyDescent="0.25">
      <c r="A1143" s="2" t="s">
        <v>6</v>
      </c>
      <c r="B1143" s="2" t="s">
        <v>7</v>
      </c>
      <c r="C1143" s="2" t="s">
        <v>8</v>
      </c>
      <c r="D1143" s="2" t="s">
        <v>9</v>
      </c>
      <c r="E1143" s="2" t="s">
        <v>10</v>
      </c>
      <c r="F1143" s="2" t="s">
        <v>11</v>
      </c>
      <c r="G1143" s="2" t="s">
        <v>12</v>
      </c>
      <c r="H1143" s="2" t="s">
        <v>13</v>
      </c>
      <c r="I1143" s="2" t="s">
        <v>14</v>
      </c>
      <c r="J1143" s="2" t="s">
        <v>15</v>
      </c>
      <c r="K1143" s="2" t="s">
        <v>16</v>
      </c>
      <c r="L1143" s="2" t="s">
        <v>17</v>
      </c>
    </row>
    <row r="1144" spans="1:12" x14ac:dyDescent="0.25">
      <c r="A1144" s="3">
        <v>45691.203993055555</v>
      </c>
      <c r="B1144" t="s">
        <v>86</v>
      </c>
      <c r="C1144" s="3">
        <v>45691.433946759258</v>
      </c>
      <c r="D1144" t="s">
        <v>142</v>
      </c>
      <c r="E1144" s="4">
        <v>101.31699999999999</v>
      </c>
      <c r="F1144" s="4">
        <v>520519.10499999998</v>
      </c>
      <c r="G1144" s="4">
        <v>520620.42200000002</v>
      </c>
      <c r="H1144" s="5">
        <f>6758 / 86400</f>
        <v>7.8217592592592589E-2</v>
      </c>
      <c r="I1144" t="s">
        <v>102</v>
      </c>
      <c r="J1144" t="s">
        <v>20</v>
      </c>
      <c r="K1144" s="5">
        <f>19867 / 86400</f>
        <v>0.22994212962962962</v>
      </c>
      <c r="L1144" s="5">
        <f>18915 / 86400</f>
        <v>0.21892361111111111</v>
      </c>
    </row>
    <row r="1145" spans="1:12" x14ac:dyDescent="0.25">
      <c r="A1145" s="3">
        <v>45691.448877314819</v>
      </c>
      <c r="B1145" t="s">
        <v>142</v>
      </c>
      <c r="C1145" s="3">
        <v>45691.45177083333</v>
      </c>
      <c r="D1145" t="s">
        <v>127</v>
      </c>
      <c r="E1145" s="4">
        <v>1.282</v>
      </c>
      <c r="F1145" s="4">
        <v>520620.42200000002</v>
      </c>
      <c r="G1145" s="4">
        <v>520621.70400000003</v>
      </c>
      <c r="H1145" s="5">
        <f>20 / 86400</f>
        <v>2.3148148148148149E-4</v>
      </c>
      <c r="I1145" t="s">
        <v>176</v>
      </c>
      <c r="J1145" t="s">
        <v>35</v>
      </c>
      <c r="K1145" s="5">
        <f>249 / 86400</f>
        <v>2.8819444444444444E-3</v>
      </c>
      <c r="L1145" s="5">
        <f>579 / 86400</f>
        <v>6.7013888888888887E-3</v>
      </c>
    </row>
    <row r="1146" spans="1:12" x14ac:dyDescent="0.25">
      <c r="A1146" s="3">
        <v>45691.458472222221</v>
      </c>
      <c r="B1146" t="s">
        <v>127</v>
      </c>
      <c r="C1146" s="3">
        <v>45691.461909722224</v>
      </c>
      <c r="D1146" t="s">
        <v>384</v>
      </c>
      <c r="E1146" s="4">
        <v>0.68200000000000005</v>
      </c>
      <c r="F1146" s="4">
        <v>520621.70400000003</v>
      </c>
      <c r="G1146" s="4">
        <v>520622.386</v>
      </c>
      <c r="H1146" s="5">
        <f>119 / 86400</f>
        <v>1.3773148148148147E-3</v>
      </c>
      <c r="I1146" t="s">
        <v>196</v>
      </c>
      <c r="J1146" t="s">
        <v>151</v>
      </c>
      <c r="K1146" s="5">
        <f>297 / 86400</f>
        <v>3.4375E-3</v>
      </c>
      <c r="L1146" s="5">
        <f>1930 / 86400</f>
        <v>2.2337962962962962E-2</v>
      </c>
    </row>
    <row r="1147" spans="1:12" x14ac:dyDescent="0.25">
      <c r="A1147" s="3">
        <v>45691.484247685185</v>
      </c>
      <c r="B1147" t="s">
        <v>384</v>
      </c>
      <c r="C1147" s="3">
        <v>45691.48709490741</v>
      </c>
      <c r="D1147" t="s">
        <v>127</v>
      </c>
      <c r="E1147" s="4">
        <v>0.58799999999999997</v>
      </c>
      <c r="F1147" s="4">
        <v>520622.386</v>
      </c>
      <c r="G1147" s="4">
        <v>520622.97399999999</v>
      </c>
      <c r="H1147" s="5">
        <f>119 / 86400</f>
        <v>1.3773148148148147E-3</v>
      </c>
      <c r="I1147" t="s">
        <v>179</v>
      </c>
      <c r="J1147" t="s">
        <v>79</v>
      </c>
      <c r="K1147" s="5">
        <f>246 / 86400</f>
        <v>2.8472222222222223E-3</v>
      </c>
      <c r="L1147" s="5">
        <f>493 / 86400</f>
        <v>5.7060185185185183E-3</v>
      </c>
    </row>
    <row r="1148" spans="1:12" x14ac:dyDescent="0.25">
      <c r="A1148" s="3">
        <v>45691.492800925931</v>
      </c>
      <c r="B1148" t="s">
        <v>127</v>
      </c>
      <c r="C1148" s="3">
        <v>45691.752951388888</v>
      </c>
      <c r="D1148" t="s">
        <v>127</v>
      </c>
      <c r="E1148" s="4">
        <v>100.29300000000001</v>
      </c>
      <c r="F1148" s="4">
        <v>520622.97399999999</v>
      </c>
      <c r="G1148" s="4">
        <v>520723.26699999999</v>
      </c>
      <c r="H1148" s="5">
        <f>8179 / 86400</f>
        <v>9.4664351851851847E-2</v>
      </c>
      <c r="I1148" t="s">
        <v>37</v>
      </c>
      <c r="J1148" t="s">
        <v>40</v>
      </c>
      <c r="K1148" s="5">
        <f>22476 / 86400</f>
        <v>0.26013888888888886</v>
      </c>
      <c r="L1148" s="5">
        <f>315 / 86400</f>
        <v>3.6458333333333334E-3</v>
      </c>
    </row>
    <row r="1149" spans="1:12" x14ac:dyDescent="0.25">
      <c r="A1149" s="3">
        <v>45691.756597222222</v>
      </c>
      <c r="B1149" t="s">
        <v>127</v>
      </c>
      <c r="C1149" s="3">
        <v>45691.759293981479</v>
      </c>
      <c r="D1149" t="s">
        <v>86</v>
      </c>
      <c r="E1149" s="4">
        <v>0.19800000000000001</v>
      </c>
      <c r="F1149" s="4">
        <v>520723.26699999999</v>
      </c>
      <c r="G1149" s="4">
        <v>520723.46500000003</v>
      </c>
      <c r="H1149" s="5">
        <f>100 / 86400</f>
        <v>1.1574074074074073E-3</v>
      </c>
      <c r="I1149" t="s">
        <v>155</v>
      </c>
      <c r="J1149" t="s">
        <v>128</v>
      </c>
      <c r="K1149" s="5">
        <f>233 / 86400</f>
        <v>2.6967592592592594E-3</v>
      </c>
      <c r="L1149" s="5">
        <f>20796 / 86400</f>
        <v>0.24069444444444443</v>
      </c>
    </row>
    <row r="1150" spans="1:12" x14ac:dyDescent="0.25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</row>
    <row r="1151" spans="1:12" x14ac:dyDescent="0.25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</row>
    <row r="1152" spans="1:12" s="10" customFormat="1" ht="20.100000000000001" customHeight="1" x14ac:dyDescent="0.35">
      <c r="A1152" s="12" t="s">
        <v>469</v>
      </c>
      <c r="B1152" s="12"/>
      <c r="C1152" s="12"/>
      <c r="D1152" s="12"/>
      <c r="E1152" s="12"/>
      <c r="F1152" s="12"/>
      <c r="G1152" s="12"/>
      <c r="H1152" s="12"/>
      <c r="I1152" s="12"/>
      <c r="J1152" s="12"/>
    </row>
    <row r="1153" spans="1:12" x14ac:dyDescent="0.25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</row>
    <row r="1154" spans="1:12" ht="30" x14ac:dyDescent="0.25">
      <c r="A1154" s="2" t="s">
        <v>6</v>
      </c>
      <c r="B1154" s="2" t="s">
        <v>7</v>
      </c>
      <c r="C1154" s="2" t="s">
        <v>8</v>
      </c>
      <c r="D1154" s="2" t="s">
        <v>9</v>
      </c>
      <c r="E1154" s="2" t="s">
        <v>10</v>
      </c>
      <c r="F1154" s="2" t="s">
        <v>11</v>
      </c>
      <c r="G1154" s="2" t="s">
        <v>12</v>
      </c>
      <c r="H1154" s="2" t="s">
        <v>13</v>
      </c>
      <c r="I1154" s="2" t="s">
        <v>14</v>
      </c>
      <c r="J1154" s="2" t="s">
        <v>15</v>
      </c>
      <c r="K1154" s="2" t="s">
        <v>16</v>
      </c>
      <c r="L1154" s="2" t="s">
        <v>17</v>
      </c>
    </row>
    <row r="1155" spans="1:12" x14ac:dyDescent="0.25">
      <c r="A1155" s="3">
        <v>45691.257962962962</v>
      </c>
      <c r="B1155" t="s">
        <v>89</v>
      </c>
      <c r="C1155" s="3">
        <v>45691.259456018517</v>
      </c>
      <c r="D1155" t="s">
        <v>297</v>
      </c>
      <c r="E1155" s="4">
        <v>0.129</v>
      </c>
      <c r="F1155" s="4">
        <v>21140.667000000001</v>
      </c>
      <c r="G1155" s="4">
        <v>21140.795999999998</v>
      </c>
      <c r="H1155" s="5">
        <f>39 / 86400</f>
        <v>4.5138888888888887E-4</v>
      </c>
      <c r="I1155" t="s">
        <v>79</v>
      </c>
      <c r="J1155" t="s">
        <v>132</v>
      </c>
      <c r="K1155" s="5">
        <f>128 / 86400</f>
        <v>1.4814814814814814E-3</v>
      </c>
      <c r="L1155" s="5">
        <f>22643 / 86400</f>
        <v>0.26207175925925924</v>
      </c>
    </row>
    <row r="1156" spans="1:12" x14ac:dyDescent="0.25">
      <c r="A1156" s="3">
        <v>45691.263564814813</v>
      </c>
      <c r="B1156" t="s">
        <v>297</v>
      </c>
      <c r="C1156" s="3">
        <v>45691.269942129627</v>
      </c>
      <c r="D1156" t="s">
        <v>142</v>
      </c>
      <c r="E1156" s="4">
        <v>2.0619999999999998</v>
      </c>
      <c r="F1156" s="4">
        <v>21140.795999999998</v>
      </c>
      <c r="G1156" s="4">
        <v>21142.858</v>
      </c>
      <c r="H1156" s="5">
        <f>20 / 86400</f>
        <v>2.3148148148148149E-4</v>
      </c>
      <c r="I1156" t="s">
        <v>159</v>
      </c>
      <c r="J1156" t="s">
        <v>59</v>
      </c>
      <c r="K1156" s="5">
        <f>551 / 86400</f>
        <v>6.3773148148148148E-3</v>
      </c>
      <c r="L1156" s="5">
        <f>280 / 86400</f>
        <v>3.2407407407407406E-3</v>
      </c>
    </row>
    <row r="1157" spans="1:12" x14ac:dyDescent="0.25">
      <c r="A1157" s="3">
        <v>45691.273182870369</v>
      </c>
      <c r="B1157" t="s">
        <v>142</v>
      </c>
      <c r="C1157" s="3">
        <v>45691.27721064815</v>
      </c>
      <c r="D1157" t="s">
        <v>157</v>
      </c>
      <c r="E1157" s="4">
        <v>0.76200000000000001</v>
      </c>
      <c r="F1157" s="4">
        <v>21142.858</v>
      </c>
      <c r="G1157" s="4">
        <v>21143.62</v>
      </c>
      <c r="H1157" s="5">
        <f>140 / 86400</f>
        <v>1.6203703703703703E-3</v>
      </c>
      <c r="I1157" t="s">
        <v>75</v>
      </c>
      <c r="J1157" t="s">
        <v>151</v>
      </c>
      <c r="K1157" s="5">
        <f>347 / 86400</f>
        <v>4.0162037037037041E-3</v>
      </c>
      <c r="L1157" s="5">
        <f>23 / 86400</f>
        <v>2.6620370370370372E-4</v>
      </c>
    </row>
    <row r="1158" spans="1:12" x14ac:dyDescent="0.25">
      <c r="A1158" s="3">
        <v>45691.27747685185</v>
      </c>
      <c r="B1158" t="s">
        <v>157</v>
      </c>
      <c r="C1158" s="3">
        <v>45691.277650462958</v>
      </c>
      <c r="D1158" t="s">
        <v>157</v>
      </c>
      <c r="E1158" s="4">
        <v>7.0000000000000001E-3</v>
      </c>
      <c r="F1158" s="4">
        <v>21143.62</v>
      </c>
      <c r="G1158" s="4">
        <v>21143.627</v>
      </c>
      <c r="H1158" s="5">
        <f>0 / 86400</f>
        <v>0</v>
      </c>
      <c r="I1158" t="s">
        <v>136</v>
      </c>
      <c r="J1158" t="s">
        <v>137</v>
      </c>
      <c r="K1158" s="5">
        <f>14 / 86400</f>
        <v>1.6203703703703703E-4</v>
      </c>
      <c r="L1158" s="5">
        <f>141 / 86400</f>
        <v>1.6319444444444445E-3</v>
      </c>
    </row>
    <row r="1159" spans="1:12" x14ac:dyDescent="0.25">
      <c r="A1159" s="3">
        <v>45691.279282407406</v>
      </c>
      <c r="B1159" t="s">
        <v>157</v>
      </c>
      <c r="C1159" s="3">
        <v>45691.40834490741</v>
      </c>
      <c r="D1159" t="s">
        <v>161</v>
      </c>
      <c r="E1159" s="4">
        <v>50.41</v>
      </c>
      <c r="F1159" s="4">
        <v>21143.627</v>
      </c>
      <c r="G1159" s="4">
        <v>21194.037</v>
      </c>
      <c r="H1159" s="5">
        <f>3700 / 86400</f>
        <v>4.2824074074074077E-2</v>
      </c>
      <c r="I1159" t="s">
        <v>95</v>
      </c>
      <c r="J1159" t="s">
        <v>40</v>
      </c>
      <c r="K1159" s="5">
        <f>11151 / 86400</f>
        <v>0.1290625</v>
      </c>
      <c r="L1159" s="5">
        <f>1010 / 86400</f>
        <v>1.1689814814814814E-2</v>
      </c>
    </row>
    <row r="1160" spans="1:12" x14ac:dyDescent="0.25">
      <c r="A1160" s="3">
        <v>45691.420034722221</v>
      </c>
      <c r="B1160" t="s">
        <v>161</v>
      </c>
      <c r="C1160" s="3">
        <v>45691.557337962964</v>
      </c>
      <c r="D1160" t="s">
        <v>154</v>
      </c>
      <c r="E1160" s="4">
        <v>49.835000000000001</v>
      </c>
      <c r="F1160" s="4">
        <v>21194.037</v>
      </c>
      <c r="G1160" s="4">
        <v>21243.871999999999</v>
      </c>
      <c r="H1160" s="5">
        <f>3580 / 86400</f>
        <v>4.1435185185185186E-2</v>
      </c>
      <c r="I1160" t="s">
        <v>167</v>
      </c>
      <c r="J1160" t="s">
        <v>30</v>
      </c>
      <c r="K1160" s="5">
        <f>11863 / 86400</f>
        <v>0.13730324074074074</v>
      </c>
      <c r="L1160" s="5">
        <f>95 / 86400</f>
        <v>1.0995370370370371E-3</v>
      </c>
    </row>
    <row r="1161" spans="1:12" x14ac:dyDescent="0.25">
      <c r="A1161" s="3">
        <v>45691.558437500003</v>
      </c>
      <c r="B1161" t="s">
        <v>154</v>
      </c>
      <c r="C1161" s="3">
        <v>45691.558761574073</v>
      </c>
      <c r="D1161" t="s">
        <v>127</v>
      </c>
      <c r="E1161" s="4">
        <v>3.3000000000000002E-2</v>
      </c>
      <c r="F1161" s="4">
        <v>21243.871999999999</v>
      </c>
      <c r="G1161" s="4">
        <v>21243.904999999999</v>
      </c>
      <c r="H1161" s="5">
        <f>0 / 86400</f>
        <v>0</v>
      </c>
      <c r="I1161" t="s">
        <v>136</v>
      </c>
      <c r="J1161" t="s">
        <v>132</v>
      </c>
      <c r="K1161" s="5">
        <f>27 / 86400</f>
        <v>3.1250000000000001E-4</v>
      </c>
      <c r="L1161" s="5">
        <f>879 / 86400</f>
        <v>1.0173611111111111E-2</v>
      </c>
    </row>
    <row r="1162" spans="1:12" x14ac:dyDescent="0.25">
      <c r="A1162" s="3">
        <v>45691.568935185191</v>
      </c>
      <c r="B1162" t="s">
        <v>127</v>
      </c>
      <c r="C1162" s="3">
        <v>45691.572233796294</v>
      </c>
      <c r="D1162" t="s">
        <v>46</v>
      </c>
      <c r="E1162" s="4">
        <v>0.97</v>
      </c>
      <c r="F1162" s="4">
        <v>21243.904999999999</v>
      </c>
      <c r="G1162" s="4">
        <v>21244.875</v>
      </c>
      <c r="H1162" s="5">
        <f>20 / 86400</f>
        <v>2.3148148148148149E-4</v>
      </c>
      <c r="I1162" t="s">
        <v>264</v>
      </c>
      <c r="J1162" t="s">
        <v>155</v>
      </c>
      <c r="K1162" s="5">
        <f>285 / 86400</f>
        <v>3.2986111111111111E-3</v>
      </c>
      <c r="L1162" s="5">
        <f>1869 / 86400</f>
        <v>2.1631944444444443E-2</v>
      </c>
    </row>
    <row r="1163" spans="1:12" x14ac:dyDescent="0.25">
      <c r="A1163" s="3">
        <v>45691.593865740739</v>
      </c>
      <c r="B1163" t="s">
        <v>46</v>
      </c>
      <c r="C1163" s="3">
        <v>45691.857129629629</v>
      </c>
      <c r="D1163" t="s">
        <v>384</v>
      </c>
      <c r="E1163" s="4">
        <v>94.709000000000003</v>
      </c>
      <c r="F1163" s="4">
        <v>21244.875</v>
      </c>
      <c r="G1163" s="4">
        <v>21339.583999999999</v>
      </c>
      <c r="H1163" s="5">
        <f>7100 / 86400</f>
        <v>8.217592592592593E-2</v>
      </c>
      <c r="I1163" t="s">
        <v>57</v>
      </c>
      <c r="J1163" t="s">
        <v>30</v>
      </c>
      <c r="K1163" s="5">
        <f>22746 / 86400</f>
        <v>0.26326388888888891</v>
      </c>
      <c r="L1163" s="5">
        <f>320 / 86400</f>
        <v>3.7037037037037038E-3</v>
      </c>
    </row>
    <row r="1164" spans="1:12" x14ac:dyDescent="0.25">
      <c r="A1164" s="3">
        <v>45691.860833333332</v>
      </c>
      <c r="B1164" t="s">
        <v>384</v>
      </c>
      <c r="C1164" s="3">
        <v>45691.862939814819</v>
      </c>
      <c r="D1164" t="s">
        <v>127</v>
      </c>
      <c r="E1164" s="4">
        <v>0.70799999999999996</v>
      </c>
      <c r="F1164" s="4">
        <v>21339.583999999999</v>
      </c>
      <c r="G1164" s="4">
        <v>21340.292000000001</v>
      </c>
      <c r="H1164" s="5">
        <f>19 / 86400</f>
        <v>2.199074074074074E-4</v>
      </c>
      <c r="I1164" t="s">
        <v>172</v>
      </c>
      <c r="J1164" t="s">
        <v>45</v>
      </c>
      <c r="K1164" s="5">
        <f>182 / 86400</f>
        <v>2.1064814814814813E-3</v>
      </c>
      <c r="L1164" s="5">
        <f>423 / 86400</f>
        <v>4.8958333333333336E-3</v>
      </c>
    </row>
    <row r="1165" spans="1:12" x14ac:dyDescent="0.25">
      <c r="A1165" s="3">
        <v>45691.867835648147</v>
      </c>
      <c r="B1165" t="s">
        <v>127</v>
      </c>
      <c r="C1165" s="3">
        <v>45691.872361111113</v>
      </c>
      <c r="D1165" t="s">
        <v>89</v>
      </c>
      <c r="E1165" s="4">
        <v>0.74399999999999999</v>
      </c>
      <c r="F1165" s="4">
        <v>21340.292000000001</v>
      </c>
      <c r="G1165" s="4">
        <v>21341.036</v>
      </c>
      <c r="H1165" s="5">
        <f>160 / 86400</f>
        <v>1.8518518518518519E-3</v>
      </c>
      <c r="I1165" t="s">
        <v>172</v>
      </c>
      <c r="J1165" t="s">
        <v>76</v>
      </c>
      <c r="K1165" s="5">
        <f>391 / 86400</f>
        <v>4.5254629629629629E-3</v>
      </c>
      <c r="L1165" s="5">
        <f>11027 / 86400</f>
        <v>0.12762731481481482</v>
      </c>
    </row>
    <row r="1166" spans="1:12" x14ac:dyDescent="0.25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</row>
    <row r="1167" spans="1:12" x14ac:dyDescent="0.25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</row>
    <row r="1168" spans="1:12" s="10" customFormat="1" ht="20.100000000000001" customHeight="1" x14ac:dyDescent="0.35">
      <c r="A1168" s="12" t="s">
        <v>470</v>
      </c>
      <c r="B1168" s="12"/>
      <c r="C1168" s="12"/>
      <c r="D1168" s="12"/>
      <c r="E1168" s="12"/>
      <c r="F1168" s="12"/>
      <c r="G1168" s="12"/>
      <c r="H1168" s="12"/>
      <c r="I1168" s="12"/>
      <c r="J1168" s="12"/>
    </row>
    <row r="1169" spans="1:12" x14ac:dyDescent="0.25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</row>
    <row r="1170" spans="1:12" ht="30" x14ac:dyDescent="0.25">
      <c r="A1170" s="2" t="s">
        <v>6</v>
      </c>
      <c r="B1170" s="2" t="s">
        <v>7</v>
      </c>
      <c r="C1170" s="2" t="s">
        <v>8</v>
      </c>
      <c r="D1170" s="2" t="s">
        <v>9</v>
      </c>
      <c r="E1170" s="2" t="s">
        <v>10</v>
      </c>
      <c r="F1170" s="2" t="s">
        <v>11</v>
      </c>
      <c r="G1170" s="2" t="s">
        <v>12</v>
      </c>
      <c r="H1170" s="2" t="s">
        <v>13</v>
      </c>
      <c r="I1170" s="2" t="s">
        <v>14</v>
      </c>
      <c r="J1170" s="2" t="s">
        <v>15</v>
      </c>
      <c r="K1170" s="2" t="s">
        <v>16</v>
      </c>
      <c r="L1170" s="2" t="s">
        <v>17</v>
      </c>
    </row>
    <row r="1171" spans="1:12" x14ac:dyDescent="0.25">
      <c r="A1171" s="3">
        <v>45691.223900462966</v>
      </c>
      <c r="B1171" t="s">
        <v>38</v>
      </c>
      <c r="C1171" s="3">
        <v>45691.445983796293</v>
      </c>
      <c r="D1171" t="s">
        <v>127</v>
      </c>
      <c r="E1171" s="4">
        <v>80.510999999999996</v>
      </c>
      <c r="F1171" s="4">
        <v>62625.373</v>
      </c>
      <c r="G1171" s="4">
        <v>62705.883999999998</v>
      </c>
      <c r="H1171" s="5">
        <f>7216 / 86400</f>
        <v>8.351851851851852E-2</v>
      </c>
      <c r="I1171" t="s">
        <v>97</v>
      </c>
      <c r="J1171" t="s">
        <v>30</v>
      </c>
      <c r="K1171" s="5">
        <f>19188 / 86400</f>
        <v>0.22208333333333333</v>
      </c>
      <c r="L1171" s="5">
        <f>19809 / 86400</f>
        <v>0.22927083333333334</v>
      </c>
    </row>
    <row r="1172" spans="1:12" x14ac:dyDescent="0.25">
      <c r="A1172" s="3">
        <v>45691.451354166667</v>
      </c>
      <c r="B1172" t="s">
        <v>127</v>
      </c>
      <c r="C1172" s="3">
        <v>45691.453356481477</v>
      </c>
      <c r="D1172" t="s">
        <v>154</v>
      </c>
      <c r="E1172" s="4">
        <v>5.1999999999999998E-2</v>
      </c>
      <c r="F1172" s="4">
        <v>62705.883999999998</v>
      </c>
      <c r="G1172" s="4">
        <v>62705.936000000002</v>
      </c>
      <c r="H1172" s="5">
        <f>119 / 86400</f>
        <v>1.3773148148148147E-3</v>
      </c>
      <c r="I1172" t="s">
        <v>136</v>
      </c>
      <c r="J1172" t="s">
        <v>62</v>
      </c>
      <c r="K1172" s="5">
        <f>173 / 86400</f>
        <v>2.0023148148148148E-3</v>
      </c>
      <c r="L1172" s="5">
        <f>1767 / 86400</f>
        <v>2.045138888888889E-2</v>
      </c>
    </row>
    <row r="1173" spans="1:12" x14ac:dyDescent="0.25">
      <c r="A1173" s="3">
        <v>45691.473807870367</v>
      </c>
      <c r="B1173" t="s">
        <v>154</v>
      </c>
      <c r="C1173" s="3">
        <v>45691.678414351853</v>
      </c>
      <c r="D1173" t="s">
        <v>399</v>
      </c>
      <c r="E1173" s="4">
        <v>92.510999999999996</v>
      </c>
      <c r="F1173" s="4">
        <v>62705.936000000002</v>
      </c>
      <c r="G1173" s="4">
        <v>62798.447</v>
      </c>
      <c r="H1173" s="5">
        <f>5298 / 86400</f>
        <v>6.1319444444444447E-2</v>
      </c>
      <c r="I1173" t="s">
        <v>78</v>
      </c>
      <c r="J1173" t="s">
        <v>35</v>
      </c>
      <c r="K1173" s="5">
        <f>17678 / 86400</f>
        <v>0.20460648148148147</v>
      </c>
      <c r="L1173" s="5">
        <f>331 / 86400</f>
        <v>3.8310185185185183E-3</v>
      </c>
    </row>
    <row r="1174" spans="1:12" x14ac:dyDescent="0.25">
      <c r="A1174" s="3">
        <v>45691.682245370372</v>
      </c>
      <c r="B1174" t="s">
        <v>399</v>
      </c>
      <c r="C1174" s="3">
        <v>45691.684664351851</v>
      </c>
      <c r="D1174" t="s">
        <v>49</v>
      </c>
      <c r="E1174" s="4">
        <v>0.35499999999999998</v>
      </c>
      <c r="F1174" s="4">
        <v>62798.447</v>
      </c>
      <c r="G1174" s="4">
        <v>62798.802000000003</v>
      </c>
      <c r="H1174" s="5">
        <f>120 / 86400</f>
        <v>1.3888888888888889E-3</v>
      </c>
      <c r="I1174" t="s">
        <v>165</v>
      </c>
      <c r="J1174" t="s">
        <v>32</v>
      </c>
      <c r="K1174" s="5">
        <f>208 / 86400</f>
        <v>2.4074074074074076E-3</v>
      </c>
      <c r="L1174" s="5">
        <f>10469 / 86400</f>
        <v>0.12116898148148147</v>
      </c>
    </row>
    <row r="1175" spans="1:12" x14ac:dyDescent="0.25">
      <c r="A1175" s="3">
        <v>45691.805833333332</v>
      </c>
      <c r="B1175" t="s">
        <v>49</v>
      </c>
      <c r="C1175" s="3">
        <v>45691.8199537037</v>
      </c>
      <c r="D1175" t="s">
        <v>38</v>
      </c>
      <c r="E1175" s="4">
        <v>12.62</v>
      </c>
      <c r="F1175" s="4">
        <v>62798.802000000003</v>
      </c>
      <c r="G1175" s="4">
        <v>62811.421999999999</v>
      </c>
      <c r="H1175" s="5">
        <f>119 / 86400</f>
        <v>1.3773148148148147E-3</v>
      </c>
      <c r="I1175" t="s">
        <v>56</v>
      </c>
      <c r="J1175" t="s">
        <v>248</v>
      </c>
      <c r="K1175" s="5">
        <f>1220 / 86400</f>
        <v>1.412037037037037E-2</v>
      </c>
      <c r="L1175" s="5">
        <f>360 / 86400</f>
        <v>4.1666666666666666E-3</v>
      </c>
    </row>
    <row r="1176" spans="1:12" x14ac:dyDescent="0.25">
      <c r="A1176" s="3">
        <v>45691.824120370366</v>
      </c>
      <c r="B1176" t="s">
        <v>38</v>
      </c>
      <c r="C1176" s="3">
        <v>45691.827256944445</v>
      </c>
      <c r="D1176" t="s">
        <v>38</v>
      </c>
      <c r="E1176" s="4">
        <v>1.391</v>
      </c>
      <c r="F1176" s="4">
        <v>62811.421999999999</v>
      </c>
      <c r="G1176" s="4">
        <v>62812.813000000002</v>
      </c>
      <c r="H1176" s="5">
        <f>60 / 86400</f>
        <v>6.9444444444444447E-4</v>
      </c>
      <c r="I1176" t="s">
        <v>359</v>
      </c>
      <c r="J1176" t="s">
        <v>35</v>
      </c>
      <c r="K1176" s="5">
        <f>270 / 86400</f>
        <v>3.1250000000000002E-3</v>
      </c>
      <c r="L1176" s="5">
        <f>14924 / 86400</f>
        <v>0.17273148148148149</v>
      </c>
    </row>
    <row r="1177" spans="1:12" x14ac:dyDescent="0.25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</row>
    <row r="1178" spans="1:12" x14ac:dyDescent="0.25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</row>
    <row r="1179" spans="1:12" s="10" customFormat="1" ht="20.100000000000001" customHeight="1" x14ac:dyDescent="0.35">
      <c r="A1179" s="12" t="s">
        <v>471</v>
      </c>
      <c r="B1179" s="12"/>
      <c r="C1179" s="12"/>
      <c r="D1179" s="12"/>
      <c r="E1179" s="12"/>
      <c r="F1179" s="12"/>
      <c r="G1179" s="12"/>
      <c r="H1179" s="12"/>
      <c r="I1179" s="12"/>
      <c r="J1179" s="12"/>
    </row>
    <row r="1180" spans="1:12" x14ac:dyDescent="0.25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</row>
    <row r="1181" spans="1:12" ht="30" x14ac:dyDescent="0.25">
      <c r="A1181" s="2" t="s">
        <v>6</v>
      </c>
      <c r="B1181" s="2" t="s">
        <v>7</v>
      </c>
      <c r="C1181" s="2" t="s">
        <v>8</v>
      </c>
      <c r="D1181" s="2" t="s">
        <v>9</v>
      </c>
      <c r="E1181" s="2" t="s">
        <v>10</v>
      </c>
      <c r="F1181" s="2" t="s">
        <v>11</v>
      </c>
      <c r="G1181" s="2" t="s">
        <v>12</v>
      </c>
      <c r="H1181" s="2" t="s">
        <v>13</v>
      </c>
      <c r="I1181" s="2" t="s">
        <v>14</v>
      </c>
      <c r="J1181" s="2" t="s">
        <v>15</v>
      </c>
      <c r="K1181" s="2" t="s">
        <v>16</v>
      </c>
      <c r="L1181" s="2" t="s">
        <v>17</v>
      </c>
    </row>
    <row r="1182" spans="1:12" x14ac:dyDescent="0.25">
      <c r="A1182" s="3">
        <v>45691.270995370374</v>
      </c>
      <c r="B1182" t="s">
        <v>103</v>
      </c>
      <c r="C1182" s="3">
        <v>45691.335694444446</v>
      </c>
      <c r="D1182" t="s">
        <v>130</v>
      </c>
      <c r="E1182" s="4">
        <v>34.968000000000004</v>
      </c>
      <c r="F1182" s="4">
        <v>3885.5329999999999</v>
      </c>
      <c r="G1182" s="4">
        <v>3920.5010000000002</v>
      </c>
      <c r="H1182" s="5">
        <f>1099 / 86400</f>
        <v>1.2719907407407407E-2</v>
      </c>
      <c r="I1182" t="s">
        <v>258</v>
      </c>
      <c r="J1182" t="s">
        <v>170</v>
      </c>
      <c r="K1182" s="5">
        <f>5589 / 86400</f>
        <v>6.4687499999999995E-2</v>
      </c>
      <c r="L1182" s="5">
        <f>23932 / 86400</f>
        <v>0.27699074074074076</v>
      </c>
    </row>
    <row r="1183" spans="1:12" x14ac:dyDescent="0.25">
      <c r="A1183" s="3">
        <v>45691.341689814813</v>
      </c>
      <c r="B1183" t="s">
        <v>130</v>
      </c>
      <c r="C1183" s="3">
        <v>45691.585590277777</v>
      </c>
      <c r="D1183" t="s">
        <v>384</v>
      </c>
      <c r="E1183" s="4">
        <v>101.04600000000001</v>
      </c>
      <c r="F1183" s="4">
        <v>3920.5010000000002</v>
      </c>
      <c r="G1183" s="4">
        <v>4021.547</v>
      </c>
      <c r="H1183" s="5">
        <f>6079 / 86400</f>
        <v>7.0358796296296294E-2</v>
      </c>
      <c r="I1183" t="s">
        <v>56</v>
      </c>
      <c r="J1183" t="s">
        <v>47</v>
      </c>
      <c r="K1183" s="5">
        <f>21073 / 86400</f>
        <v>0.24390046296296297</v>
      </c>
      <c r="L1183" s="5">
        <f>408 / 86400</f>
        <v>4.7222222222222223E-3</v>
      </c>
    </row>
    <row r="1184" spans="1:12" x14ac:dyDescent="0.25">
      <c r="A1184" s="3">
        <v>45691.590312500004</v>
      </c>
      <c r="B1184" t="s">
        <v>384</v>
      </c>
      <c r="C1184" s="3">
        <v>45691.594027777777</v>
      </c>
      <c r="D1184" t="s">
        <v>127</v>
      </c>
      <c r="E1184" s="4">
        <v>1.08</v>
      </c>
      <c r="F1184" s="4">
        <v>4021.547</v>
      </c>
      <c r="G1184" s="4">
        <v>4022.627</v>
      </c>
      <c r="H1184" s="5">
        <f>99 / 86400</f>
        <v>1.1458333333333333E-3</v>
      </c>
      <c r="I1184" t="s">
        <v>259</v>
      </c>
      <c r="J1184" t="s">
        <v>155</v>
      </c>
      <c r="K1184" s="5">
        <f>320 / 86400</f>
        <v>3.7037037037037038E-3</v>
      </c>
      <c r="L1184" s="5">
        <f>305 / 86400</f>
        <v>3.5300925925925925E-3</v>
      </c>
    </row>
    <row r="1185" spans="1:12" x14ac:dyDescent="0.25">
      <c r="A1185" s="3">
        <v>45691.597557870366</v>
      </c>
      <c r="B1185" t="s">
        <v>127</v>
      </c>
      <c r="C1185" s="3">
        <v>45691.601712962962</v>
      </c>
      <c r="D1185" t="s">
        <v>142</v>
      </c>
      <c r="E1185" s="4">
        <v>1.3620000000000001</v>
      </c>
      <c r="F1185" s="4">
        <v>4022.627</v>
      </c>
      <c r="G1185" s="4">
        <v>4023.989</v>
      </c>
      <c r="H1185" s="5">
        <f>80 / 86400</f>
        <v>9.2592592592592596E-4</v>
      </c>
      <c r="I1185" t="s">
        <v>197</v>
      </c>
      <c r="J1185" t="s">
        <v>45</v>
      </c>
      <c r="K1185" s="5">
        <f>359 / 86400</f>
        <v>4.1550925925925922E-3</v>
      </c>
      <c r="L1185" s="5">
        <f>565 / 86400</f>
        <v>6.5393518518518517E-3</v>
      </c>
    </row>
    <row r="1186" spans="1:12" x14ac:dyDescent="0.25">
      <c r="A1186" s="3">
        <v>45691.608252314814</v>
      </c>
      <c r="B1186" t="s">
        <v>142</v>
      </c>
      <c r="C1186" s="3">
        <v>45691.696979166663</v>
      </c>
      <c r="D1186" t="s">
        <v>18</v>
      </c>
      <c r="E1186" s="4">
        <v>35.380000000000003</v>
      </c>
      <c r="F1186" s="4">
        <v>4023.989</v>
      </c>
      <c r="G1186" s="4">
        <v>4059.3690000000001</v>
      </c>
      <c r="H1186" s="5">
        <f>2959 / 86400</f>
        <v>3.4247685185185187E-2</v>
      </c>
      <c r="I1186" t="s">
        <v>175</v>
      </c>
      <c r="J1186" t="s">
        <v>47</v>
      </c>
      <c r="K1186" s="5">
        <f>7665 / 86400</f>
        <v>8.8715277777777782E-2</v>
      </c>
      <c r="L1186" s="5">
        <f>7183 / 86400</f>
        <v>8.3136574074074071E-2</v>
      </c>
    </row>
    <row r="1187" spans="1:12" x14ac:dyDescent="0.25">
      <c r="A1187" s="3">
        <v>45691.780115740738</v>
      </c>
      <c r="B1187" t="s">
        <v>18</v>
      </c>
      <c r="C1187" s="3">
        <v>45691.782581018517</v>
      </c>
      <c r="D1187" t="s">
        <v>103</v>
      </c>
      <c r="E1187" s="4">
        <v>0.40899999999999997</v>
      </c>
      <c r="F1187" s="4">
        <v>4059.3690000000001</v>
      </c>
      <c r="G1187" s="4">
        <v>4059.7779999999998</v>
      </c>
      <c r="H1187" s="5">
        <f>19 / 86400</f>
        <v>2.199074074074074E-4</v>
      </c>
      <c r="I1187" t="s">
        <v>156</v>
      </c>
      <c r="J1187" t="s">
        <v>76</v>
      </c>
      <c r="K1187" s="5">
        <f>212 / 86400</f>
        <v>2.4537037037037036E-3</v>
      </c>
      <c r="L1187" s="5">
        <f>116 / 86400</f>
        <v>1.3425925925925925E-3</v>
      </c>
    </row>
    <row r="1188" spans="1:12" x14ac:dyDescent="0.25">
      <c r="A1188" s="3">
        <v>45691.78392361111</v>
      </c>
      <c r="B1188" t="s">
        <v>103</v>
      </c>
      <c r="C1188" s="3">
        <v>45691.78528935185</v>
      </c>
      <c r="D1188" t="s">
        <v>103</v>
      </c>
      <c r="E1188" s="4">
        <v>2.3E-2</v>
      </c>
      <c r="F1188" s="4">
        <v>4059.7779999999998</v>
      </c>
      <c r="G1188" s="4">
        <v>4059.8009999999999</v>
      </c>
      <c r="H1188" s="5">
        <f>99 / 86400</f>
        <v>1.1458333333333333E-3</v>
      </c>
      <c r="I1188" t="s">
        <v>136</v>
      </c>
      <c r="J1188" t="s">
        <v>62</v>
      </c>
      <c r="K1188" s="5">
        <f>118 / 86400</f>
        <v>1.3657407407407407E-3</v>
      </c>
      <c r="L1188" s="5">
        <f>18550 / 86400</f>
        <v>0.21469907407407407</v>
      </c>
    </row>
    <row r="1189" spans="1:12" x14ac:dyDescent="0.25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</row>
    <row r="1190" spans="1:12" x14ac:dyDescent="0.25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</row>
    <row r="1191" spans="1:12" s="10" customFormat="1" ht="20.100000000000001" customHeight="1" x14ac:dyDescent="0.35">
      <c r="A1191" s="12" t="s">
        <v>472</v>
      </c>
      <c r="B1191" s="12"/>
      <c r="C1191" s="12"/>
      <c r="D1191" s="12"/>
      <c r="E1191" s="12"/>
      <c r="F1191" s="12"/>
      <c r="G1191" s="12"/>
      <c r="H1191" s="12"/>
      <c r="I1191" s="12"/>
      <c r="J1191" s="12"/>
    </row>
    <row r="1192" spans="1:12" x14ac:dyDescent="0.25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</row>
    <row r="1193" spans="1:12" ht="30" x14ac:dyDescent="0.25">
      <c r="A1193" s="2" t="s">
        <v>6</v>
      </c>
      <c r="B1193" s="2" t="s">
        <v>7</v>
      </c>
      <c r="C1193" s="2" t="s">
        <v>8</v>
      </c>
      <c r="D1193" s="2" t="s">
        <v>9</v>
      </c>
      <c r="E1193" s="2" t="s">
        <v>10</v>
      </c>
      <c r="F1193" s="2" t="s">
        <v>11</v>
      </c>
      <c r="G1193" s="2" t="s">
        <v>12</v>
      </c>
      <c r="H1193" s="2" t="s">
        <v>13</v>
      </c>
      <c r="I1193" s="2" t="s">
        <v>14</v>
      </c>
      <c r="J1193" s="2" t="s">
        <v>15</v>
      </c>
      <c r="K1193" s="2" t="s">
        <v>16</v>
      </c>
      <c r="L1193" s="2" t="s">
        <v>17</v>
      </c>
    </row>
    <row r="1194" spans="1:12" x14ac:dyDescent="0.25">
      <c r="A1194" s="3">
        <v>45691</v>
      </c>
      <c r="B1194" t="s">
        <v>104</v>
      </c>
      <c r="C1194" s="3">
        <v>45691.072835648149</v>
      </c>
      <c r="D1194" t="s">
        <v>382</v>
      </c>
      <c r="E1194" s="4">
        <v>40.704000000000001</v>
      </c>
      <c r="F1194" s="4">
        <v>406066.61300000001</v>
      </c>
      <c r="G1194" s="4">
        <v>406107.31699999998</v>
      </c>
      <c r="H1194" s="5">
        <f>1339 / 86400</f>
        <v>1.5497685185185186E-2</v>
      </c>
      <c r="I1194" t="s">
        <v>187</v>
      </c>
      <c r="J1194" t="s">
        <v>170</v>
      </c>
      <c r="K1194" s="5">
        <f>6293 / 86400</f>
        <v>7.2835648148148149E-2</v>
      </c>
      <c r="L1194" s="5">
        <f>1191 / 86400</f>
        <v>1.3784722222222223E-2</v>
      </c>
    </row>
    <row r="1195" spans="1:12" x14ac:dyDescent="0.25">
      <c r="A1195" s="3">
        <v>45691.08662037037</v>
      </c>
      <c r="B1195" t="s">
        <v>382</v>
      </c>
      <c r="C1195" s="3">
        <v>45691.13753472222</v>
      </c>
      <c r="D1195" t="s">
        <v>400</v>
      </c>
      <c r="E1195" s="4">
        <v>32.237000000000002</v>
      </c>
      <c r="F1195" s="4">
        <v>406107.31699999998</v>
      </c>
      <c r="G1195" s="4">
        <v>406139.554</v>
      </c>
      <c r="H1195" s="5">
        <f>520 / 86400</f>
        <v>6.0185185185185185E-3</v>
      </c>
      <c r="I1195" t="s">
        <v>90</v>
      </c>
      <c r="J1195" t="s">
        <v>172</v>
      </c>
      <c r="K1195" s="5">
        <f>4398 / 86400</f>
        <v>5.0902777777777776E-2</v>
      </c>
      <c r="L1195" s="5">
        <f>120 / 86400</f>
        <v>1.3888888888888889E-3</v>
      </c>
    </row>
    <row r="1196" spans="1:12" x14ac:dyDescent="0.25">
      <c r="A1196" s="3">
        <v>45691.138923611114</v>
      </c>
      <c r="B1196" t="s">
        <v>400</v>
      </c>
      <c r="C1196" s="3">
        <v>45691.141122685185</v>
      </c>
      <c r="D1196" t="s">
        <v>146</v>
      </c>
      <c r="E1196" s="4">
        <v>1.1830000000000001</v>
      </c>
      <c r="F1196" s="4">
        <v>406139.554</v>
      </c>
      <c r="G1196" s="4">
        <v>406140.73700000002</v>
      </c>
      <c r="H1196" s="5">
        <f>0 / 86400</f>
        <v>0</v>
      </c>
      <c r="I1196" t="s">
        <v>186</v>
      </c>
      <c r="J1196" t="s">
        <v>170</v>
      </c>
      <c r="K1196" s="5">
        <f>189 / 86400</f>
        <v>2.1875000000000002E-3</v>
      </c>
      <c r="L1196" s="5">
        <f>329 / 86400</f>
        <v>3.8078703703703703E-3</v>
      </c>
    </row>
    <row r="1197" spans="1:12" x14ac:dyDescent="0.25">
      <c r="A1197" s="3">
        <v>45691.144930555558</v>
      </c>
      <c r="B1197" t="s">
        <v>146</v>
      </c>
      <c r="C1197" s="3">
        <v>45691.145138888889</v>
      </c>
      <c r="D1197" t="s">
        <v>146</v>
      </c>
      <c r="E1197" s="4">
        <v>2.3E-2</v>
      </c>
      <c r="F1197" s="4">
        <v>406140.73700000002</v>
      </c>
      <c r="G1197" s="4">
        <v>406140.76</v>
      </c>
      <c r="H1197" s="5">
        <f>0 / 86400</f>
        <v>0</v>
      </c>
      <c r="I1197" t="s">
        <v>32</v>
      </c>
      <c r="J1197" t="s">
        <v>136</v>
      </c>
      <c r="K1197" s="5">
        <f>17 / 86400</f>
        <v>1.9675925925925926E-4</v>
      </c>
      <c r="L1197" s="5">
        <f>959 / 86400</f>
        <v>1.1099537037037036E-2</v>
      </c>
    </row>
    <row r="1198" spans="1:12" x14ac:dyDescent="0.25">
      <c r="A1198" s="3">
        <v>45691.15623842593</v>
      </c>
      <c r="B1198" t="s">
        <v>146</v>
      </c>
      <c r="C1198" s="3">
        <v>45691.161840277782</v>
      </c>
      <c r="D1198" t="s">
        <v>28</v>
      </c>
      <c r="E1198" s="4">
        <v>2.302</v>
      </c>
      <c r="F1198" s="4">
        <v>406140.76</v>
      </c>
      <c r="G1198" s="4">
        <v>406143.06199999998</v>
      </c>
      <c r="H1198" s="5">
        <f>80 / 86400</f>
        <v>9.2592592592592596E-4</v>
      </c>
      <c r="I1198" t="s">
        <v>164</v>
      </c>
      <c r="J1198" t="s">
        <v>47</v>
      </c>
      <c r="K1198" s="5">
        <f>483 / 86400</f>
        <v>5.5902777777777773E-3</v>
      </c>
      <c r="L1198" s="5">
        <f>16727 / 86400</f>
        <v>0.19359953703703703</v>
      </c>
    </row>
    <row r="1199" spans="1:12" x14ac:dyDescent="0.25">
      <c r="A1199" s="3">
        <v>45691.355439814812</v>
      </c>
      <c r="B1199" t="s">
        <v>28</v>
      </c>
      <c r="C1199" s="3">
        <v>45691.360844907409</v>
      </c>
      <c r="D1199" t="s">
        <v>401</v>
      </c>
      <c r="E1199" s="4">
        <v>0.64800000000000002</v>
      </c>
      <c r="F1199" s="4">
        <v>406143.06199999998</v>
      </c>
      <c r="G1199" s="4">
        <v>406143.71</v>
      </c>
      <c r="H1199" s="5">
        <f>220 / 86400</f>
        <v>2.5462962962962965E-3</v>
      </c>
      <c r="I1199" t="s">
        <v>172</v>
      </c>
      <c r="J1199" t="s">
        <v>136</v>
      </c>
      <c r="K1199" s="5">
        <f>467 / 86400</f>
        <v>5.4050925925925924E-3</v>
      </c>
      <c r="L1199" s="5">
        <f>202 / 86400</f>
        <v>2.3379629629629631E-3</v>
      </c>
    </row>
    <row r="1200" spans="1:12" x14ac:dyDescent="0.25">
      <c r="A1200" s="3">
        <v>45691.363182870366</v>
      </c>
      <c r="B1200" t="s">
        <v>401</v>
      </c>
      <c r="C1200" s="3">
        <v>45691.363865740743</v>
      </c>
      <c r="D1200" t="s">
        <v>109</v>
      </c>
      <c r="E1200" s="4">
        <v>0.13300000000000001</v>
      </c>
      <c r="F1200" s="4">
        <v>406143.71</v>
      </c>
      <c r="G1200" s="4">
        <v>406143.84299999999</v>
      </c>
      <c r="H1200" s="5">
        <f>0 / 86400</f>
        <v>0</v>
      </c>
      <c r="I1200" t="s">
        <v>151</v>
      </c>
      <c r="J1200" t="s">
        <v>151</v>
      </c>
      <c r="K1200" s="5">
        <f>59 / 86400</f>
        <v>6.8287037037037036E-4</v>
      </c>
      <c r="L1200" s="5">
        <f>927 / 86400</f>
        <v>1.0729166666666666E-2</v>
      </c>
    </row>
    <row r="1201" spans="1:12" x14ac:dyDescent="0.25">
      <c r="A1201" s="3">
        <v>45691.374594907407</v>
      </c>
      <c r="B1201" t="s">
        <v>28</v>
      </c>
      <c r="C1201" s="3">
        <v>45691.383020833338</v>
      </c>
      <c r="D1201" t="s">
        <v>355</v>
      </c>
      <c r="E1201" s="4">
        <v>0.29899999999999999</v>
      </c>
      <c r="F1201" s="4">
        <v>406143.84299999999</v>
      </c>
      <c r="G1201" s="4">
        <v>406144.14199999999</v>
      </c>
      <c r="H1201" s="5">
        <f>579 / 86400</f>
        <v>6.7013888888888887E-3</v>
      </c>
      <c r="I1201" t="s">
        <v>59</v>
      </c>
      <c r="J1201" t="s">
        <v>62</v>
      </c>
      <c r="K1201" s="5">
        <f>727 / 86400</f>
        <v>8.4143518518518517E-3</v>
      </c>
      <c r="L1201" s="5">
        <f>607 / 86400</f>
        <v>7.0254629629629634E-3</v>
      </c>
    </row>
    <row r="1202" spans="1:12" x14ac:dyDescent="0.25">
      <c r="A1202" s="3">
        <v>45691.390046296292</v>
      </c>
      <c r="B1202" t="s">
        <v>355</v>
      </c>
      <c r="C1202" s="3">
        <v>45691.391898148147</v>
      </c>
      <c r="D1202" t="s">
        <v>355</v>
      </c>
      <c r="E1202" s="4">
        <v>0.55000000000000004</v>
      </c>
      <c r="F1202" s="4">
        <v>406144.14199999999</v>
      </c>
      <c r="G1202" s="4">
        <v>406144.69199999998</v>
      </c>
      <c r="H1202" s="5">
        <f>39 / 86400</f>
        <v>4.5138888888888887E-4</v>
      </c>
      <c r="I1202" t="s">
        <v>172</v>
      </c>
      <c r="J1202" t="s">
        <v>155</v>
      </c>
      <c r="K1202" s="5">
        <f>159 / 86400</f>
        <v>1.8402777777777777E-3</v>
      </c>
      <c r="L1202" s="5">
        <f>4337 / 86400</f>
        <v>5.019675925925926E-2</v>
      </c>
    </row>
    <row r="1203" spans="1:12" x14ac:dyDescent="0.25">
      <c r="A1203" s="3">
        <v>45691.442094907412</v>
      </c>
      <c r="B1203" t="s">
        <v>355</v>
      </c>
      <c r="C1203" s="3">
        <v>45691.442986111113</v>
      </c>
      <c r="D1203" t="s">
        <v>28</v>
      </c>
      <c r="E1203" s="4">
        <v>0.183</v>
      </c>
      <c r="F1203" s="4">
        <v>406144.69199999998</v>
      </c>
      <c r="G1203" s="4">
        <v>406144.875</v>
      </c>
      <c r="H1203" s="5">
        <f>0 / 86400</f>
        <v>0</v>
      </c>
      <c r="I1203" t="s">
        <v>47</v>
      </c>
      <c r="J1203" t="s">
        <v>79</v>
      </c>
      <c r="K1203" s="5">
        <f>77 / 86400</f>
        <v>8.9120370370370373E-4</v>
      </c>
      <c r="L1203" s="5">
        <f>113 / 86400</f>
        <v>1.3078703703703703E-3</v>
      </c>
    </row>
    <row r="1204" spans="1:12" x14ac:dyDescent="0.25">
      <c r="A1204" s="3">
        <v>45691.444293981476</v>
      </c>
      <c r="B1204" t="s">
        <v>28</v>
      </c>
      <c r="C1204" s="3">
        <v>45691.445625</v>
      </c>
      <c r="D1204" t="s">
        <v>28</v>
      </c>
      <c r="E1204" s="4">
        <v>0.13600000000000001</v>
      </c>
      <c r="F1204" s="4">
        <v>406144.875</v>
      </c>
      <c r="G1204" s="4">
        <v>406145.011</v>
      </c>
      <c r="H1204" s="5">
        <f>20 / 86400</f>
        <v>2.3148148148148149E-4</v>
      </c>
      <c r="I1204" t="s">
        <v>79</v>
      </c>
      <c r="J1204" t="s">
        <v>132</v>
      </c>
      <c r="K1204" s="5">
        <f>115 / 86400</f>
        <v>1.3310185185185185E-3</v>
      </c>
      <c r="L1204" s="5">
        <f>78 / 86400</f>
        <v>9.0277777777777774E-4</v>
      </c>
    </row>
    <row r="1205" spans="1:12" x14ac:dyDescent="0.25">
      <c r="A1205" s="3">
        <v>45691.446527777778</v>
      </c>
      <c r="B1205" t="s">
        <v>28</v>
      </c>
      <c r="C1205" s="3">
        <v>45691.493576388893</v>
      </c>
      <c r="D1205" t="s">
        <v>46</v>
      </c>
      <c r="E1205" s="4">
        <v>24.981999999999999</v>
      </c>
      <c r="F1205" s="4">
        <v>406145.011</v>
      </c>
      <c r="G1205" s="4">
        <v>406169.99300000002</v>
      </c>
      <c r="H1205" s="5">
        <f>900 / 86400</f>
        <v>1.0416666666666666E-2</v>
      </c>
      <c r="I1205" t="s">
        <v>56</v>
      </c>
      <c r="J1205" t="s">
        <v>24</v>
      </c>
      <c r="K1205" s="5">
        <f>4065 / 86400</f>
        <v>4.704861111111111E-2</v>
      </c>
      <c r="L1205" s="5">
        <f>402 / 86400</f>
        <v>4.6527777777777774E-3</v>
      </c>
    </row>
    <row r="1206" spans="1:12" x14ac:dyDescent="0.25">
      <c r="A1206" s="3">
        <v>45691.498229166667</v>
      </c>
      <c r="B1206" t="s">
        <v>46</v>
      </c>
      <c r="C1206" s="3">
        <v>45691.50273148148</v>
      </c>
      <c r="D1206" t="s">
        <v>142</v>
      </c>
      <c r="E1206" s="4">
        <v>1.613</v>
      </c>
      <c r="F1206" s="4">
        <v>406169.99300000002</v>
      </c>
      <c r="G1206" s="4">
        <v>406171.60600000003</v>
      </c>
      <c r="H1206" s="5">
        <f>0 / 86400</f>
        <v>0</v>
      </c>
      <c r="I1206" t="s">
        <v>61</v>
      </c>
      <c r="J1206" t="s">
        <v>30</v>
      </c>
      <c r="K1206" s="5">
        <f>388 / 86400</f>
        <v>4.4907407407407405E-3</v>
      </c>
      <c r="L1206" s="5">
        <f>239 / 86400</f>
        <v>2.7662037037037039E-3</v>
      </c>
    </row>
    <row r="1207" spans="1:12" x14ac:dyDescent="0.25">
      <c r="A1207" s="3">
        <v>45691.505497685182</v>
      </c>
      <c r="B1207" t="s">
        <v>142</v>
      </c>
      <c r="C1207" s="3">
        <v>45691.509652777779</v>
      </c>
      <c r="D1207" t="s">
        <v>157</v>
      </c>
      <c r="E1207" s="4">
        <v>0.83099999999999996</v>
      </c>
      <c r="F1207" s="4">
        <v>406171.60600000003</v>
      </c>
      <c r="G1207" s="4">
        <v>406172.43699999998</v>
      </c>
      <c r="H1207" s="5">
        <f>120 / 86400</f>
        <v>1.3888888888888889E-3</v>
      </c>
      <c r="I1207" t="s">
        <v>172</v>
      </c>
      <c r="J1207" t="s">
        <v>151</v>
      </c>
      <c r="K1207" s="5">
        <f>359 / 86400</f>
        <v>4.1550925925925922E-3</v>
      </c>
      <c r="L1207" s="5">
        <f>52 / 86400</f>
        <v>6.018518518518519E-4</v>
      </c>
    </row>
    <row r="1208" spans="1:12" x14ac:dyDescent="0.25">
      <c r="A1208" s="3">
        <v>45691.510254629626</v>
      </c>
      <c r="B1208" t="s">
        <v>157</v>
      </c>
      <c r="C1208" s="3">
        <v>45691.690057870372</v>
      </c>
      <c r="D1208" t="s">
        <v>173</v>
      </c>
      <c r="E1208" s="4">
        <v>91.561000000000007</v>
      </c>
      <c r="F1208" s="4">
        <v>406172.43699999998</v>
      </c>
      <c r="G1208" s="4">
        <v>406263.99800000002</v>
      </c>
      <c r="H1208" s="5">
        <f>4224 / 86400</f>
        <v>4.8888888888888891E-2</v>
      </c>
      <c r="I1208" t="s">
        <v>389</v>
      </c>
      <c r="J1208" t="s">
        <v>70</v>
      </c>
      <c r="K1208" s="5">
        <f>15535 / 86400</f>
        <v>0.17980324074074075</v>
      </c>
      <c r="L1208" s="5">
        <f>3 / 86400</f>
        <v>3.4722222222222222E-5</v>
      </c>
    </row>
    <row r="1209" spans="1:12" x14ac:dyDescent="0.25">
      <c r="A1209" s="3">
        <v>45691.690092592587</v>
      </c>
      <c r="B1209" t="s">
        <v>173</v>
      </c>
      <c r="C1209" s="3">
        <v>45691.714085648149</v>
      </c>
      <c r="D1209" t="s">
        <v>402</v>
      </c>
      <c r="E1209" s="4">
        <v>14.026</v>
      </c>
      <c r="F1209" s="4">
        <v>406263.99800000002</v>
      </c>
      <c r="G1209" s="4">
        <v>406278.02399999998</v>
      </c>
      <c r="H1209" s="5">
        <f>708 / 86400</f>
        <v>8.1944444444444452E-3</v>
      </c>
      <c r="I1209" t="s">
        <v>167</v>
      </c>
      <c r="J1209" t="s">
        <v>135</v>
      </c>
      <c r="K1209" s="5">
        <f>2073 / 86400</f>
        <v>2.3993055555555556E-2</v>
      </c>
      <c r="L1209" s="5">
        <f>284 / 86400</f>
        <v>3.2870370370370371E-3</v>
      </c>
    </row>
    <row r="1210" spans="1:12" x14ac:dyDescent="0.25">
      <c r="A1210" s="3">
        <v>45691.717372685191</v>
      </c>
      <c r="B1210" t="s">
        <v>402</v>
      </c>
      <c r="C1210" s="3">
        <v>45691.719270833331</v>
      </c>
      <c r="D1210" t="s">
        <v>146</v>
      </c>
      <c r="E1210" s="4">
        <v>1.016</v>
      </c>
      <c r="F1210" s="4">
        <v>406278.02399999998</v>
      </c>
      <c r="G1210" s="4">
        <v>406279.04</v>
      </c>
      <c r="H1210" s="5">
        <f>20 / 86400</f>
        <v>2.3148148148148149E-4</v>
      </c>
      <c r="I1210" t="s">
        <v>240</v>
      </c>
      <c r="J1210" t="s">
        <v>24</v>
      </c>
      <c r="K1210" s="5">
        <f>163 / 86400</f>
        <v>1.8865740740740742E-3</v>
      </c>
      <c r="L1210" s="5">
        <f>4884 / 86400</f>
        <v>5.6527777777777781E-2</v>
      </c>
    </row>
    <row r="1211" spans="1:12" x14ac:dyDescent="0.25">
      <c r="A1211" s="3">
        <v>45691.77579861111</v>
      </c>
      <c r="B1211" t="s">
        <v>146</v>
      </c>
      <c r="C1211" s="3">
        <v>45691.775810185187</v>
      </c>
      <c r="D1211" t="s">
        <v>146</v>
      </c>
      <c r="E1211" s="4">
        <v>0</v>
      </c>
      <c r="F1211" s="4">
        <v>406279.04</v>
      </c>
      <c r="G1211" s="4">
        <v>406279.04</v>
      </c>
      <c r="H1211" s="5">
        <f>0 / 86400</f>
        <v>0</v>
      </c>
      <c r="I1211" t="s">
        <v>33</v>
      </c>
      <c r="J1211" t="s">
        <v>33</v>
      </c>
      <c r="K1211" s="5">
        <f>1 / 86400</f>
        <v>1.1574074074074073E-5</v>
      </c>
      <c r="L1211" s="5">
        <f>187 / 86400</f>
        <v>2.1643518518518518E-3</v>
      </c>
    </row>
    <row r="1212" spans="1:12" x14ac:dyDescent="0.25">
      <c r="A1212" s="3">
        <v>45691.777974537035</v>
      </c>
      <c r="B1212" t="s">
        <v>146</v>
      </c>
      <c r="C1212" s="3">
        <v>45691.820393518516</v>
      </c>
      <c r="D1212" t="s">
        <v>157</v>
      </c>
      <c r="E1212" s="4">
        <v>22.292000000000002</v>
      </c>
      <c r="F1212" s="4">
        <v>406279.04</v>
      </c>
      <c r="G1212" s="4">
        <v>406301.33199999999</v>
      </c>
      <c r="H1212" s="5">
        <f>919 / 86400</f>
        <v>1.0636574074074074E-2</v>
      </c>
      <c r="I1212" t="s">
        <v>129</v>
      </c>
      <c r="J1212" t="s">
        <v>24</v>
      </c>
      <c r="K1212" s="5">
        <f>3665 / 86400</f>
        <v>4.2418981481481481E-2</v>
      </c>
      <c r="L1212" s="5">
        <f>317 / 86400</f>
        <v>3.6689814814814814E-3</v>
      </c>
    </row>
    <row r="1213" spans="1:12" x14ac:dyDescent="0.25">
      <c r="A1213" s="3">
        <v>45691.824062500003</v>
      </c>
      <c r="B1213" t="s">
        <v>157</v>
      </c>
      <c r="C1213" s="3">
        <v>45691.916018518517</v>
      </c>
      <c r="D1213" t="s">
        <v>316</v>
      </c>
      <c r="E1213" s="4">
        <v>41.465000000000003</v>
      </c>
      <c r="F1213" s="4">
        <v>406301.33199999999</v>
      </c>
      <c r="G1213" s="4">
        <v>406342.79700000002</v>
      </c>
      <c r="H1213" s="5">
        <f>2979 / 86400</f>
        <v>3.4479166666666665E-2</v>
      </c>
      <c r="I1213" t="s">
        <v>105</v>
      </c>
      <c r="J1213" t="s">
        <v>35</v>
      </c>
      <c r="K1213" s="5">
        <f>7944 / 86400</f>
        <v>9.194444444444444E-2</v>
      </c>
      <c r="L1213" s="5">
        <f>307 / 86400</f>
        <v>3.5532407407407409E-3</v>
      </c>
    </row>
    <row r="1214" spans="1:12" x14ac:dyDescent="0.25">
      <c r="A1214" s="3">
        <v>45691.919571759259</v>
      </c>
      <c r="B1214" t="s">
        <v>316</v>
      </c>
      <c r="C1214" s="3">
        <v>45691.99998842593</v>
      </c>
      <c r="D1214" t="s">
        <v>49</v>
      </c>
      <c r="E1214" s="4">
        <v>36.347999999999999</v>
      </c>
      <c r="F1214" s="4">
        <v>406342.79700000002</v>
      </c>
      <c r="G1214" s="4">
        <v>406379.14500000002</v>
      </c>
      <c r="H1214" s="5">
        <f>2619 / 86400</f>
        <v>3.0312499999999999E-2</v>
      </c>
      <c r="I1214" t="s">
        <v>129</v>
      </c>
      <c r="J1214" t="s">
        <v>35</v>
      </c>
      <c r="K1214" s="5">
        <f>6948 / 86400</f>
        <v>8.0416666666666664E-2</v>
      </c>
      <c r="L1214" s="5">
        <f>0 / 86400</f>
        <v>0</v>
      </c>
    </row>
    <row r="1215" spans="1:12" x14ac:dyDescent="0.2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</row>
    <row r="1216" spans="1:12" x14ac:dyDescent="0.25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</row>
    <row r="1217" spans="1:12" s="10" customFormat="1" ht="20.100000000000001" customHeight="1" x14ac:dyDescent="0.35">
      <c r="A1217" s="12" t="s">
        <v>473</v>
      </c>
      <c r="B1217" s="12"/>
      <c r="C1217" s="12"/>
      <c r="D1217" s="12"/>
      <c r="E1217" s="12"/>
      <c r="F1217" s="12"/>
      <c r="G1217" s="12"/>
      <c r="H1217" s="12"/>
      <c r="I1217" s="12"/>
      <c r="J1217" s="12"/>
    </row>
    <row r="1218" spans="1:12" x14ac:dyDescent="0.25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</row>
    <row r="1219" spans="1:12" ht="30" x14ac:dyDescent="0.25">
      <c r="A1219" s="2" t="s">
        <v>6</v>
      </c>
      <c r="B1219" s="2" t="s">
        <v>7</v>
      </c>
      <c r="C1219" s="2" t="s">
        <v>8</v>
      </c>
      <c r="D1219" s="2" t="s">
        <v>9</v>
      </c>
      <c r="E1219" s="2" t="s">
        <v>10</v>
      </c>
      <c r="F1219" s="2" t="s">
        <v>11</v>
      </c>
      <c r="G1219" s="2" t="s">
        <v>12</v>
      </c>
      <c r="H1219" s="2" t="s">
        <v>13</v>
      </c>
      <c r="I1219" s="2" t="s">
        <v>14</v>
      </c>
      <c r="J1219" s="2" t="s">
        <v>15</v>
      </c>
      <c r="K1219" s="2" t="s">
        <v>16</v>
      </c>
      <c r="L1219" s="2" t="s">
        <v>17</v>
      </c>
    </row>
    <row r="1220" spans="1:12" x14ac:dyDescent="0.25">
      <c r="A1220" s="3">
        <v>45691</v>
      </c>
      <c r="B1220" t="s">
        <v>106</v>
      </c>
      <c r="C1220" s="3">
        <v>45691.01834490741</v>
      </c>
      <c r="D1220" t="s">
        <v>146</v>
      </c>
      <c r="E1220" s="4">
        <v>9.1440000000000001</v>
      </c>
      <c r="F1220" s="4">
        <v>547225.68700000003</v>
      </c>
      <c r="G1220" s="4">
        <v>547234.83100000001</v>
      </c>
      <c r="H1220" s="5">
        <f>460 / 86400</f>
        <v>5.324074074074074E-3</v>
      </c>
      <c r="I1220" t="s">
        <v>240</v>
      </c>
      <c r="J1220" t="s">
        <v>70</v>
      </c>
      <c r="K1220" s="5">
        <f>1585 / 86400</f>
        <v>1.8344907407407407E-2</v>
      </c>
      <c r="L1220" s="5">
        <f>869 / 86400</f>
        <v>1.005787037037037E-2</v>
      </c>
    </row>
    <row r="1221" spans="1:12" x14ac:dyDescent="0.25">
      <c r="A1221" s="3">
        <v>45691.028402777782</v>
      </c>
      <c r="B1221" t="s">
        <v>146</v>
      </c>
      <c r="C1221" s="3">
        <v>45691.028854166667</v>
      </c>
      <c r="D1221" t="s">
        <v>146</v>
      </c>
      <c r="E1221" s="4">
        <v>0.06</v>
      </c>
      <c r="F1221" s="4">
        <v>547234.83100000001</v>
      </c>
      <c r="G1221" s="4">
        <v>547234.89099999995</v>
      </c>
      <c r="H1221" s="5">
        <f>0 / 86400</f>
        <v>0</v>
      </c>
      <c r="I1221" t="s">
        <v>79</v>
      </c>
      <c r="J1221" t="s">
        <v>32</v>
      </c>
      <c r="K1221" s="5">
        <f>39 / 86400</f>
        <v>4.5138888888888887E-4</v>
      </c>
      <c r="L1221" s="5">
        <f>648 / 86400</f>
        <v>7.4999999999999997E-3</v>
      </c>
    </row>
    <row r="1222" spans="1:12" x14ac:dyDescent="0.25">
      <c r="A1222" s="3">
        <v>45691.036354166667</v>
      </c>
      <c r="B1222" t="s">
        <v>146</v>
      </c>
      <c r="C1222" s="3">
        <v>45691.046261574069</v>
      </c>
      <c r="D1222" t="s">
        <v>177</v>
      </c>
      <c r="E1222" s="4">
        <v>4.7460000000000004</v>
      </c>
      <c r="F1222" s="4">
        <v>547234.89099999995</v>
      </c>
      <c r="G1222" s="4">
        <v>547239.63699999999</v>
      </c>
      <c r="H1222" s="5">
        <f>160 / 86400</f>
        <v>1.8518518518518519E-3</v>
      </c>
      <c r="I1222" t="s">
        <v>158</v>
      </c>
      <c r="J1222" t="s">
        <v>75</v>
      </c>
      <c r="K1222" s="5">
        <f>856 / 86400</f>
        <v>9.9074074074074082E-3</v>
      </c>
      <c r="L1222" s="5">
        <f>23369 / 86400</f>
        <v>0.27047453703703705</v>
      </c>
    </row>
    <row r="1223" spans="1:12" x14ac:dyDescent="0.25">
      <c r="A1223" s="3">
        <v>45691.316736111112</v>
      </c>
      <c r="B1223" t="s">
        <v>177</v>
      </c>
      <c r="C1223" s="3">
        <v>45691.652361111112</v>
      </c>
      <c r="D1223" t="s">
        <v>127</v>
      </c>
      <c r="E1223" s="4">
        <v>151.17500000000001</v>
      </c>
      <c r="F1223" s="4">
        <v>547239.63699999999</v>
      </c>
      <c r="G1223" s="4">
        <v>547390.81200000003</v>
      </c>
      <c r="H1223" s="5">
        <f>9700 / 86400</f>
        <v>0.11226851851851852</v>
      </c>
      <c r="I1223" t="s">
        <v>37</v>
      </c>
      <c r="J1223" t="s">
        <v>35</v>
      </c>
      <c r="K1223" s="5">
        <f>28998 / 86400</f>
        <v>0.33562500000000001</v>
      </c>
      <c r="L1223" s="5">
        <f>457 / 86400</f>
        <v>5.2893518518518515E-3</v>
      </c>
    </row>
    <row r="1224" spans="1:12" x14ac:dyDescent="0.25">
      <c r="A1224" s="3">
        <v>45691.657650462963</v>
      </c>
      <c r="B1224" t="s">
        <v>127</v>
      </c>
      <c r="C1224" s="3">
        <v>45691.663356481484</v>
      </c>
      <c r="D1224" t="s">
        <v>154</v>
      </c>
      <c r="E1224" s="4">
        <v>0.14599999999999999</v>
      </c>
      <c r="F1224" s="4">
        <v>547390.81200000003</v>
      </c>
      <c r="G1224" s="4">
        <v>547390.95799999998</v>
      </c>
      <c r="H1224" s="5">
        <f>320 / 86400</f>
        <v>3.7037037037037038E-3</v>
      </c>
      <c r="I1224" t="s">
        <v>140</v>
      </c>
      <c r="J1224" t="s">
        <v>62</v>
      </c>
      <c r="K1224" s="5">
        <f>493 / 86400</f>
        <v>5.7060185185185183E-3</v>
      </c>
      <c r="L1224" s="5">
        <f>3001 / 86400</f>
        <v>3.4733796296296297E-2</v>
      </c>
    </row>
    <row r="1225" spans="1:12" x14ac:dyDescent="0.25">
      <c r="A1225" s="3">
        <v>45691.69809027778</v>
      </c>
      <c r="B1225" t="s">
        <v>127</v>
      </c>
      <c r="C1225" s="3">
        <v>45691.700844907406</v>
      </c>
      <c r="D1225" t="s">
        <v>127</v>
      </c>
      <c r="E1225" s="4">
        <v>0.47199999999999998</v>
      </c>
      <c r="F1225" s="4">
        <v>547390.95799999998</v>
      </c>
      <c r="G1225" s="4">
        <v>547391.43000000005</v>
      </c>
      <c r="H1225" s="5">
        <f>39 / 86400</f>
        <v>4.5138888888888887E-4</v>
      </c>
      <c r="I1225" t="s">
        <v>75</v>
      </c>
      <c r="J1225" t="s">
        <v>76</v>
      </c>
      <c r="K1225" s="5">
        <f>238 / 86400</f>
        <v>2.7546296296296294E-3</v>
      </c>
      <c r="L1225" s="5">
        <f>1376 / 86400</f>
        <v>1.5925925925925927E-2</v>
      </c>
    </row>
    <row r="1226" spans="1:12" x14ac:dyDescent="0.25">
      <c r="A1226" s="3">
        <v>45691.716770833329</v>
      </c>
      <c r="B1226" t="s">
        <v>127</v>
      </c>
      <c r="C1226" s="3">
        <v>45691.990300925929</v>
      </c>
      <c r="D1226" t="s">
        <v>122</v>
      </c>
      <c r="E1226" s="4">
        <v>111.837</v>
      </c>
      <c r="F1226" s="4">
        <v>547391.43000000005</v>
      </c>
      <c r="G1226" s="4">
        <v>547503.26699999999</v>
      </c>
      <c r="H1226" s="5">
        <f>8079 / 86400</f>
        <v>9.3506944444444448E-2</v>
      </c>
      <c r="I1226" t="s">
        <v>95</v>
      </c>
      <c r="J1226" t="s">
        <v>47</v>
      </c>
      <c r="K1226" s="5">
        <f>23632 / 86400</f>
        <v>0.27351851851851849</v>
      </c>
      <c r="L1226" s="5">
        <f>551 / 86400</f>
        <v>6.3773148148148148E-3</v>
      </c>
    </row>
    <row r="1227" spans="1:12" x14ac:dyDescent="0.25">
      <c r="A1227" s="3">
        <v>45691.996678240743</v>
      </c>
      <c r="B1227" t="s">
        <v>122</v>
      </c>
      <c r="C1227" s="3">
        <v>45691.99998842593</v>
      </c>
      <c r="D1227" t="s">
        <v>107</v>
      </c>
      <c r="E1227" s="4">
        <v>4.8000000000000001E-2</v>
      </c>
      <c r="F1227" s="4">
        <v>547503.26699999999</v>
      </c>
      <c r="G1227" s="4">
        <v>547503.31499999994</v>
      </c>
      <c r="H1227" s="5">
        <f>280 / 86400</f>
        <v>3.2407407407407406E-3</v>
      </c>
      <c r="I1227" t="s">
        <v>76</v>
      </c>
      <c r="J1227" t="s">
        <v>62</v>
      </c>
      <c r="K1227" s="5">
        <f>286 / 86400</f>
        <v>3.3101851851851851E-3</v>
      </c>
      <c r="L1227" s="5">
        <f>0 / 86400</f>
        <v>0</v>
      </c>
    </row>
    <row r="1228" spans="1:12" x14ac:dyDescent="0.25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</row>
    <row r="1229" spans="1:12" x14ac:dyDescent="0.25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</row>
    <row r="1230" spans="1:12" s="10" customFormat="1" ht="20.100000000000001" customHeight="1" x14ac:dyDescent="0.35">
      <c r="A1230" s="12" t="s">
        <v>474</v>
      </c>
      <c r="B1230" s="12"/>
      <c r="C1230" s="12"/>
      <c r="D1230" s="12"/>
      <c r="E1230" s="12"/>
      <c r="F1230" s="12"/>
      <c r="G1230" s="12"/>
      <c r="H1230" s="12"/>
      <c r="I1230" s="12"/>
      <c r="J1230" s="12"/>
    </row>
    <row r="1231" spans="1:12" x14ac:dyDescent="0.25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</row>
    <row r="1232" spans="1:12" ht="30" x14ac:dyDescent="0.25">
      <c r="A1232" s="2" t="s">
        <v>6</v>
      </c>
      <c r="B1232" s="2" t="s">
        <v>7</v>
      </c>
      <c r="C1232" s="2" t="s">
        <v>8</v>
      </c>
      <c r="D1232" s="2" t="s">
        <v>9</v>
      </c>
      <c r="E1232" s="2" t="s">
        <v>10</v>
      </c>
      <c r="F1232" s="2" t="s">
        <v>11</v>
      </c>
      <c r="G1232" s="2" t="s">
        <v>12</v>
      </c>
      <c r="H1232" s="2" t="s">
        <v>13</v>
      </c>
      <c r="I1232" s="2" t="s">
        <v>14</v>
      </c>
      <c r="J1232" s="2" t="s">
        <v>15</v>
      </c>
      <c r="K1232" s="2" t="s">
        <v>16</v>
      </c>
      <c r="L1232" s="2" t="s">
        <v>17</v>
      </c>
    </row>
    <row r="1233" spans="1:12" x14ac:dyDescent="0.25">
      <c r="A1233" s="3">
        <v>45691</v>
      </c>
      <c r="B1233" t="s">
        <v>108</v>
      </c>
      <c r="C1233" s="3">
        <v>45691.060312500005</v>
      </c>
      <c r="D1233" t="s">
        <v>403</v>
      </c>
      <c r="E1233" s="4">
        <v>144.73000000000746</v>
      </c>
      <c r="F1233" s="4">
        <v>44200.345000000001</v>
      </c>
      <c r="G1233" s="4">
        <v>44345.075000000004</v>
      </c>
      <c r="H1233" s="5">
        <f>1080 / 86400</f>
        <v>1.2500000000000001E-2</v>
      </c>
      <c r="I1233" t="s">
        <v>258</v>
      </c>
      <c r="J1233" t="s">
        <v>404</v>
      </c>
      <c r="K1233" s="5">
        <f>5211 / 86400</f>
        <v>6.0312499999999998E-2</v>
      </c>
      <c r="L1233" s="5">
        <f>444 / 86400</f>
        <v>5.138888888888889E-3</v>
      </c>
    </row>
    <row r="1234" spans="1:12" x14ac:dyDescent="0.25">
      <c r="A1234" s="3">
        <v>45691.065451388888</v>
      </c>
      <c r="B1234" t="s">
        <v>403</v>
      </c>
      <c r="C1234" s="3">
        <v>45691.065648148149</v>
      </c>
      <c r="D1234" t="s">
        <v>403</v>
      </c>
      <c r="E1234" s="4">
        <v>4.9999999992549421E-2</v>
      </c>
      <c r="F1234" s="4">
        <v>44345.075000000004</v>
      </c>
      <c r="G1234" s="4">
        <v>44345.125</v>
      </c>
      <c r="H1234" s="5">
        <f>0 / 86400</f>
        <v>0</v>
      </c>
      <c r="I1234" t="s">
        <v>136</v>
      </c>
      <c r="J1234" t="s">
        <v>140</v>
      </c>
      <c r="K1234" s="5">
        <f>16 / 86400</f>
        <v>1.8518518518518518E-4</v>
      </c>
      <c r="L1234" s="5">
        <f>14 / 86400</f>
        <v>1.6203703703703703E-4</v>
      </c>
    </row>
    <row r="1235" spans="1:12" x14ac:dyDescent="0.25">
      <c r="A1235" s="3">
        <v>45691.065810185188</v>
      </c>
      <c r="B1235" t="s">
        <v>403</v>
      </c>
      <c r="C1235" s="3">
        <v>45691.071805555555</v>
      </c>
      <c r="D1235" t="s">
        <v>355</v>
      </c>
      <c r="E1235" s="4">
        <v>2.2549999999999999</v>
      </c>
      <c r="F1235" s="4">
        <v>44345.125</v>
      </c>
      <c r="G1235" s="4">
        <v>44347.38</v>
      </c>
      <c r="H1235" s="5">
        <f>359 / 86400</f>
        <v>4.1550925925925922E-3</v>
      </c>
      <c r="I1235" t="s">
        <v>40</v>
      </c>
      <c r="J1235" t="s">
        <v>40</v>
      </c>
      <c r="K1235" s="5">
        <f>517 / 86400</f>
        <v>5.9837962962962961E-3</v>
      </c>
      <c r="L1235" s="5">
        <f>178 / 86400</f>
        <v>2.0601851851851853E-3</v>
      </c>
    </row>
    <row r="1236" spans="1:12" x14ac:dyDescent="0.25">
      <c r="A1236" s="3">
        <v>45691.073865740742</v>
      </c>
      <c r="B1236" t="s">
        <v>401</v>
      </c>
      <c r="C1236" s="3">
        <v>45691.082175925927</v>
      </c>
      <c r="D1236" t="s">
        <v>28</v>
      </c>
      <c r="E1236" s="4">
        <v>7.0449999999999999</v>
      </c>
      <c r="F1236" s="4">
        <v>44347.38</v>
      </c>
      <c r="G1236" s="4">
        <v>44354.425000000003</v>
      </c>
      <c r="H1236" s="5">
        <f>280 / 86400</f>
        <v>3.2407407407407406E-3</v>
      </c>
      <c r="I1236" t="s">
        <v>61</v>
      </c>
      <c r="J1236" t="s">
        <v>264</v>
      </c>
      <c r="K1236" s="5">
        <f>718 / 86400</f>
        <v>8.3101851851851843E-3</v>
      </c>
      <c r="L1236" s="5">
        <f>336 / 86400</f>
        <v>3.8888888888888888E-3</v>
      </c>
    </row>
    <row r="1237" spans="1:12" x14ac:dyDescent="0.25">
      <c r="A1237" s="3">
        <v>45691.086064814815</v>
      </c>
      <c r="B1237" t="s">
        <v>28</v>
      </c>
      <c r="C1237" s="3">
        <v>45691.086516203708</v>
      </c>
      <c r="D1237" t="s">
        <v>109</v>
      </c>
      <c r="E1237" s="4">
        <v>0.22500000000000001</v>
      </c>
      <c r="F1237" s="4">
        <v>44354.425000000003</v>
      </c>
      <c r="G1237" s="4">
        <v>44354.65</v>
      </c>
      <c r="H1237" s="5">
        <f>0 / 86400</f>
        <v>0</v>
      </c>
      <c r="I1237" t="s">
        <v>76</v>
      </c>
      <c r="J1237" t="s">
        <v>70</v>
      </c>
      <c r="K1237" s="5">
        <f>38 / 86400</f>
        <v>4.3981481481481481E-4</v>
      </c>
      <c r="L1237" s="5">
        <f>12273 / 86400</f>
        <v>0.14204861111111111</v>
      </c>
    </row>
    <row r="1238" spans="1:12" x14ac:dyDescent="0.25">
      <c r="A1238" s="3">
        <v>45691.22856481481</v>
      </c>
      <c r="B1238" t="s">
        <v>109</v>
      </c>
      <c r="C1238" s="3">
        <v>45691.228576388894</v>
      </c>
      <c r="D1238" t="s">
        <v>109</v>
      </c>
      <c r="E1238" s="4">
        <v>0</v>
      </c>
      <c r="F1238" s="4">
        <v>44354.65</v>
      </c>
      <c r="G1238" s="4">
        <v>44354.65</v>
      </c>
      <c r="H1238" s="5">
        <f>0 / 86400</f>
        <v>0</v>
      </c>
      <c r="I1238" t="s">
        <v>33</v>
      </c>
      <c r="J1238" t="s">
        <v>33</v>
      </c>
      <c r="K1238" s="5">
        <f>1 / 86400</f>
        <v>1.1574074074074073E-5</v>
      </c>
      <c r="L1238" s="5">
        <f>2 / 86400</f>
        <v>2.3148148148148147E-5</v>
      </c>
    </row>
    <row r="1239" spans="1:12" x14ac:dyDescent="0.25">
      <c r="A1239" s="3">
        <v>45691.228599537033</v>
      </c>
      <c r="B1239" t="s">
        <v>109</v>
      </c>
      <c r="C1239" s="3">
        <v>45691.237476851849</v>
      </c>
      <c r="D1239" t="s">
        <v>280</v>
      </c>
      <c r="E1239" s="4">
        <v>6.5750000000000002</v>
      </c>
      <c r="F1239" s="4">
        <v>44354.65</v>
      </c>
      <c r="G1239" s="4">
        <v>44361.224999999999</v>
      </c>
      <c r="H1239" s="5">
        <f>456 / 86400</f>
        <v>5.2777777777777779E-3</v>
      </c>
      <c r="I1239" t="s">
        <v>88</v>
      </c>
      <c r="J1239" t="s">
        <v>61</v>
      </c>
      <c r="K1239" s="5">
        <f>767 / 86400</f>
        <v>8.8773148148148153E-3</v>
      </c>
      <c r="L1239" s="5">
        <f>2189 / 86400</f>
        <v>2.5335648148148149E-2</v>
      </c>
    </row>
    <row r="1240" spans="1:12" x14ac:dyDescent="0.25">
      <c r="A1240" s="3">
        <v>45691.262812500005</v>
      </c>
      <c r="B1240" t="s">
        <v>354</v>
      </c>
      <c r="C1240" s="3">
        <v>45691.304895833338</v>
      </c>
      <c r="D1240" t="s">
        <v>142</v>
      </c>
      <c r="E1240" s="4">
        <v>118.27</v>
      </c>
      <c r="F1240" s="4">
        <v>44361.224999999999</v>
      </c>
      <c r="G1240" s="4">
        <v>44479.495000000003</v>
      </c>
      <c r="H1240" s="5">
        <f>820 / 86400</f>
        <v>9.4907407407407406E-3</v>
      </c>
      <c r="I1240" t="s">
        <v>29</v>
      </c>
      <c r="J1240" t="s">
        <v>405</v>
      </c>
      <c r="K1240" s="5">
        <f>3636 / 86400</f>
        <v>4.2083333333333334E-2</v>
      </c>
      <c r="L1240" s="5">
        <f>661 / 86400</f>
        <v>7.6504629629629631E-3</v>
      </c>
    </row>
    <row r="1241" spans="1:12" x14ac:dyDescent="0.25">
      <c r="A1241" s="3">
        <v>45691.312546296293</v>
      </c>
      <c r="B1241" t="s">
        <v>130</v>
      </c>
      <c r="C1241" s="3">
        <v>45691.3128125</v>
      </c>
      <c r="D1241" t="s">
        <v>142</v>
      </c>
      <c r="E1241" s="4">
        <v>0.23499999999999999</v>
      </c>
      <c r="F1241" s="4">
        <v>44479.495000000003</v>
      </c>
      <c r="G1241" s="4">
        <v>44479.73</v>
      </c>
      <c r="H1241" s="5">
        <f>0 / 86400</f>
        <v>0</v>
      </c>
      <c r="I1241" t="s">
        <v>151</v>
      </c>
      <c r="J1241" t="s">
        <v>143</v>
      </c>
      <c r="K1241" s="5">
        <f>22 / 86400</f>
        <v>2.5462962962962961E-4</v>
      </c>
      <c r="L1241" s="5">
        <f>365 / 86400</f>
        <v>4.2245370370370371E-3</v>
      </c>
    </row>
    <row r="1242" spans="1:12" x14ac:dyDescent="0.25">
      <c r="A1242" s="3">
        <v>45691.317037037035</v>
      </c>
      <c r="B1242" t="s">
        <v>142</v>
      </c>
      <c r="C1242" s="3">
        <v>45691.56659722222</v>
      </c>
      <c r="D1242" t="s">
        <v>406</v>
      </c>
      <c r="E1242" s="4">
        <v>505.66</v>
      </c>
      <c r="F1242" s="4">
        <v>44479.73</v>
      </c>
      <c r="G1242" s="4">
        <v>44985.39</v>
      </c>
      <c r="H1242" s="5">
        <f>7301 / 86400</f>
        <v>8.4502314814814808E-2</v>
      </c>
      <c r="I1242" t="s">
        <v>110</v>
      </c>
      <c r="J1242" t="s">
        <v>27</v>
      </c>
      <c r="K1242" s="5">
        <f>21561 / 86400</f>
        <v>0.24954861111111112</v>
      </c>
      <c r="L1242" s="5">
        <f>305 / 86400</f>
        <v>3.5300925925925925E-3</v>
      </c>
    </row>
    <row r="1243" spans="1:12" x14ac:dyDescent="0.25">
      <c r="A1243" s="3">
        <v>45691.570127314815</v>
      </c>
      <c r="B1243" t="s">
        <v>406</v>
      </c>
      <c r="C1243" s="3">
        <v>45691.573194444441</v>
      </c>
      <c r="D1243" t="s">
        <v>46</v>
      </c>
      <c r="E1243" s="4">
        <v>2.6549999999999998</v>
      </c>
      <c r="F1243" s="4">
        <v>44985.39</v>
      </c>
      <c r="G1243" s="4">
        <v>44988.044999999998</v>
      </c>
      <c r="H1243" s="5">
        <f>79 / 86400</f>
        <v>9.1435185185185185E-4</v>
      </c>
      <c r="I1243" t="s">
        <v>264</v>
      </c>
      <c r="J1243" t="s">
        <v>259</v>
      </c>
      <c r="K1243" s="5">
        <f>265 / 86400</f>
        <v>3.0671296296296297E-3</v>
      </c>
      <c r="L1243" s="5">
        <f>763 / 86400</f>
        <v>8.8310185185185193E-3</v>
      </c>
    </row>
    <row r="1244" spans="1:12" x14ac:dyDescent="0.25">
      <c r="A1244" s="3">
        <v>45691.582025462965</v>
      </c>
      <c r="B1244" t="s">
        <v>46</v>
      </c>
      <c r="C1244" s="3">
        <v>45691.585763888885</v>
      </c>
      <c r="D1244" t="s">
        <v>384</v>
      </c>
      <c r="E1244" s="4">
        <v>3.18</v>
      </c>
      <c r="F1244" s="4">
        <v>44988.044999999998</v>
      </c>
      <c r="G1244" s="4">
        <v>44991.224999999999</v>
      </c>
      <c r="H1244" s="5">
        <f>99 / 86400</f>
        <v>1.1458333333333333E-3</v>
      </c>
      <c r="I1244" t="s">
        <v>126</v>
      </c>
      <c r="J1244" t="s">
        <v>259</v>
      </c>
      <c r="K1244" s="5">
        <f>322 / 86400</f>
        <v>3.7268518518518519E-3</v>
      </c>
      <c r="L1244" s="5">
        <f>828 / 86400</f>
        <v>9.5833333333333326E-3</v>
      </c>
    </row>
    <row r="1245" spans="1:12" x14ac:dyDescent="0.25">
      <c r="A1245" s="3">
        <v>45691.595347222217</v>
      </c>
      <c r="B1245" t="s">
        <v>384</v>
      </c>
      <c r="C1245" s="3">
        <v>45691.595763888894</v>
      </c>
      <c r="D1245" t="s">
        <v>384</v>
      </c>
      <c r="E1245" s="4">
        <v>0</v>
      </c>
      <c r="F1245" s="4">
        <v>44991.224999999999</v>
      </c>
      <c r="G1245" s="4">
        <v>44991.224999999999</v>
      </c>
      <c r="H1245" s="5">
        <f>19 / 86400</f>
        <v>2.199074074074074E-4</v>
      </c>
      <c r="I1245" t="s">
        <v>33</v>
      </c>
      <c r="J1245" t="s">
        <v>33</v>
      </c>
      <c r="K1245" s="5">
        <f>36 / 86400</f>
        <v>4.1666666666666669E-4</v>
      </c>
      <c r="L1245" s="5">
        <f>902 / 86400</f>
        <v>1.0439814814814815E-2</v>
      </c>
    </row>
    <row r="1246" spans="1:12" x14ac:dyDescent="0.25">
      <c r="A1246" s="3">
        <v>45691.606203703705</v>
      </c>
      <c r="B1246" t="s">
        <v>384</v>
      </c>
      <c r="C1246" s="3">
        <v>45691.663784722223</v>
      </c>
      <c r="D1246" t="s">
        <v>407</v>
      </c>
      <c r="E1246" s="4">
        <v>189.91499999999999</v>
      </c>
      <c r="F1246" s="4">
        <v>44991.224999999999</v>
      </c>
      <c r="G1246" s="4">
        <v>45181.14</v>
      </c>
      <c r="H1246" s="5">
        <f>758 / 86400</f>
        <v>8.773148148148148E-3</v>
      </c>
      <c r="I1246" t="s">
        <v>389</v>
      </c>
      <c r="J1246" t="s">
        <v>408</v>
      </c>
      <c r="K1246" s="5">
        <f>4975 / 86400</f>
        <v>5.7581018518518517E-2</v>
      </c>
      <c r="L1246" s="5">
        <f>1166 / 86400</f>
        <v>1.3495370370370371E-2</v>
      </c>
    </row>
    <row r="1247" spans="1:12" x14ac:dyDescent="0.25">
      <c r="A1247" s="3">
        <v>45691.677280092597</v>
      </c>
      <c r="B1247" t="s">
        <v>407</v>
      </c>
      <c r="C1247" s="3">
        <v>45691.678703703699</v>
      </c>
      <c r="D1247" t="s">
        <v>407</v>
      </c>
      <c r="E1247" s="4">
        <v>0</v>
      </c>
      <c r="F1247" s="4">
        <v>45181.14</v>
      </c>
      <c r="G1247" s="4">
        <v>45181.14</v>
      </c>
      <c r="H1247" s="5">
        <f>119 / 86400</f>
        <v>1.3773148148148147E-3</v>
      </c>
      <c r="I1247" t="s">
        <v>33</v>
      </c>
      <c r="J1247" t="s">
        <v>33</v>
      </c>
      <c r="K1247" s="5">
        <f>122 / 86400</f>
        <v>1.4120370370370369E-3</v>
      </c>
      <c r="L1247" s="5">
        <f>309 / 86400</f>
        <v>3.5763888888888889E-3</v>
      </c>
    </row>
    <row r="1248" spans="1:12" x14ac:dyDescent="0.25">
      <c r="A1248" s="3">
        <v>45691.682280092587</v>
      </c>
      <c r="B1248" t="s">
        <v>407</v>
      </c>
      <c r="C1248" s="3">
        <v>45691.684236111112</v>
      </c>
      <c r="D1248" t="s">
        <v>407</v>
      </c>
      <c r="E1248" s="4">
        <v>0</v>
      </c>
      <c r="F1248" s="4">
        <v>45181.14</v>
      </c>
      <c r="G1248" s="4">
        <v>45181.14</v>
      </c>
      <c r="H1248" s="5">
        <f>159 / 86400</f>
        <v>1.8402777777777777E-3</v>
      </c>
      <c r="I1248" t="s">
        <v>33</v>
      </c>
      <c r="J1248" t="s">
        <v>33</v>
      </c>
      <c r="K1248" s="5">
        <f>168 / 86400</f>
        <v>1.9444444444444444E-3</v>
      </c>
      <c r="L1248" s="5">
        <f>4 / 86400</f>
        <v>4.6296296296296294E-5</v>
      </c>
    </row>
    <row r="1249" spans="1:12" x14ac:dyDescent="0.25">
      <c r="A1249" s="3">
        <v>45691.684282407412</v>
      </c>
      <c r="B1249" t="s">
        <v>407</v>
      </c>
      <c r="C1249" s="3">
        <v>45691.684606481482</v>
      </c>
      <c r="D1249" t="s">
        <v>407</v>
      </c>
      <c r="E1249" s="4">
        <v>0</v>
      </c>
      <c r="F1249" s="4">
        <v>45181.14</v>
      </c>
      <c r="G1249" s="4">
        <v>45181.14</v>
      </c>
      <c r="H1249" s="5">
        <f>27 / 86400</f>
        <v>3.1250000000000001E-4</v>
      </c>
      <c r="I1249" t="s">
        <v>33</v>
      </c>
      <c r="J1249" t="s">
        <v>33</v>
      </c>
      <c r="K1249" s="5">
        <f>28 / 86400</f>
        <v>3.2407407407407406E-4</v>
      </c>
      <c r="L1249" s="5">
        <f>69 / 86400</f>
        <v>7.9861111111111116E-4</v>
      </c>
    </row>
    <row r="1250" spans="1:12" x14ac:dyDescent="0.25">
      <c r="A1250" s="3">
        <v>45691.68540509259</v>
      </c>
      <c r="B1250" t="s">
        <v>407</v>
      </c>
      <c r="C1250" s="3">
        <v>45691.812002314815</v>
      </c>
      <c r="D1250" t="s">
        <v>354</v>
      </c>
      <c r="E1250" s="4">
        <v>295.55</v>
      </c>
      <c r="F1250" s="4">
        <v>45181.14</v>
      </c>
      <c r="G1250" s="4">
        <v>45476.69</v>
      </c>
      <c r="H1250" s="5">
        <f>3599 / 86400</f>
        <v>4.1655092592592591E-2</v>
      </c>
      <c r="I1250" t="s">
        <v>305</v>
      </c>
      <c r="J1250" t="s">
        <v>87</v>
      </c>
      <c r="K1250" s="5">
        <f>10937 / 86400</f>
        <v>0.12658564814814816</v>
      </c>
      <c r="L1250" s="5">
        <f>689 / 86400</f>
        <v>7.9745370370370369E-3</v>
      </c>
    </row>
    <row r="1251" spans="1:12" x14ac:dyDescent="0.25">
      <c r="A1251" s="3">
        <v>45691.819976851853</v>
      </c>
      <c r="B1251" t="s">
        <v>354</v>
      </c>
      <c r="C1251" s="3">
        <v>45691.827187499999</v>
      </c>
      <c r="D1251" t="s">
        <v>28</v>
      </c>
      <c r="E1251" s="4">
        <v>7.9850000000000003</v>
      </c>
      <c r="F1251" s="4">
        <v>45476.69</v>
      </c>
      <c r="G1251" s="4">
        <v>45484.675000000003</v>
      </c>
      <c r="H1251" s="5">
        <f>180 / 86400</f>
        <v>2.0833333333333333E-3</v>
      </c>
      <c r="I1251" t="s">
        <v>135</v>
      </c>
      <c r="J1251" t="s">
        <v>126</v>
      </c>
      <c r="K1251" s="5">
        <f>623 / 86400</f>
        <v>7.2106481481481483E-3</v>
      </c>
      <c r="L1251" s="5">
        <f>2736 / 86400</f>
        <v>3.1666666666666669E-2</v>
      </c>
    </row>
    <row r="1252" spans="1:12" x14ac:dyDescent="0.25">
      <c r="A1252" s="3">
        <v>45691.858854166669</v>
      </c>
      <c r="B1252" t="s">
        <v>109</v>
      </c>
      <c r="C1252" s="3">
        <v>45691.861597222218</v>
      </c>
      <c r="D1252" t="s">
        <v>28</v>
      </c>
      <c r="E1252" s="4">
        <v>3.9950000000000001</v>
      </c>
      <c r="F1252" s="4">
        <v>45484.675000000003</v>
      </c>
      <c r="G1252" s="4">
        <v>45488.67</v>
      </c>
      <c r="H1252" s="5">
        <f>20 / 86400</f>
        <v>2.3148148148148149E-4</v>
      </c>
      <c r="I1252" t="s">
        <v>135</v>
      </c>
      <c r="J1252" t="s">
        <v>339</v>
      </c>
      <c r="K1252" s="5">
        <f>237 / 86400</f>
        <v>2.7430555555555554E-3</v>
      </c>
      <c r="L1252" s="5">
        <f>109 / 86400</f>
        <v>1.261574074074074E-3</v>
      </c>
    </row>
    <row r="1253" spans="1:12" x14ac:dyDescent="0.25">
      <c r="A1253" s="3">
        <v>45691.862858796296</v>
      </c>
      <c r="B1253" t="s">
        <v>28</v>
      </c>
      <c r="C1253" s="3">
        <v>45691.873819444445</v>
      </c>
      <c r="D1253" t="s">
        <v>272</v>
      </c>
      <c r="E1253" s="4">
        <v>39.725000000007448</v>
      </c>
      <c r="F1253" s="4">
        <v>45488.67</v>
      </c>
      <c r="G1253" s="4">
        <v>45528.395000000004</v>
      </c>
      <c r="H1253" s="5">
        <f>140 / 86400</f>
        <v>1.6203703703703703E-3</v>
      </c>
      <c r="I1253" t="s">
        <v>95</v>
      </c>
      <c r="J1253" t="s">
        <v>409</v>
      </c>
      <c r="K1253" s="5">
        <f>946 / 86400</f>
        <v>1.0949074074074075E-2</v>
      </c>
      <c r="L1253" s="5">
        <f>2914 / 86400</f>
        <v>3.3726851851851855E-2</v>
      </c>
    </row>
    <row r="1254" spans="1:12" x14ac:dyDescent="0.25">
      <c r="A1254" s="3">
        <v>45691.907546296294</v>
      </c>
      <c r="B1254" t="s">
        <v>347</v>
      </c>
      <c r="C1254" s="3">
        <v>45691.909571759257</v>
      </c>
      <c r="D1254" t="s">
        <v>272</v>
      </c>
      <c r="E1254" s="4">
        <v>0</v>
      </c>
      <c r="F1254" s="4">
        <v>45528.395000000004</v>
      </c>
      <c r="G1254" s="4">
        <v>45528.395000000004</v>
      </c>
      <c r="H1254" s="5">
        <f>159 / 86400</f>
        <v>1.8402777777777777E-3</v>
      </c>
      <c r="I1254" t="s">
        <v>33</v>
      </c>
      <c r="J1254" t="s">
        <v>33</v>
      </c>
      <c r="K1254" s="5">
        <f>174 / 86400</f>
        <v>2.0138888888888888E-3</v>
      </c>
      <c r="L1254" s="5">
        <f>2092 / 86400</f>
        <v>2.4212962962962964E-2</v>
      </c>
    </row>
    <row r="1255" spans="1:12" x14ac:dyDescent="0.25">
      <c r="A1255" s="3">
        <v>45691.93378472222</v>
      </c>
      <c r="B1255" t="s">
        <v>272</v>
      </c>
      <c r="C1255" s="3">
        <v>45691.943854166668</v>
      </c>
      <c r="D1255" t="s">
        <v>28</v>
      </c>
      <c r="E1255" s="4">
        <v>36.719999999992552</v>
      </c>
      <c r="F1255" s="4">
        <v>45528.395000000004</v>
      </c>
      <c r="G1255" s="4">
        <v>45565.114999999998</v>
      </c>
      <c r="H1255" s="5">
        <f>160 / 86400</f>
        <v>1.8518518518518519E-3</v>
      </c>
      <c r="I1255" t="s">
        <v>56</v>
      </c>
      <c r="J1255" t="s">
        <v>410</v>
      </c>
      <c r="K1255" s="5">
        <f>870 / 86400</f>
        <v>1.0069444444444445E-2</v>
      </c>
      <c r="L1255" s="5">
        <f>2594 / 86400</f>
        <v>3.0023148148148149E-2</v>
      </c>
    </row>
    <row r="1256" spans="1:12" x14ac:dyDescent="0.25">
      <c r="A1256" s="3">
        <v>45691.973877314813</v>
      </c>
      <c r="B1256" t="s">
        <v>28</v>
      </c>
      <c r="C1256" s="3">
        <v>45691.974976851852</v>
      </c>
      <c r="D1256" t="s">
        <v>109</v>
      </c>
      <c r="E1256" s="4">
        <v>0.22</v>
      </c>
      <c r="F1256" s="4">
        <v>45565.114999999998</v>
      </c>
      <c r="G1256" s="4">
        <v>45565.334999999999</v>
      </c>
      <c r="H1256" s="5">
        <f>20 / 86400</f>
        <v>2.3148148148148149E-4</v>
      </c>
      <c r="I1256" t="s">
        <v>32</v>
      </c>
      <c r="J1256" t="s">
        <v>151</v>
      </c>
      <c r="K1256" s="5">
        <f>95 / 86400</f>
        <v>1.0995370370370371E-3</v>
      </c>
      <c r="L1256" s="5">
        <f>2161 / 86400</f>
        <v>2.5011574074074075E-2</v>
      </c>
    </row>
    <row r="1257" spans="1:12" x14ac:dyDescent="0.25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</row>
    <row r="1258" spans="1:12" x14ac:dyDescent="0.25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</row>
    <row r="1259" spans="1:12" s="10" customFormat="1" ht="20.100000000000001" customHeight="1" x14ac:dyDescent="0.35">
      <c r="A1259" s="12" t="s">
        <v>475</v>
      </c>
      <c r="B1259" s="12"/>
      <c r="C1259" s="12"/>
      <c r="D1259" s="12"/>
      <c r="E1259" s="12"/>
      <c r="F1259" s="12"/>
      <c r="G1259" s="12"/>
      <c r="H1259" s="12"/>
      <c r="I1259" s="12"/>
      <c r="J1259" s="12"/>
    </row>
    <row r="1260" spans="1:12" x14ac:dyDescent="0.25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</row>
    <row r="1261" spans="1:12" ht="30" x14ac:dyDescent="0.25">
      <c r="A1261" s="2" t="s">
        <v>6</v>
      </c>
      <c r="B1261" s="2" t="s">
        <v>7</v>
      </c>
      <c r="C1261" s="2" t="s">
        <v>8</v>
      </c>
      <c r="D1261" s="2" t="s">
        <v>9</v>
      </c>
      <c r="E1261" s="2" t="s">
        <v>10</v>
      </c>
      <c r="F1261" s="2" t="s">
        <v>11</v>
      </c>
      <c r="G1261" s="2" t="s">
        <v>12</v>
      </c>
      <c r="H1261" s="2" t="s">
        <v>13</v>
      </c>
      <c r="I1261" s="2" t="s">
        <v>14</v>
      </c>
      <c r="J1261" s="2" t="s">
        <v>15</v>
      </c>
      <c r="K1261" s="2" t="s">
        <v>16</v>
      </c>
      <c r="L1261" s="2" t="s">
        <v>17</v>
      </c>
    </row>
    <row r="1262" spans="1:12" x14ac:dyDescent="0.25">
      <c r="A1262" s="3">
        <v>45691</v>
      </c>
      <c r="B1262" t="s">
        <v>112</v>
      </c>
      <c r="C1262" s="3">
        <v>45691.001932870371</v>
      </c>
      <c r="D1262" t="s">
        <v>38</v>
      </c>
      <c r="E1262" s="4">
        <v>1.6990000000000001</v>
      </c>
      <c r="F1262" s="4">
        <v>56411.88</v>
      </c>
      <c r="G1262" s="4">
        <v>56413.578999999998</v>
      </c>
      <c r="H1262" s="5">
        <f>0 / 86400</f>
        <v>0</v>
      </c>
      <c r="I1262" t="s">
        <v>240</v>
      </c>
      <c r="J1262" t="s">
        <v>248</v>
      </c>
      <c r="K1262" s="5">
        <f>167 / 86400</f>
        <v>1.9328703703703704E-3</v>
      </c>
      <c r="L1262" s="5">
        <f>18 / 86400</f>
        <v>2.0833333333333335E-4</v>
      </c>
    </row>
    <row r="1263" spans="1:12" x14ac:dyDescent="0.25">
      <c r="A1263" s="3">
        <v>45691.002141203702</v>
      </c>
      <c r="B1263" t="s">
        <v>38</v>
      </c>
      <c r="C1263" s="3">
        <v>45691.025567129633</v>
      </c>
      <c r="D1263" t="s">
        <v>134</v>
      </c>
      <c r="E1263" s="4">
        <v>17.707999999999998</v>
      </c>
      <c r="F1263" s="4">
        <v>56413.578999999998</v>
      </c>
      <c r="G1263" s="4">
        <v>56431.286999999997</v>
      </c>
      <c r="H1263" s="5">
        <f>260 / 86400</f>
        <v>3.0092592592592593E-3</v>
      </c>
      <c r="I1263" t="s">
        <v>305</v>
      </c>
      <c r="J1263" t="s">
        <v>61</v>
      </c>
      <c r="K1263" s="5">
        <f>2024 / 86400</f>
        <v>2.3425925925925926E-2</v>
      </c>
      <c r="L1263" s="5">
        <f>715 / 86400</f>
        <v>8.2754629629629636E-3</v>
      </c>
    </row>
    <row r="1264" spans="1:12" x14ac:dyDescent="0.25">
      <c r="A1264" s="3">
        <v>45691.033842592587</v>
      </c>
      <c r="B1264" t="s">
        <v>134</v>
      </c>
      <c r="C1264" s="3">
        <v>45691.035150462965</v>
      </c>
      <c r="D1264" t="s">
        <v>113</v>
      </c>
      <c r="E1264" s="4">
        <v>0.27300000000000002</v>
      </c>
      <c r="F1264" s="4">
        <v>56431.286999999997</v>
      </c>
      <c r="G1264" s="4">
        <v>56431.56</v>
      </c>
      <c r="H1264" s="5">
        <f>19 / 86400</f>
        <v>2.199074074074074E-4</v>
      </c>
      <c r="I1264" t="s">
        <v>70</v>
      </c>
      <c r="J1264" t="s">
        <v>79</v>
      </c>
      <c r="K1264" s="5">
        <f>113 / 86400</f>
        <v>1.3078703703703703E-3</v>
      </c>
      <c r="L1264" s="5">
        <f>145 / 86400</f>
        <v>1.6782407407407408E-3</v>
      </c>
    </row>
    <row r="1265" spans="1:12" x14ac:dyDescent="0.25">
      <c r="A1265" s="3">
        <v>45691.036828703705</v>
      </c>
      <c r="B1265" t="s">
        <v>113</v>
      </c>
      <c r="C1265" s="3">
        <v>45691.037442129629</v>
      </c>
      <c r="D1265" t="s">
        <v>113</v>
      </c>
      <c r="E1265" s="4">
        <v>3.9E-2</v>
      </c>
      <c r="F1265" s="4">
        <v>56431.56</v>
      </c>
      <c r="G1265" s="4">
        <v>56431.599000000002</v>
      </c>
      <c r="H1265" s="5">
        <f>0 / 86400</f>
        <v>0</v>
      </c>
      <c r="I1265" t="s">
        <v>136</v>
      </c>
      <c r="J1265" t="s">
        <v>128</v>
      </c>
      <c r="K1265" s="5">
        <f>52 / 86400</f>
        <v>6.018518518518519E-4</v>
      </c>
      <c r="L1265" s="5">
        <f>11495 / 86400</f>
        <v>0.13304398148148147</v>
      </c>
    </row>
    <row r="1266" spans="1:12" x14ac:dyDescent="0.25">
      <c r="A1266" s="3">
        <v>45691.170486111107</v>
      </c>
      <c r="B1266" t="s">
        <v>113</v>
      </c>
      <c r="C1266" s="3">
        <v>45691.239814814813</v>
      </c>
      <c r="D1266" t="s">
        <v>365</v>
      </c>
      <c r="E1266" s="4">
        <v>49.561</v>
      </c>
      <c r="F1266" s="4">
        <v>56431.599000000002</v>
      </c>
      <c r="G1266" s="4">
        <v>56481.16</v>
      </c>
      <c r="H1266" s="5">
        <f>939 / 86400</f>
        <v>1.0868055555555556E-2</v>
      </c>
      <c r="I1266" t="s">
        <v>111</v>
      </c>
      <c r="J1266" t="s">
        <v>257</v>
      </c>
      <c r="K1266" s="5">
        <f>5990 / 86400</f>
        <v>6.9328703703703698E-2</v>
      </c>
      <c r="L1266" s="5">
        <f>155 / 86400</f>
        <v>1.7939814814814815E-3</v>
      </c>
    </row>
    <row r="1267" spans="1:12" x14ac:dyDescent="0.25">
      <c r="A1267" s="3">
        <v>45691.241608796292</v>
      </c>
      <c r="B1267" t="s">
        <v>365</v>
      </c>
      <c r="C1267" s="3">
        <v>45691.335995370369</v>
      </c>
      <c r="D1267" t="s">
        <v>127</v>
      </c>
      <c r="E1267" s="4">
        <v>51.073</v>
      </c>
      <c r="F1267" s="4">
        <v>56481.16</v>
      </c>
      <c r="G1267" s="4">
        <v>56532.233</v>
      </c>
      <c r="H1267" s="5">
        <f>1920 / 86400</f>
        <v>2.2222222222222223E-2</v>
      </c>
      <c r="I1267" t="s">
        <v>129</v>
      </c>
      <c r="J1267" t="s">
        <v>170</v>
      </c>
      <c r="K1267" s="5">
        <f>8155 / 86400</f>
        <v>9.4386574074074067E-2</v>
      </c>
      <c r="L1267" s="5">
        <f>460 / 86400</f>
        <v>5.324074074074074E-3</v>
      </c>
    </row>
    <row r="1268" spans="1:12" x14ac:dyDescent="0.25">
      <c r="A1268" s="3">
        <v>45691.341319444444</v>
      </c>
      <c r="B1268" t="s">
        <v>127</v>
      </c>
      <c r="C1268" s="3">
        <v>45691.343587962961</v>
      </c>
      <c r="D1268" t="s">
        <v>46</v>
      </c>
      <c r="E1268" s="4">
        <v>0.80900000000000005</v>
      </c>
      <c r="F1268" s="4">
        <v>56532.233</v>
      </c>
      <c r="G1268" s="4">
        <v>56533.042000000001</v>
      </c>
      <c r="H1268" s="5">
        <f>19 / 86400</f>
        <v>2.199074074074074E-4</v>
      </c>
      <c r="I1268" t="s">
        <v>279</v>
      </c>
      <c r="J1268" t="s">
        <v>30</v>
      </c>
      <c r="K1268" s="5">
        <f>195 / 86400</f>
        <v>2.2569444444444442E-3</v>
      </c>
      <c r="L1268" s="5">
        <f>1228 / 86400</f>
        <v>1.4212962962962964E-2</v>
      </c>
    </row>
    <row r="1269" spans="1:12" x14ac:dyDescent="0.25">
      <c r="A1269" s="3">
        <v>45691.357800925922</v>
      </c>
      <c r="B1269" t="s">
        <v>46</v>
      </c>
      <c r="C1269" s="3">
        <v>45691.361701388887</v>
      </c>
      <c r="D1269" t="s">
        <v>142</v>
      </c>
      <c r="E1269" s="4">
        <v>1.1859999999999999</v>
      </c>
      <c r="F1269" s="4">
        <v>56533.042000000001</v>
      </c>
      <c r="G1269" s="4">
        <v>56534.228000000003</v>
      </c>
      <c r="H1269" s="5">
        <f>0 / 86400</f>
        <v>0</v>
      </c>
      <c r="I1269" t="s">
        <v>131</v>
      </c>
      <c r="J1269" t="s">
        <v>59</v>
      </c>
      <c r="K1269" s="5">
        <f>337 / 86400</f>
        <v>3.9004629629629628E-3</v>
      </c>
      <c r="L1269" s="5">
        <f>298 / 86400</f>
        <v>3.449074074074074E-3</v>
      </c>
    </row>
    <row r="1270" spans="1:12" x14ac:dyDescent="0.25">
      <c r="A1270" s="3">
        <v>45691.365150462967</v>
      </c>
      <c r="B1270" t="s">
        <v>142</v>
      </c>
      <c r="C1270" s="3">
        <v>45691.472071759257</v>
      </c>
      <c r="D1270" t="s">
        <v>365</v>
      </c>
      <c r="E1270" s="4">
        <v>52.927999999999997</v>
      </c>
      <c r="F1270" s="4">
        <v>56534.228000000003</v>
      </c>
      <c r="G1270" s="4">
        <v>56587.156000000003</v>
      </c>
      <c r="H1270" s="5">
        <f>2662 / 86400</f>
        <v>3.0810185185185184E-2</v>
      </c>
      <c r="I1270" t="s">
        <v>72</v>
      </c>
      <c r="J1270" t="s">
        <v>70</v>
      </c>
      <c r="K1270" s="5">
        <f>9237 / 86400</f>
        <v>0.10690972222222223</v>
      </c>
      <c r="L1270" s="5">
        <f>164 / 86400</f>
        <v>1.8981481481481482E-3</v>
      </c>
    </row>
    <row r="1271" spans="1:12" x14ac:dyDescent="0.25">
      <c r="A1271" s="3">
        <v>45691.473969907413</v>
      </c>
      <c r="B1271" t="s">
        <v>365</v>
      </c>
      <c r="C1271" s="3">
        <v>45691.590092592596</v>
      </c>
      <c r="D1271" t="s">
        <v>127</v>
      </c>
      <c r="E1271" s="4">
        <v>50.579000000000001</v>
      </c>
      <c r="F1271" s="4">
        <v>56587.156000000003</v>
      </c>
      <c r="G1271" s="4">
        <v>56637.735000000001</v>
      </c>
      <c r="H1271" s="5">
        <f>3321 / 86400</f>
        <v>3.8437499999999999E-2</v>
      </c>
      <c r="I1271" t="s">
        <v>78</v>
      </c>
      <c r="J1271" t="s">
        <v>20</v>
      </c>
      <c r="K1271" s="5">
        <f>10033 / 86400</f>
        <v>0.11612268518518519</v>
      </c>
      <c r="L1271" s="5">
        <f>168 / 86400</f>
        <v>1.9444444444444444E-3</v>
      </c>
    </row>
    <row r="1272" spans="1:12" x14ac:dyDescent="0.25">
      <c r="A1272" s="3">
        <v>45691.592037037037</v>
      </c>
      <c r="B1272" t="s">
        <v>127</v>
      </c>
      <c r="C1272" s="3">
        <v>45691.595069444447</v>
      </c>
      <c r="D1272" t="s">
        <v>395</v>
      </c>
      <c r="E1272" s="4">
        <v>1.004</v>
      </c>
      <c r="F1272" s="4">
        <v>56637.735000000001</v>
      </c>
      <c r="G1272" s="4">
        <v>56638.739000000001</v>
      </c>
      <c r="H1272" s="5">
        <f>20 / 86400</f>
        <v>2.3148148148148149E-4</v>
      </c>
      <c r="I1272" t="s">
        <v>248</v>
      </c>
      <c r="J1272" t="s">
        <v>45</v>
      </c>
      <c r="K1272" s="5">
        <f>262 / 86400</f>
        <v>3.0324074074074073E-3</v>
      </c>
      <c r="L1272" s="5">
        <f>8210 / 86400</f>
        <v>9.5023148148148148E-2</v>
      </c>
    </row>
    <row r="1273" spans="1:12" x14ac:dyDescent="0.25">
      <c r="A1273" s="3">
        <v>45691.690092592587</v>
      </c>
      <c r="B1273" t="s">
        <v>395</v>
      </c>
      <c r="C1273" s="3">
        <v>45691.833240740743</v>
      </c>
      <c r="D1273" t="s">
        <v>191</v>
      </c>
      <c r="E1273" s="4">
        <v>64.454999999999998</v>
      </c>
      <c r="F1273" s="4">
        <v>56638.739000000001</v>
      </c>
      <c r="G1273" s="4">
        <v>56703.194000000003</v>
      </c>
      <c r="H1273" s="5">
        <f>3140 / 86400</f>
        <v>3.6342592592592593E-2</v>
      </c>
      <c r="I1273" t="s">
        <v>78</v>
      </c>
      <c r="J1273" t="s">
        <v>35</v>
      </c>
      <c r="K1273" s="5">
        <f>12367 / 86400</f>
        <v>0.14313657407407407</v>
      </c>
      <c r="L1273" s="5">
        <f>41 / 86400</f>
        <v>4.7453703703703704E-4</v>
      </c>
    </row>
    <row r="1274" spans="1:12" x14ac:dyDescent="0.25">
      <c r="A1274" s="3">
        <v>45691.833715277782</v>
      </c>
      <c r="B1274" t="s">
        <v>191</v>
      </c>
      <c r="C1274" s="3">
        <v>45691.98537037037</v>
      </c>
      <c r="D1274" t="s">
        <v>154</v>
      </c>
      <c r="E1274" s="4">
        <v>67.308999999999997</v>
      </c>
      <c r="F1274" s="4">
        <v>56703.194000000003</v>
      </c>
      <c r="G1274" s="4">
        <v>56770.502999999997</v>
      </c>
      <c r="H1274" s="5">
        <f>3922 / 86400</f>
        <v>4.5393518518518521E-2</v>
      </c>
      <c r="I1274" t="s">
        <v>175</v>
      </c>
      <c r="J1274" t="s">
        <v>20</v>
      </c>
      <c r="K1274" s="5">
        <f>13102 / 86400</f>
        <v>0.15164351851851851</v>
      </c>
      <c r="L1274" s="5">
        <f>472 / 86400</f>
        <v>5.4629629629629629E-3</v>
      </c>
    </row>
    <row r="1275" spans="1:12" x14ac:dyDescent="0.25">
      <c r="A1275" s="3">
        <v>45691.99083333333</v>
      </c>
      <c r="B1275" t="s">
        <v>154</v>
      </c>
      <c r="C1275" s="3">
        <v>45691.992025462961</v>
      </c>
      <c r="D1275" t="s">
        <v>134</v>
      </c>
      <c r="E1275" s="4">
        <v>0.45800000000000002</v>
      </c>
      <c r="F1275" s="4">
        <v>56770.502999999997</v>
      </c>
      <c r="G1275" s="4">
        <v>56770.961000000003</v>
      </c>
      <c r="H1275" s="5">
        <f>0 / 86400</f>
        <v>0</v>
      </c>
      <c r="I1275" t="s">
        <v>120</v>
      </c>
      <c r="J1275" t="s">
        <v>40</v>
      </c>
      <c r="K1275" s="5">
        <f>102 / 86400</f>
        <v>1.1805555555555556E-3</v>
      </c>
      <c r="L1275" s="5">
        <f>351 / 86400</f>
        <v>4.0625000000000001E-3</v>
      </c>
    </row>
    <row r="1276" spans="1:12" x14ac:dyDescent="0.25">
      <c r="A1276" s="3">
        <v>45691.996087962965</v>
      </c>
      <c r="B1276" t="s">
        <v>134</v>
      </c>
      <c r="C1276" s="3">
        <v>45691.999120370368</v>
      </c>
      <c r="D1276" t="s">
        <v>113</v>
      </c>
      <c r="E1276" s="4">
        <v>0.32500000000000001</v>
      </c>
      <c r="F1276" s="4">
        <v>56770.961000000003</v>
      </c>
      <c r="G1276" s="4">
        <v>56771.286</v>
      </c>
      <c r="H1276" s="5">
        <f>80 / 86400</f>
        <v>9.2592592592592596E-4</v>
      </c>
      <c r="I1276" t="s">
        <v>59</v>
      </c>
      <c r="J1276" t="s">
        <v>132</v>
      </c>
      <c r="K1276" s="5">
        <f>261 / 86400</f>
        <v>3.0208333333333333E-3</v>
      </c>
      <c r="L1276" s="5">
        <f>75 / 86400</f>
        <v>8.6805555555555551E-4</v>
      </c>
    </row>
    <row r="1277" spans="1:12" x14ac:dyDescent="0.25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</row>
    <row r="1278" spans="1:12" x14ac:dyDescent="0.25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</row>
    <row r="1279" spans="1:12" s="10" customFormat="1" ht="20.100000000000001" customHeight="1" x14ac:dyDescent="0.35">
      <c r="A1279" s="12" t="s">
        <v>476</v>
      </c>
      <c r="B1279" s="12"/>
      <c r="C1279" s="12"/>
      <c r="D1279" s="12"/>
      <c r="E1279" s="12"/>
      <c r="F1279" s="12"/>
      <c r="G1279" s="12"/>
      <c r="H1279" s="12"/>
      <c r="I1279" s="12"/>
      <c r="J1279" s="12"/>
    </row>
    <row r="1280" spans="1:12" x14ac:dyDescent="0.25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</row>
    <row r="1281" spans="1:12" ht="30" x14ac:dyDescent="0.25">
      <c r="A1281" s="2" t="s">
        <v>6</v>
      </c>
      <c r="B1281" s="2" t="s">
        <v>7</v>
      </c>
      <c r="C1281" s="2" t="s">
        <v>8</v>
      </c>
      <c r="D1281" s="2" t="s">
        <v>9</v>
      </c>
      <c r="E1281" s="2" t="s">
        <v>10</v>
      </c>
      <c r="F1281" s="2" t="s">
        <v>11</v>
      </c>
      <c r="G1281" s="2" t="s">
        <v>12</v>
      </c>
      <c r="H1281" s="2" t="s">
        <v>13</v>
      </c>
      <c r="I1281" s="2" t="s">
        <v>14</v>
      </c>
      <c r="J1281" s="2" t="s">
        <v>15</v>
      </c>
      <c r="K1281" s="2" t="s">
        <v>16</v>
      </c>
      <c r="L1281" s="2" t="s">
        <v>17</v>
      </c>
    </row>
    <row r="1282" spans="1:12" x14ac:dyDescent="0.25">
      <c r="A1282" s="3">
        <v>45691.154594907406</v>
      </c>
      <c r="B1282" t="s">
        <v>46</v>
      </c>
      <c r="C1282" s="3">
        <v>45691.157488425924</v>
      </c>
      <c r="D1282" t="s">
        <v>154</v>
      </c>
      <c r="E1282" s="4">
        <v>0.64400000000000002</v>
      </c>
      <c r="F1282" s="4">
        <v>59561.167999999998</v>
      </c>
      <c r="G1282" s="4">
        <v>59561.811999999998</v>
      </c>
      <c r="H1282" s="5">
        <f>79 / 86400</f>
        <v>9.1435185185185185E-4</v>
      </c>
      <c r="I1282" t="s">
        <v>262</v>
      </c>
      <c r="J1282" t="s">
        <v>79</v>
      </c>
      <c r="K1282" s="5">
        <f>250 / 86400</f>
        <v>2.8935185185185184E-3</v>
      </c>
      <c r="L1282" s="5">
        <f>15110 / 86400</f>
        <v>0.17488425925925927</v>
      </c>
    </row>
    <row r="1283" spans="1:12" x14ac:dyDescent="0.25">
      <c r="A1283" s="3">
        <v>45691.177777777775</v>
      </c>
      <c r="B1283" t="s">
        <v>154</v>
      </c>
      <c r="C1283" s="3">
        <v>45691.253379629634</v>
      </c>
      <c r="D1283" t="s">
        <v>361</v>
      </c>
      <c r="E1283" s="4">
        <v>47.811999999999998</v>
      </c>
      <c r="F1283" s="4">
        <v>59561.811999999998</v>
      </c>
      <c r="G1283" s="4">
        <v>59609.624000000003</v>
      </c>
      <c r="H1283" s="5">
        <f>1140 / 86400</f>
        <v>1.3194444444444444E-2</v>
      </c>
      <c r="I1283" t="s">
        <v>115</v>
      </c>
      <c r="J1283" t="s">
        <v>172</v>
      </c>
      <c r="K1283" s="5">
        <f>6531 / 86400</f>
        <v>7.5590277777777784E-2</v>
      </c>
      <c r="L1283" s="5">
        <f>89 / 86400</f>
        <v>1.0300925925925926E-3</v>
      </c>
    </row>
    <row r="1284" spans="1:12" x14ac:dyDescent="0.25">
      <c r="A1284" s="3">
        <v>45691.254409722227</v>
      </c>
      <c r="B1284" t="s">
        <v>361</v>
      </c>
      <c r="C1284" s="3">
        <v>45691.339016203703</v>
      </c>
      <c r="D1284" t="s">
        <v>411</v>
      </c>
      <c r="E1284" s="4">
        <v>42.393999999999998</v>
      </c>
      <c r="F1284" s="4">
        <v>59609.624000000003</v>
      </c>
      <c r="G1284" s="4">
        <v>59652.017999999996</v>
      </c>
      <c r="H1284" s="5">
        <f>2198 / 86400</f>
        <v>2.5439814814814814E-2</v>
      </c>
      <c r="I1284" t="s">
        <v>57</v>
      </c>
      <c r="J1284" t="s">
        <v>70</v>
      </c>
      <c r="K1284" s="5">
        <f>7310 / 86400</f>
        <v>8.4606481481481477E-2</v>
      </c>
      <c r="L1284" s="5">
        <f>1048 / 86400</f>
        <v>1.2129629629629629E-2</v>
      </c>
    </row>
    <row r="1285" spans="1:12" x14ac:dyDescent="0.25">
      <c r="A1285" s="3">
        <v>45691.351145833338</v>
      </c>
      <c r="B1285" t="s">
        <v>412</v>
      </c>
      <c r="C1285" s="3">
        <v>45691.354502314818</v>
      </c>
      <c r="D1285" t="s">
        <v>413</v>
      </c>
      <c r="E1285" s="4">
        <v>0.93700000000000006</v>
      </c>
      <c r="F1285" s="4">
        <v>59652.017999999996</v>
      </c>
      <c r="G1285" s="4">
        <v>59652.955000000002</v>
      </c>
      <c r="H1285" s="5">
        <f>79 / 86400</f>
        <v>9.1435185185185185E-4</v>
      </c>
      <c r="I1285" t="s">
        <v>172</v>
      </c>
      <c r="J1285" t="s">
        <v>155</v>
      </c>
      <c r="K1285" s="5">
        <f>290 / 86400</f>
        <v>3.3564814814814816E-3</v>
      </c>
      <c r="L1285" s="5">
        <f>2001 / 86400</f>
        <v>2.3159722222222224E-2</v>
      </c>
    </row>
    <row r="1286" spans="1:12" x14ac:dyDescent="0.25">
      <c r="A1286" s="3">
        <v>45691.377662037034</v>
      </c>
      <c r="B1286" t="s">
        <v>413</v>
      </c>
      <c r="C1286" s="3">
        <v>45691.378252314811</v>
      </c>
      <c r="D1286" t="s">
        <v>145</v>
      </c>
      <c r="E1286" s="4">
        <v>3.5000000000000003E-2</v>
      </c>
      <c r="F1286" s="4">
        <v>59652.955000000002</v>
      </c>
      <c r="G1286" s="4">
        <v>59652.99</v>
      </c>
      <c r="H1286" s="5">
        <f>20 / 86400</f>
        <v>2.3148148148148149E-4</v>
      </c>
      <c r="I1286" t="s">
        <v>136</v>
      </c>
      <c r="J1286" t="s">
        <v>128</v>
      </c>
      <c r="K1286" s="5">
        <f>50 / 86400</f>
        <v>5.7870370370370367E-4</v>
      </c>
      <c r="L1286" s="5">
        <f>1738 / 86400</f>
        <v>2.011574074074074E-2</v>
      </c>
    </row>
    <row r="1287" spans="1:12" x14ac:dyDescent="0.25">
      <c r="A1287" s="3">
        <v>45691.398368055554</v>
      </c>
      <c r="B1287" t="s">
        <v>145</v>
      </c>
      <c r="C1287" s="3">
        <v>45691.608043981483</v>
      </c>
      <c r="D1287" t="s">
        <v>127</v>
      </c>
      <c r="E1287" s="4">
        <v>90.185000000000002</v>
      </c>
      <c r="F1287" s="4">
        <v>59652.99</v>
      </c>
      <c r="G1287" s="4">
        <v>59743.175000000003</v>
      </c>
      <c r="H1287" s="5">
        <f>7320 / 86400</f>
        <v>8.4722222222222227E-2</v>
      </c>
      <c r="I1287" t="s">
        <v>90</v>
      </c>
      <c r="J1287" t="s">
        <v>20</v>
      </c>
      <c r="K1287" s="5">
        <f>18116 / 86400</f>
        <v>0.20967592592592593</v>
      </c>
      <c r="L1287" s="5">
        <f>355 / 86400</f>
        <v>4.1087962962962962E-3</v>
      </c>
    </row>
    <row r="1288" spans="1:12" x14ac:dyDescent="0.25">
      <c r="A1288" s="3">
        <v>45691.61215277778</v>
      </c>
      <c r="B1288" t="s">
        <v>127</v>
      </c>
      <c r="C1288" s="3">
        <v>45691.612870370373</v>
      </c>
      <c r="D1288" t="s">
        <v>152</v>
      </c>
      <c r="E1288" s="4">
        <v>0.21299999999999999</v>
      </c>
      <c r="F1288" s="4">
        <v>59743.175000000003</v>
      </c>
      <c r="G1288" s="4">
        <v>59743.387999999999</v>
      </c>
      <c r="H1288" s="5">
        <f>0 / 86400</f>
        <v>0</v>
      </c>
      <c r="I1288" t="s">
        <v>24</v>
      </c>
      <c r="J1288" t="s">
        <v>59</v>
      </c>
      <c r="K1288" s="5">
        <f>61 / 86400</f>
        <v>7.0601851851851847E-4</v>
      </c>
      <c r="L1288" s="5">
        <f>468 / 86400</f>
        <v>5.4166666666666669E-3</v>
      </c>
    </row>
    <row r="1289" spans="1:12" x14ac:dyDescent="0.25">
      <c r="A1289" s="3">
        <v>45691.618287037039</v>
      </c>
      <c r="B1289" t="s">
        <v>152</v>
      </c>
      <c r="C1289" s="3">
        <v>45691.620659722219</v>
      </c>
      <c r="D1289" t="s">
        <v>46</v>
      </c>
      <c r="E1289" s="4">
        <v>0.78200000000000003</v>
      </c>
      <c r="F1289" s="4">
        <v>59743.387999999999</v>
      </c>
      <c r="G1289" s="4">
        <v>59744.17</v>
      </c>
      <c r="H1289" s="5">
        <f>0 / 86400</f>
        <v>0</v>
      </c>
      <c r="I1289" t="s">
        <v>197</v>
      </c>
      <c r="J1289" t="s">
        <v>45</v>
      </c>
      <c r="K1289" s="5">
        <f>204 / 86400</f>
        <v>2.3611111111111111E-3</v>
      </c>
      <c r="L1289" s="5">
        <f>487 / 86400</f>
        <v>5.6365740740740742E-3</v>
      </c>
    </row>
    <row r="1290" spans="1:12" x14ac:dyDescent="0.25">
      <c r="A1290" s="3">
        <v>45691.626296296294</v>
      </c>
      <c r="B1290" t="s">
        <v>46</v>
      </c>
      <c r="C1290" s="3">
        <v>45691.627326388887</v>
      </c>
      <c r="D1290" t="s">
        <v>46</v>
      </c>
      <c r="E1290" s="4">
        <v>0.06</v>
      </c>
      <c r="F1290" s="4">
        <v>59744.17</v>
      </c>
      <c r="G1290" s="4">
        <v>59744.23</v>
      </c>
      <c r="H1290" s="5">
        <f>19 / 86400</f>
        <v>2.199074074074074E-4</v>
      </c>
      <c r="I1290" t="s">
        <v>76</v>
      </c>
      <c r="J1290" t="s">
        <v>137</v>
      </c>
      <c r="K1290" s="5">
        <f>89 / 86400</f>
        <v>1.0300925925925926E-3</v>
      </c>
      <c r="L1290" s="5">
        <f>317 / 86400</f>
        <v>3.6689814814814814E-3</v>
      </c>
    </row>
    <row r="1291" spans="1:12" x14ac:dyDescent="0.25">
      <c r="A1291" s="3">
        <v>45691.630995370375</v>
      </c>
      <c r="B1291" t="s">
        <v>46</v>
      </c>
      <c r="C1291" s="3">
        <v>45691.634872685187</v>
      </c>
      <c r="D1291" t="s">
        <v>113</v>
      </c>
      <c r="E1291" s="4">
        <v>1.1379999999999999</v>
      </c>
      <c r="F1291" s="4">
        <v>59744.23</v>
      </c>
      <c r="G1291" s="4">
        <v>59745.368000000002</v>
      </c>
      <c r="H1291" s="5">
        <f>119 / 86400</f>
        <v>1.3773148148148147E-3</v>
      </c>
      <c r="I1291" t="s">
        <v>248</v>
      </c>
      <c r="J1291" t="s">
        <v>155</v>
      </c>
      <c r="K1291" s="5">
        <f>334 / 86400</f>
        <v>3.8657407407407408E-3</v>
      </c>
      <c r="L1291" s="5">
        <f>623 / 86400</f>
        <v>7.2106481481481483E-3</v>
      </c>
    </row>
    <row r="1292" spans="1:12" x14ac:dyDescent="0.25">
      <c r="A1292" s="3">
        <v>45691.642083333332</v>
      </c>
      <c r="B1292" t="s">
        <v>113</v>
      </c>
      <c r="C1292" s="3">
        <v>45691.646504629629</v>
      </c>
      <c r="D1292" t="s">
        <v>46</v>
      </c>
      <c r="E1292" s="4">
        <v>1.371</v>
      </c>
      <c r="F1292" s="4">
        <v>59745.368000000002</v>
      </c>
      <c r="G1292" s="4">
        <v>59746.739000000001</v>
      </c>
      <c r="H1292" s="5">
        <f>61 / 86400</f>
        <v>7.0601851851851847E-4</v>
      </c>
      <c r="I1292" t="s">
        <v>199</v>
      </c>
      <c r="J1292" t="s">
        <v>59</v>
      </c>
      <c r="K1292" s="5">
        <f>382 / 86400</f>
        <v>4.4212962962962964E-3</v>
      </c>
      <c r="L1292" s="5">
        <f>113 / 86400</f>
        <v>1.3078703703703703E-3</v>
      </c>
    </row>
    <row r="1293" spans="1:12" x14ac:dyDescent="0.25">
      <c r="A1293" s="3">
        <v>45691.647812499999</v>
      </c>
      <c r="B1293" t="s">
        <v>46</v>
      </c>
      <c r="C1293" s="3">
        <v>45691.99998842593</v>
      </c>
      <c r="D1293" t="s">
        <v>114</v>
      </c>
      <c r="E1293" s="4">
        <v>165.28399999999999</v>
      </c>
      <c r="F1293" s="4">
        <v>59746.739000000001</v>
      </c>
      <c r="G1293" s="4">
        <v>59912.023000000001</v>
      </c>
      <c r="H1293" s="5">
        <f>10900 / 86400</f>
        <v>0.12615740740740741</v>
      </c>
      <c r="I1293" t="s">
        <v>72</v>
      </c>
      <c r="J1293" t="s">
        <v>75</v>
      </c>
      <c r="K1293" s="5">
        <f>30428 / 86400</f>
        <v>0.35217592592592595</v>
      </c>
      <c r="L1293" s="5">
        <f>0 / 86400</f>
        <v>0</v>
      </c>
    </row>
    <row r="1294" spans="1:12" x14ac:dyDescent="0.25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</row>
    <row r="1295" spans="1:12" x14ac:dyDescent="0.25">
      <c r="A1295" s="11" t="s">
        <v>117</v>
      </c>
      <c r="B1295" s="11"/>
      <c r="C1295" s="11"/>
      <c r="D1295" s="11"/>
      <c r="E1295" s="11"/>
      <c r="F1295" s="11"/>
      <c r="G1295" s="11"/>
      <c r="H1295" s="11"/>
      <c r="I1295" s="11"/>
      <c r="J1295" s="11"/>
    </row>
  </sheetData>
  <mergeCells count="262">
    <mergeCell ref="A1:J1"/>
    <mergeCell ref="A2:J2"/>
    <mergeCell ref="A3:J3"/>
    <mergeCell ref="A4:J4"/>
    <mergeCell ref="A5:J5"/>
    <mergeCell ref="A6:J6"/>
    <mergeCell ref="A72:J72"/>
    <mergeCell ref="A73:J73"/>
    <mergeCell ref="A74:J74"/>
    <mergeCell ref="A75:J75"/>
    <mergeCell ref="A76:J76"/>
    <mergeCell ref="A77:J77"/>
    <mergeCell ref="A93:J93"/>
    <mergeCell ref="A94:J94"/>
    <mergeCell ref="A95:J95"/>
    <mergeCell ref="A96:J96"/>
    <mergeCell ref="A106:J106"/>
    <mergeCell ref="A107:J107"/>
    <mergeCell ref="A108:J108"/>
    <mergeCell ref="A109:J109"/>
    <mergeCell ref="A128:J128"/>
    <mergeCell ref="A129:J129"/>
    <mergeCell ref="A130:J130"/>
    <mergeCell ref="A131:J131"/>
    <mergeCell ref="A147:J147"/>
    <mergeCell ref="A148:J148"/>
    <mergeCell ref="A149:J149"/>
    <mergeCell ref="A150:J150"/>
    <mergeCell ref="A158:J158"/>
    <mergeCell ref="A159:J159"/>
    <mergeCell ref="A160:J160"/>
    <mergeCell ref="A161:J161"/>
    <mergeCell ref="A173:J173"/>
    <mergeCell ref="A174:J174"/>
    <mergeCell ref="A175:J175"/>
    <mergeCell ref="A176:J176"/>
    <mergeCell ref="A193:J193"/>
    <mergeCell ref="A194:J194"/>
    <mergeCell ref="A195:J195"/>
    <mergeCell ref="A196:J196"/>
    <mergeCell ref="A453:J453"/>
    <mergeCell ref="A454:J454"/>
    <mergeCell ref="A455:J455"/>
    <mergeCell ref="A456:J456"/>
    <mergeCell ref="A459:J459"/>
    <mergeCell ref="A460:J460"/>
    <mergeCell ref="A461:J461"/>
    <mergeCell ref="A462:J462"/>
    <mergeCell ref="A471:J471"/>
    <mergeCell ref="A472:J472"/>
    <mergeCell ref="A473:J473"/>
    <mergeCell ref="A474:J474"/>
    <mergeCell ref="A487:J487"/>
    <mergeCell ref="A488:J488"/>
    <mergeCell ref="A489:J489"/>
    <mergeCell ref="A490:J490"/>
    <mergeCell ref="A498:J498"/>
    <mergeCell ref="A499:J499"/>
    <mergeCell ref="A500:J500"/>
    <mergeCell ref="A501:J501"/>
    <mergeCell ref="A517:J517"/>
    <mergeCell ref="A518:J518"/>
    <mergeCell ref="A519:J519"/>
    <mergeCell ref="A520:J520"/>
    <mergeCell ref="A537:J537"/>
    <mergeCell ref="A538:J538"/>
    <mergeCell ref="A539:J539"/>
    <mergeCell ref="A540:J540"/>
    <mergeCell ref="A550:J550"/>
    <mergeCell ref="A551:J551"/>
    <mergeCell ref="A552:J552"/>
    <mergeCell ref="A553:J553"/>
    <mergeCell ref="A575:J575"/>
    <mergeCell ref="A576:J576"/>
    <mergeCell ref="A577:J577"/>
    <mergeCell ref="A578:J578"/>
    <mergeCell ref="A590:J590"/>
    <mergeCell ref="A591:J591"/>
    <mergeCell ref="A592:J592"/>
    <mergeCell ref="A593:J593"/>
    <mergeCell ref="A608:J608"/>
    <mergeCell ref="A609:J609"/>
    <mergeCell ref="A610:J610"/>
    <mergeCell ref="A611:J611"/>
    <mergeCell ref="A620:J620"/>
    <mergeCell ref="A621:J621"/>
    <mergeCell ref="A622:J622"/>
    <mergeCell ref="A623:J623"/>
    <mergeCell ref="A633:J633"/>
    <mergeCell ref="A634:J634"/>
    <mergeCell ref="A635:J635"/>
    <mergeCell ref="A636:J636"/>
    <mergeCell ref="A644:J644"/>
    <mergeCell ref="A645:J645"/>
    <mergeCell ref="A646:J646"/>
    <mergeCell ref="A647:J647"/>
    <mergeCell ref="A655:J655"/>
    <mergeCell ref="A656:J656"/>
    <mergeCell ref="A657:J657"/>
    <mergeCell ref="A658:J658"/>
    <mergeCell ref="A671:J671"/>
    <mergeCell ref="A672:J672"/>
    <mergeCell ref="A673:J673"/>
    <mergeCell ref="A674:J674"/>
    <mergeCell ref="A687:J687"/>
    <mergeCell ref="A688:J688"/>
    <mergeCell ref="A689:J689"/>
    <mergeCell ref="A690:J690"/>
    <mergeCell ref="A701:J701"/>
    <mergeCell ref="A702:J702"/>
    <mergeCell ref="A703:J703"/>
    <mergeCell ref="A704:J704"/>
    <mergeCell ref="A709:J709"/>
    <mergeCell ref="A710:J710"/>
    <mergeCell ref="A711:J711"/>
    <mergeCell ref="A712:J712"/>
    <mergeCell ref="A723:J723"/>
    <mergeCell ref="A724:J724"/>
    <mergeCell ref="A725:J725"/>
    <mergeCell ref="A726:J726"/>
    <mergeCell ref="A737:J737"/>
    <mergeCell ref="A738:J738"/>
    <mergeCell ref="A739:J739"/>
    <mergeCell ref="A740:J740"/>
    <mergeCell ref="A755:J755"/>
    <mergeCell ref="A756:J756"/>
    <mergeCell ref="A757:J757"/>
    <mergeCell ref="A758:J758"/>
    <mergeCell ref="A765:J765"/>
    <mergeCell ref="A766:J766"/>
    <mergeCell ref="A767:J767"/>
    <mergeCell ref="A768:J768"/>
    <mergeCell ref="A782:J782"/>
    <mergeCell ref="A783:J783"/>
    <mergeCell ref="A784:J784"/>
    <mergeCell ref="A785:J785"/>
    <mergeCell ref="A794:J794"/>
    <mergeCell ref="A795:J795"/>
    <mergeCell ref="A796:J796"/>
    <mergeCell ref="A797:J797"/>
    <mergeCell ref="A803:J803"/>
    <mergeCell ref="A804:J804"/>
    <mergeCell ref="A805:J805"/>
    <mergeCell ref="A806:J806"/>
    <mergeCell ref="A822:J822"/>
    <mergeCell ref="A823:J823"/>
    <mergeCell ref="A824:J824"/>
    <mergeCell ref="A825:J825"/>
    <mergeCell ref="A832:J832"/>
    <mergeCell ref="A833:J833"/>
    <mergeCell ref="A834:J834"/>
    <mergeCell ref="A835:J835"/>
    <mergeCell ref="A852:J852"/>
    <mergeCell ref="A853:J853"/>
    <mergeCell ref="A854:J854"/>
    <mergeCell ref="A855:J855"/>
    <mergeCell ref="A875:J875"/>
    <mergeCell ref="A876:J876"/>
    <mergeCell ref="A877:J877"/>
    <mergeCell ref="A878:J878"/>
    <mergeCell ref="A895:J895"/>
    <mergeCell ref="A896:J896"/>
    <mergeCell ref="A897:J897"/>
    <mergeCell ref="A898:J898"/>
    <mergeCell ref="A908:J908"/>
    <mergeCell ref="A909:J909"/>
    <mergeCell ref="A910:J910"/>
    <mergeCell ref="A911:J911"/>
    <mergeCell ref="A920:J920"/>
    <mergeCell ref="A921:J921"/>
    <mergeCell ref="A922:J922"/>
    <mergeCell ref="A923:J923"/>
    <mergeCell ref="A936:J936"/>
    <mergeCell ref="A937:J937"/>
    <mergeCell ref="A938:J938"/>
    <mergeCell ref="A939:J939"/>
    <mergeCell ref="A945:J945"/>
    <mergeCell ref="A946:J946"/>
    <mergeCell ref="A947:J947"/>
    <mergeCell ref="A948:J948"/>
    <mergeCell ref="A970:J970"/>
    <mergeCell ref="A971:J971"/>
    <mergeCell ref="A972:J972"/>
    <mergeCell ref="A973:J973"/>
    <mergeCell ref="A985:J985"/>
    <mergeCell ref="A986:J986"/>
    <mergeCell ref="A987:J987"/>
    <mergeCell ref="A988:J988"/>
    <mergeCell ref="A994:J994"/>
    <mergeCell ref="A995:J995"/>
    <mergeCell ref="A996:J996"/>
    <mergeCell ref="A997:J997"/>
    <mergeCell ref="A1006:J1006"/>
    <mergeCell ref="A1007:J1007"/>
    <mergeCell ref="A1008:J1008"/>
    <mergeCell ref="A1009:J1009"/>
    <mergeCell ref="A1030:J1030"/>
    <mergeCell ref="A1031:J1031"/>
    <mergeCell ref="A1032:J1032"/>
    <mergeCell ref="A1033:J1033"/>
    <mergeCell ref="A1045:J1045"/>
    <mergeCell ref="A1046:J1046"/>
    <mergeCell ref="A1047:J1047"/>
    <mergeCell ref="A1048:J1048"/>
    <mergeCell ref="A1064:J1064"/>
    <mergeCell ref="A1065:J1065"/>
    <mergeCell ref="A1066:J1066"/>
    <mergeCell ref="A1067:J1067"/>
    <mergeCell ref="A1087:J1087"/>
    <mergeCell ref="A1088:J1088"/>
    <mergeCell ref="A1089:J1089"/>
    <mergeCell ref="A1090:J1090"/>
    <mergeCell ref="A1102:J1102"/>
    <mergeCell ref="A1103:J1103"/>
    <mergeCell ref="A1104:J1104"/>
    <mergeCell ref="A1105:J1105"/>
    <mergeCell ref="A1113:J1113"/>
    <mergeCell ref="A1114:J1114"/>
    <mergeCell ref="A1115:J1115"/>
    <mergeCell ref="A1116:J1116"/>
    <mergeCell ref="A1124:J1124"/>
    <mergeCell ref="A1125:J1125"/>
    <mergeCell ref="A1126:J1126"/>
    <mergeCell ref="A1127:J1127"/>
    <mergeCell ref="A1139:J1139"/>
    <mergeCell ref="A1140:J1140"/>
    <mergeCell ref="A1141:J1141"/>
    <mergeCell ref="A1142:J1142"/>
    <mergeCell ref="A1150:J1150"/>
    <mergeCell ref="A1151:J1151"/>
    <mergeCell ref="A1152:J1152"/>
    <mergeCell ref="A1153:J1153"/>
    <mergeCell ref="A1166:J1166"/>
    <mergeCell ref="A1167:J1167"/>
    <mergeCell ref="A1168:J1168"/>
    <mergeCell ref="A1169:J1169"/>
    <mergeCell ref="A1177:J1177"/>
    <mergeCell ref="A1178:J1178"/>
    <mergeCell ref="A1179:J1179"/>
    <mergeCell ref="A1180:J1180"/>
    <mergeCell ref="A1189:J1189"/>
    <mergeCell ref="A1190:J1190"/>
    <mergeCell ref="A1191:J1191"/>
    <mergeCell ref="A1192:J1192"/>
    <mergeCell ref="A1215:J1215"/>
    <mergeCell ref="A1216:J1216"/>
    <mergeCell ref="A1217:J1217"/>
    <mergeCell ref="A1218:J1218"/>
    <mergeCell ref="A1228:J1228"/>
    <mergeCell ref="A1229:J1229"/>
    <mergeCell ref="A1230:J1230"/>
    <mergeCell ref="A1294:J1294"/>
    <mergeCell ref="A1295:J1295"/>
    <mergeCell ref="A1231:J1231"/>
    <mergeCell ref="A1257:J1257"/>
    <mergeCell ref="A1258:J1258"/>
    <mergeCell ref="A1259:J1259"/>
    <mergeCell ref="A1260:J1260"/>
    <mergeCell ref="A1277:J1277"/>
    <mergeCell ref="A1278:J1278"/>
    <mergeCell ref="A1279:J1279"/>
    <mergeCell ref="A1280:J1280"/>
  </mergeCells>
  <phoneticPr fontId="5" type="noConversion"/>
  <conditionalFormatting sqref="A8:A70">
    <cfRule type="duplicateValues" dxfId="0" priority="1"/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2025-09-22T19:45:46Z</dcterms:created>
  <dcterms:modified xsi:type="dcterms:W3CDTF">2025-09-23T04:57:22Z</dcterms:modified>
</cp:coreProperties>
</file>