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/>
  <xr:revisionPtr revIDLastSave="0" documentId="13_ncr:1_{35DAE03F-2964-4350-BE39-D28C727E9E46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L1028" i="1" l="1"/>
  <c r="K1028" i="1"/>
  <c r="H1028" i="1"/>
  <c r="L1027" i="1"/>
  <c r="K1027" i="1"/>
  <c r="H1027" i="1"/>
  <c r="L1026" i="1"/>
  <c r="K1026" i="1"/>
  <c r="H1026" i="1"/>
  <c r="L1025" i="1"/>
  <c r="K1025" i="1"/>
  <c r="H1025" i="1"/>
  <c r="L1024" i="1"/>
  <c r="K1024" i="1"/>
  <c r="H1024" i="1"/>
  <c r="L1023" i="1"/>
  <c r="K1023" i="1"/>
  <c r="H1023" i="1"/>
  <c r="L1022" i="1"/>
  <c r="K1022" i="1"/>
  <c r="H1022" i="1"/>
  <c r="L1021" i="1"/>
  <c r="K1021" i="1"/>
  <c r="H1021" i="1"/>
  <c r="L1020" i="1"/>
  <c r="K1020" i="1"/>
  <c r="H1020" i="1"/>
  <c r="L1019" i="1"/>
  <c r="K1019" i="1"/>
  <c r="H1019" i="1"/>
  <c r="L1018" i="1"/>
  <c r="K1018" i="1"/>
  <c r="H1018" i="1"/>
  <c r="L1017" i="1"/>
  <c r="K1017" i="1"/>
  <c r="H1017" i="1"/>
  <c r="L1016" i="1"/>
  <c r="K1016" i="1"/>
  <c r="H1016" i="1"/>
  <c r="L1015" i="1"/>
  <c r="K1015" i="1"/>
  <c r="H1015" i="1"/>
  <c r="L1009" i="1"/>
  <c r="K1009" i="1"/>
  <c r="H1009" i="1"/>
  <c r="L1008" i="1"/>
  <c r="K1008" i="1"/>
  <c r="H1008" i="1"/>
  <c r="L1007" i="1"/>
  <c r="K1007" i="1"/>
  <c r="H1007" i="1"/>
  <c r="L1006" i="1"/>
  <c r="K1006" i="1"/>
  <c r="H1006" i="1"/>
  <c r="L1005" i="1"/>
  <c r="K1005" i="1"/>
  <c r="H1005" i="1"/>
  <c r="L1004" i="1"/>
  <c r="K1004" i="1"/>
  <c r="H1004" i="1"/>
  <c r="L1003" i="1"/>
  <c r="K1003" i="1"/>
  <c r="H1003" i="1"/>
  <c r="L997" i="1"/>
  <c r="K997" i="1"/>
  <c r="H997" i="1"/>
  <c r="L996" i="1"/>
  <c r="K996" i="1"/>
  <c r="H996" i="1"/>
  <c r="L995" i="1"/>
  <c r="K995" i="1"/>
  <c r="H995" i="1"/>
  <c r="L994" i="1"/>
  <c r="K994" i="1"/>
  <c r="H994" i="1"/>
  <c r="L993" i="1"/>
  <c r="K993" i="1"/>
  <c r="H993" i="1"/>
  <c r="L992" i="1"/>
  <c r="K992" i="1"/>
  <c r="H992" i="1"/>
  <c r="L991" i="1"/>
  <c r="K991" i="1"/>
  <c r="H991" i="1"/>
  <c r="L990" i="1"/>
  <c r="K990" i="1"/>
  <c r="H990" i="1"/>
  <c r="L989" i="1"/>
  <c r="K989" i="1"/>
  <c r="H989" i="1"/>
  <c r="L988" i="1"/>
  <c r="K988" i="1"/>
  <c r="H988" i="1"/>
  <c r="L987" i="1"/>
  <c r="K987" i="1"/>
  <c r="H987" i="1"/>
  <c r="L986" i="1"/>
  <c r="K986" i="1"/>
  <c r="H986" i="1"/>
  <c r="L985" i="1"/>
  <c r="K985" i="1"/>
  <c r="H985" i="1"/>
  <c r="L984" i="1"/>
  <c r="K984" i="1"/>
  <c r="H984" i="1"/>
  <c r="L983" i="1"/>
  <c r="K983" i="1"/>
  <c r="H983" i="1"/>
  <c r="L982" i="1"/>
  <c r="K982" i="1"/>
  <c r="H982" i="1"/>
  <c r="L976" i="1"/>
  <c r="K976" i="1"/>
  <c r="H976" i="1"/>
  <c r="L975" i="1"/>
  <c r="K975" i="1"/>
  <c r="H975" i="1"/>
  <c r="L969" i="1"/>
  <c r="K969" i="1"/>
  <c r="H969" i="1"/>
  <c r="L968" i="1"/>
  <c r="K968" i="1"/>
  <c r="H968" i="1"/>
  <c r="L967" i="1"/>
  <c r="K967" i="1"/>
  <c r="H967" i="1"/>
  <c r="L966" i="1"/>
  <c r="K966" i="1"/>
  <c r="H966" i="1"/>
  <c r="L965" i="1"/>
  <c r="K965" i="1"/>
  <c r="H965" i="1"/>
  <c r="L964" i="1"/>
  <c r="K964" i="1"/>
  <c r="H964" i="1"/>
  <c r="L963" i="1"/>
  <c r="K963" i="1"/>
  <c r="H963" i="1"/>
  <c r="L962" i="1"/>
  <c r="K962" i="1"/>
  <c r="H962" i="1"/>
  <c r="L961" i="1"/>
  <c r="K961" i="1"/>
  <c r="H961" i="1"/>
  <c r="L960" i="1"/>
  <c r="K960" i="1"/>
  <c r="H960" i="1"/>
  <c r="L959" i="1"/>
  <c r="K959" i="1"/>
  <c r="H959" i="1"/>
  <c r="L958" i="1"/>
  <c r="K958" i="1"/>
  <c r="H958" i="1"/>
  <c r="L957" i="1"/>
  <c r="K957" i="1"/>
  <c r="H957" i="1"/>
  <c r="L956" i="1"/>
  <c r="K956" i="1"/>
  <c r="H956" i="1"/>
  <c r="L955" i="1"/>
  <c r="K955" i="1"/>
  <c r="H955" i="1"/>
  <c r="L954" i="1"/>
  <c r="K954" i="1"/>
  <c r="H954" i="1"/>
  <c r="L948" i="1"/>
  <c r="K948" i="1"/>
  <c r="H948" i="1"/>
  <c r="L947" i="1"/>
  <c r="K947" i="1"/>
  <c r="H947" i="1"/>
  <c r="L946" i="1"/>
  <c r="K946" i="1"/>
  <c r="H946" i="1"/>
  <c r="L945" i="1"/>
  <c r="K945" i="1"/>
  <c r="H945" i="1"/>
  <c r="L944" i="1"/>
  <c r="K944" i="1"/>
  <c r="H944" i="1"/>
  <c r="L943" i="1"/>
  <c r="K943" i="1"/>
  <c r="H943" i="1"/>
  <c r="L942" i="1"/>
  <c r="K942" i="1"/>
  <c r="H942" i="1"/>
  <c r="L936" i="1"/>
  <c r="K936" i="1"/>
  <c r="H936" i="1"/>
  <c r="L935" i="1"/>
  <c r="K935" i="1"/>
  <c r="H935" i="1"/>
  <c r="L934" i="1"/>
  <c r="K934" i="1"/>
  <c r="H934" i="1"/>
  <c r="L928" i="1"/>
  <c r="K928" i="1"/>
  <c r="H928" i="1"/>
  <c r="L927" i="1"/>
  <c r="K927" i="1"/>
  <c r="H927" i="1"/>
  <c r="L926" i="1"/>
  <c r="K926" i="1"/>
  <c r="H926" i="1"/>
  <c r="L925" i="1"/>
  <c r="K925" i="1"/>
  <c r="H925" i="1"/>
  <c r="L924" i="1"/>
  <c r="K924" i="1"/>
  <c r="H924" i="1"/>
  <c r="L923" i="1"/>
  <c r="K923" i="1"/>
  <c r="H923" i="1"/>
  <c r="L922" i="1"/>
  <c r="K922" i="1"/>
  <c r="H922" i="1"/>
  <c r="L921" i="1"/>
  <c r="K921" i="1"/>
  <c r="H921" i="1"/>
  <c r="L920" i="1"/>
  <c r="K920" i="1"/>
  <c r="H920" i="1"/>
  <c r="L919" i="1"/>
  <c r="K919" i="1"/>
  <c r="H919" i="1"/>
  <c r="L918" i="1"/>
  <c r="K918" i="1"/>
  <c r="H918" i="1"/>
  <c r="L917" i="1"/>
  <c r="K917" i="1"/>
  <c r="H917" i="1"/>
  <c r="L916" i="1"/>
  <c r="K916" i="1"/>
  <c r="H916" i="1"/>
  <c r="L915" i="1"/>
  <c r="K915" i="1"/>
  <c r="H915" i="1"/>
  <c r="L909" i="1"/>
  <c r="K909" i="1"/>
  <c r="H909" i="1"/>
  <c r="L908" i="1"/>
  <c r="K908" i="1"/>
  <c r="H908" i="1"/>
  <c r="L907" i="1"/>
  <c r="K907" i="1"/>
  <c r="H907" i="1"/>
  <c r="L906" i="1"/>
  <c r="K906" i="1"/>
  <c r="H906" i="1"/>
  <c r="L905" i="1"/>
  <c r="K905" i="1"/>
  <c r="H905" i="1"/>
  <c r="L904" i="1"/>
  <c r="K904" i="1"/>
  <c r="H904" i="1"/>
  <c r="L898" i="1"/>
  <c r="K898" i="1"/>
  <c r="H898" i="1"/>
  <c r="L897" i="1"/>
  <c r="K897" i="1"/>
  <c r="H897" i="1"/>
  <c r="L896" i="1"/>
  <c r="K896" i="1"/>
  <c r="H896" i="1"/>
  <c r="L895" i="1"/>
  <c r="K895" i="1"/>
  <c r="H895" i="1"/>
  <c r="L894" i="1"/>
  <c r="K894" i="1"/>
  <c r="H894" i="1"/>
  <c r="L893" i="1"/>
  <c r="K893" i="1"/>
  <c r="H893" i="1"/>
  <c r="L892" i="1"/>
  <c r="K892" i="1"/>
  <c r="H892" i="1"/>
  <c r="L891" i="1"/>
  <c r="K891" i="1"/>
  <c r="H891" i="1"/>
  <c r="L890" i="1"/>
  <c r="K890" i="1"/>
  <c r="H890" i="1"/>
  <c r="L889" i="1"/>
  <c r="K889" i="1"/>
  <c r="H889" i="1"/>
  <c r="L883" i="1"/>
  <c r="K883" i="1"/>
  <c r="H883" i="1"/>
  <c r="L882" i="1"/>
  <c r="K882" i="1"/>
  <c r="H882" i="1"/>
  <c r="L881" i="1"/>
  <c r="K881" i="1"/>
  <c r="H881" i="1"/>
  <c r="L880" i="1"/>
  <c r="K880" i="1"/>
  <c r="H880" i="1"/>
  <c r="L879" i="1"/>
  <c r="K879" i="1"/>
  <c r="H879" i="1"/>
  <c r="L878" i="1"/>
  <c r="K878" i="1"/>
  <c r="H878" i="1"/>
  <c r="L877" i="1"/>
  <c r="K877" i="1"/>
  <c r="H877" i="1"/>
  <c r="L871" i="1"/>
  <c r="K871" i="1"/>
  <c r="H871" i="1"/>
  <c r="L870" i="1"/>
  <c r="K870" i="1"/>
  <c r="H870" i="1"/>
  <c r="L869" i="1"/>
  <c r="K869" i="1"/>
  <c r="H869" i="1"/>
  <c r="L868" i="1"/>
  <c r="K868" i="1"/>
  <c r="H868" i="1"/>
  <c r="L867" i="1"/>
  <c r="K867" i="1"/>
  <c r="H867" i="1"/>
  <c r="L866" i="1"/>
  <c r="K866" i="1"/>
  <c r="H866" i="1"/>
  <c r="L865" i="1"/>
  <c r="K865" i="1"/>
  <c r="H865" i="1"/>
  <c r="L859" i="1"/>
  <c r="K859" i="1"/>
  <c r="H859" i="1"/>
  <c r="L858" i="1"/>
  <c r="K858" i="1"/>
  <c r="H858" i="1"/>
  <c r="L857" i="1"/>
  <c r="K857" i="1"/>
  <c r="H857" i="1"/>
  <c r="L856" i="1"/>
  <c r="K856" i="1"/>
  <c r="H856" i="1"/>
  <c r="L855" i="1"/>
  <c r="K855" i="1"/>
  <c r="H855" i="1"/>
  <c r="L854" i="1"/>
  <c r="K854" i="1"/>
  <c r="H854" i="1"/>
  <c r="L853" i="1"/>
  <c r="K853" i="1"/>
  <c r="H853" i="1"/>
  <c r="L847" i="1"/>
  <c r="K847" i="1"/>
  <c r="H847" i="1"/>
  <c r="L846" i="1"/>
  <c r="K846" i="1"/>
  <c r="H846" i="1"/>
  <c r="L845" i="1"/>
  <c r="K845" i="1"/>
  <c r="H845" i="1"/>
  <c r="L844" i="1"/>
  <c r="K844" i="1"/>
  <c r="H844" i="1"/>
  <c r="L843" i="1"/>
  <c r="K843" i="1"/>
  <c r="H843" i="1"/>
  <c r="L842" i="1"/>
  <c r="K842" i="1"/>
  <c r="H842" i="1"/>
  <c r="L841" i="1"/>
  <c r="K841" i="1"/>
  <c r="H841" i="1"/>
  <c r="L840" i="1"/>
  <c r="K840" i="1"/>
  <c r="H840" i="1"/>
  <c r="L839" i="1"/>
  <c r="K839" i="1"/>
  <c r="H839" i="1"/>
  <c r="L838" i="1"/>
  <c r="K838" i="1"/>
  <c r="H838" i="1"/>
  <c r="L837" i="1"/>
  <c r="K837" i="1"/>
  <c r="H837" i="1"/>
  <c r="L836" i="1"/>
  <c r="K836" i="1"/>
  <c r="H836" i="1"/>
  <c r="L835" i="1"/>
  <c r="K835" i="1"/>
  <c r="H835" i="1"/>
  <c r="L829" i="1"/>
  <c r="K829" i="1"/>
  <c r="H829" i="1"/>
  <c r="L828" i="1"/>
  <c r="K828" i="1"/>
  <c r="H828" i="1"/>
  <c r="L827" i="1"/>
  <c r="K827" i="1"/>
  <c r="H827" i="1"/>
  <c r="L826" i="1"/>
  <c r="K826" i="1"/>
  <c r="H826" i="1"/>
  <c r="L825" i="1"/>
  <c r="K825" i="1"/>
  <c r="H825" i="1"/>
  <c r="L824" i="1"/>
  <c r="K824" i="1"/>
  <c r="H824" i="1"/>
  <c r="L823" i="1"/>
  <c r="K823" i="1"/>
  <c r="H823" i="1"/>
  <c r="L822" i="1"/>
  <c r="K822" i="1"/>
  <c r="H822" i="1"/>
  <c r="L821" i="1"/>
  <c r="K821" i="1"/>
  <c r="H821" i="1"/>
  <c r="L815" i="1"/>
  <c r="K815" i="1"/>
  <c r="H815" i="1"/>
  <c r="L814" i="1"/>
  <c r="K814" i="1"/>
  <c r="H814" i="1"/>
  <c r="L813" i="1"/>
  <c r="K813" i="1"/>
  <c r="H813" i="1"/>
  <c r="L812" i="1"/>
  <c r="K812" i="1"/>
  <c r="H812" i="1"/>
  <c r="L811" i="1"/>
  <c r="K811" i="1"/>
  <c r="H811" i="1"/>
  <c r="L810" i="1"/>
  <c r="K810" i="1"/>
  <c r="H810" i="1"/>
  <c r="L809" i="1"/>
  <c r="K809" i="1"/>
  <c r="H809" i="1"/>
  <c r="L808" i="1"/>
  <c r="K808" i="1"/>
  <c r="H808" i="1"/>
  <c r="L807" i="1"/>
  <c r="K807" i="1"/>
  <c r="H807" i="1"/>
  <c r="L806" i="1"/>
  <c r="K806" i="1"/>
  <c r="H806" i="1"/>
  <c r="L805" i="1"/>
  <c r="K805" i="1"/>
  <c r="H805" i="1"/>
  <c r="L804" i="1"/>
  <c r="K804" i="1"/>
  <c r="H804" i="1"/>
  <c r="L803" i="1"/>
  <c r="K803" i="1"/>
  <c r="H803" i="1"/>
  <c r="L802" i="1"/>
  <c r="K802" i="1"/>
  <c r="H802" i="1"/>
  <c r="L801" i="1"/>
  <c r="K801" i="1"/>
  <c r="H801" i="1"/>
  <c r="L800" i="1"/>
  <c r="K800" i="1"/>
  <c r="H800" i="1"/>
  <c r="L799" i="1"/>
  <c r="K799" i="1"/>
  <c r="H799" i="1"/>
  <c r="L793" i="1"/>
  <c r="K793" i="1"/>
  <c r="H793" i="1"/>
  <c r="L792" i="1"/>
  <c r="K792" i="1"/>
  <c r="H792" i="1"/>
  <c r="L791" i="1"/>
  <c r="K791" i="1"/>
  <c r="H791" i="1"/>
  <c r="L790" i="1"/>
  <c r="K790" i="1"/>
  <c r="H790" i="1"/>
  <c r="L789" i="1"/>
  <c r="K789" i="1"/>
  <c r="H789" i="1"/>
  <c r="L788" i="1"/>
  <c r="K788" i="1"/>
  <c r="H788" i="1"/>
  <c r="L787" i="1"/>
  <c r="K787" i="1"/>
  <c r="H787" i="1"/>
  <c r="L786" i="1"/>
  <c r="K786" i="1"/>
  <c r="H786" i="1"/>
  <c r="L785" i="1"/>
  <c r="K785" i="1"/>
  <c r="H785" i="1"/>
  <c r="L784" i="1"/>
  <c r="K784" i="1"/>
  <c r="H784" i="1"/>
  <c r="L783" i="1"/>
  <c r="K783" i="1"/>
  <c r="H783" i="1"/>
  <c r="L782" i="1"/>
  <c r="K782" i="1"/>
  <c r="H782" i="1"/>
  <c r="L781" i="1"/>
  <c r="K781" i="1"/>
  <c r="H781" i="1"/>
  <c r="L775" i="1"/>
  <c r="K775" i="1"/>
  <c r="H775" i="1"/>
  <c r="L774" i="1"/>
  <c r="K774" i="1"/>
  <c r="H774" i="1"/>
  <c r="L773" i="1"/>
  <c r="K773" i="1"/>
  <c r="H773" i="1"/>
  <c r="L772" i="1"/>
  <c r="K772" i="1"/>
  <c r="H772" i="1"/>
  <c r="L771" i="1"/>
  <c r="K771" i="1"/>
  <c r="H771" i="1"/>
  <c r="L770" i="1"/>
  <c r="K770" i="1"/>
  <c r="H770" i="1"/>
  <c r="L769" i="1"/>
  <c r="K769" i="1"/>
  <c r="H769" i="1"/>
  <c r="L768" i="1"/>
  <c r="K768" i="1"/>
  <c r="H768" i="1"/>
  <c r="L767" i="1"/>
  <c r="K767" i="1"/>
  <c r="H767" i="1"/>
  <c r="L766" i="1"/>
  <c r="K766" i="1"/>
  <c r="H766" i="1"/>
  <c r="L765" i="1"/>
  <c r="K765" i="1"/>
  <c r="H765" i="1"/>
  <c r="L764" i="1"/>
  <c r="K764" i="1"/>
  <c r="H764" i="1"/>
  <c r="L763" i="1"/>
  <c r="K763" i="1"/>
  <c r="H763" i="1"/>
  <c r="L762" i="1"/>
  <c r="K762" i="1"/>
  <c r="H762" i="1"/>
  <c r="L761" i="1"/>
  <c r="K761" i="1"/>
  <c r="H761" i="1"/>
  <c r="L760" i="1"/>
  <c r="K760" i="1"/>
  <c r="H760" i="1"/>
  <c r="L759" i="1"/>
  <c r="K759" i="1"/>
  <c r="H759" i="1"/>
  <c r="L758" i="1"/>
  <c r="K758" i="1"/>
  <c r="H758" i="1"/>
  <c r="L757" i="1"/>
  <c r="K757" i="1"/>
  <c r="H757" i="1"/>
  <c r="L756" i="1"/>
  <c r="K756" i="1"/>
  <c r="H756" i="1"/>
  <c r="L750" i="1"/>
  <c r="K750" i="1"/>
  <c r="H750" i="1"/>
  <c r="L749" i="1"/>
  <c r="K749" i="1"/>
  <c r="H749" i="1"/>
  <c r="L748" i="1"/>
  <c r="K748" i="1"/>
  <c r="H748" i="1"/>
  <c r="L742" i="1"/>
  <c r="K742" i="1"/>
  <c r="H742" i="1"/>
  <c r="L741" i="1"/>
  <c r="K741" i="1"/>
  <c r="H741" i="1"/>
  <c r="L740" i="1"/>
  <c r="K740" i="1"/>
  <c r="H740" i="1"/>
  <c r="L739" i="1"/>
  <c r="K739" i="1"/>
  <c r="H739" i="1"/>
  <c r="L733" i="1"/>
  <c r="K733" i="1"/>
  <c r="H733" i="1"/>
  <c r="L732" i="1"/>
  <c r="K732" i="1"/>
  <c r="H732" i="1"/>
  <c r="L731" i="1"/>
  <c r="K731" i="1"/>
  <c r="H731" i="1"/>
  <c r="L730" i="1"/>
  <c r="K730" i="1"/>
  <c r="H730" i="1"/>
  <c r="L729" i="1"/>
  <c r="K729" i="1"/>
  <c r="H729" i="1"/>
  <c r="L728" i="1"/>
  <c r="K728" i="1"/>
  <c r="H728" i="1"/>
  <c r="L727" i="1"/>
  <c r="K727" i="1"/>
  <c r="H727" i="1"/>
  <c r="L726" i="1"/>
  <c r="K726" i="1"/>
  <c r="H726" i="1"/>
  <c r="L725" i="1"/>
  <c r="K725" i="1"/>
  <c r="H725" i="1"/>
  <c r="L724" i="1"/>
  <c r="K724" i="1"/>
  <c r="H724" i="1"/>
  <c r="L723" i="1"/>
  <c r="K723" i="1"/>
  <c r="H723" i="1"/>
  <c r="L717" i="1"/>
  <c r="K717" i="1"/>
  <c r="H717" i="1"/>
  <c r="L716" i="1"/>
  <c r="K716" i="1"/>
  <c r="H716" i="1"/>
  <c r="L715" i="1"/>
  <c r="K715" i="1"/>
  <c r="H715" i="1"/>
  <c r="L714" i="1"/>
  <c r="K714" i="1"/>
  <c r="H714" i="1"/>
  <c r="L713" i="1"/>
  <c r="K713" i="1"/>
  <c r="H713" i="1"/>
  <c r="L707" i="1"/>
  <c r="K707" i="1"/>
  <c r="H707" i="1"/>
  <c r="L706" i="1"/>
  <c r="K706" i="1"/>
  <c r="H706" i="1"/>
  <c r="L705" i="1"/>
  <c r="K705" i="1"/>
  <c r="H705" i="1"/>
  <c r="L704" i="1"/>
  <c r="K704" i="1"/>
  <c r="H704" i="1"/>
  <c r="L703" i="1"/>
  <c r="K703" i="1"/>
  <c r="H703" i="1"/>
  <c r="L702" i="1"/>
  <c r="K702" i="1"/>
  <c r="H702" i="1"/>
  <c r="L701" i="1"/>
  <c r="K701" i="1"/>
  <c r="H701" i="1"/>
  <c r="L700" i="1"/>
  <c r="K700" i="1"/>
  <c r="H700" i="1"/>
  <c r="L699" i="1"/>
  <c r="K699" i="1"/>
  <c r="H699" i="1"/>
  <c r="L698" i="1"/>
  <c r="K698" i="1"/>
  <c r="H698" i="1"/>
  <c r="L692" i="1"/>
  <c r="K692" i="1"/>
  <c r="H692" i="1"/>
  <c r="L691" i="1"/>
  <c r="K691" i="1"/>
  <c r="H691" i="1"/>
  <c r="L690" i="1"/>
  <c r="K690" i="1"/>
  <c r="H690" i="1"/>
  <c r="L689" i="1"/>
  <c r="K689" i="1"/>
  <c r="H689" i="1"/>
  <c r="L683" i="1"/>
  <c r="K683" i="1"/>
  <c r="H683" i="1"/>
  <c r="L682" i="1"/>
  <c r="K682" i="1"/>
  <c r="H682" i="1"/>
  <c r="L681" i="1"/>
  <c r="K681" i="1"/>
  <c r="H681" i="1"/>
  <c r="L680" i="1"/>
  <c r="K680" i="1"/>
  <c r="H680" i="1"/>
  <c r="L679" i="1"/>
  <c r="K679" i="1"/>
  <c r="H679" i="1"/>
  <c r="L678" i="1"/>
  <c r="K678" i="1"/>
  <c r="H678" i="1"/>
  <c r="L677" i="1"/>
  <c r="K677" i="1"/>
  <c r="H677" i="1"/>
  <c r="L676" i="1"/>
  <c r="K676" i="1"/>
  <c r="H676" i="1"/>
  <c r="L675" i="1"/>
  <c r="K675" i="1"/>
  <c r="H675" i="1"/>
  <c r="L674" i="1"/>
  <c r="K674" i="1"/>
  <c r="H674" i="1"/>
  <c r="L673" i="1"/>
  <c r="K673" i="1"/>
  <c r="H673" i="1"/>
  <c r="L672" i="1"/>
  <c r="K672" i="1"/>
  <c r="H672" i="1"/>
  <c r="L671" i="1"/>
  <c r="K671" i="1"/>
  <c r="H671" i="1"/>
  <c r="L670" i="1"/>
  <c r="K670" i="1"/>
  <c r="H670" i="1"/>
  <c r="L669" i="1"/>
  <c r="K669" i="1"/>
  <c r="H669" i="1"/>
  <c r="L668" i="1"/>
  <c r="K668" i="1"/>
  <c r="H668" i="1"/>
  <c r="L667" i="1"/>
  <c r="K667" i="1"/>
  <c r="H667" i="1"/>
  <c r="L661" i="1"/>
  <c r="K661" i="1"/>
  <c r="H661" i="1"/>
  <c r="L660" i="1"/>
  <c r="K660" i="1"/>
  <c r="H660" i="1"/>
  <c r="L659" i="1"/>
  <c r="K659" i="1"/>
  <c r="H659" i="1"/>
  <c r="L658" i="1"/>
  <c r="K658" i="1"/>
  <c r="H658" i="1"/>
  <c r="L657" i="1"/>
  <c r="K657" i="1"/>
  <c r="H657" i="1"/>
  <c r="L656" i="1"/>
  <c r="K656" i="1"/>
  <c r="H656" i="1"/>
  <c r="L655" i="1"/>
  <c r="K655" i="1"/>
  <c r="H655" i="1"/>
  <c r="L654" i="1"/>
  <c r="K654" i="1"/>
  <c r="H654" i="1"/>
  <c r="L653" i="1"/>
  <c r="K653" i="1"/>
  <c r="H653" i="1"/>
  <c r="L652" i="1"/>
  <c r="K652" i="1"/>
  <c r="H652" i="1"/>
  <c r="L651" i="1"/>
  <c r="K651" i="1"/>
  <c r="H651" i="1"/>
  <c r="L645" i="1"/>
  <c r="K645" i="1"/>
  <c r="H645" i="1"/>
  <c r="L644" i="1"/>
  <c r="K644" i="1"/>
  <c r="H644" i="1"/>
  <c r="L643" i="1"/>
  <c r="K643" i="1"/>
  <c r="H643" i="1"/>
  <c r="L642" i="1"/>
  <c r="K642" i="1"/>
  <c r="H642" i="1"/>
  <c r="L641" i="1"/>
  <c r="K641" i="1"/>
  <c r="H641" i="1"/>
  <c r="L640" i="1"/>
  <c r="K640" i="1"/>
  <c r="H640" i="1"/>
  <c r="L634" i="1"/>
  <c r="K634" i="1"/>
  <c r="H634" i="1"/>
  <c r="L633" i="1"/>
  <c r="K633" i="1"/>
  <c r="H633" i="1"/>
  <c r="L632" i="1"/>
  <c r="K632" i="1"/>
  <c r="H632" i="1"/>
  <c r="L631" i="1"/>
  <c r="K631" i="1"/>
  <c r="H631" i="1"/>
  <c r="L630" i="1"/>
  <c r="K630" i="1"/>
  <c r="H630" i="1"/>
  <c r="L629" i="1"/>
  <c r="K629" i="1"/>
  <c r="H629" i="1"/>
  <c r="L628" i="1"/>
  <c r="K628" i="1"/>
  <c r="H628" i="1"/>
  <c r="L627" i="1"/>
  <c r="K627" i="1"/>
  <c r="H627" i="1"/>
  <c r="L626" i="1"/>
  <c r="K626" i="1"/>
  <c r="H626" i="1"/>
  <c r="L620" i="1"/>
  <c r="K620" i="1"/>
  <c r="H620" i="1"/>
  <c r="L619" i="1"/>
  <c r="K619" i="1"/>
  <c r="H619" i="1"/>
  <c r="L618" i="1"/>
  <c r="K618" i="1"/>
  <c r="H618" i="1"/>
  <c r="L617" i="1"/>
  <c r="K617" i="1"/>
  <c r="H617" i="1"/>
  <c r="L616" i="1"/>
  <c r="K616" i="1"/>
  <c r="H616" i="1"/>
  <c r="L615" i="1"/>
  <c r="K615" i="1"/>
  <c r="H615" i="1"/>
  <c r="L614" i="1"/>
  <c r="K614" i="1"/>
  <c r="H614" i="1"/>
  <c r="L613" i="1"/>
  <c r="K613" i="1"/>
  <c r="H613" i="1"/>
  <c r="L612" i="1"/>
  <c r="K612" i="1"/>
  <c r="H612" i="1"/>
  <c r="L611" i="1"/>
  <c r="K611" i="1"/>
  <c r="H611" i="1"/>
  <c r="L610" i="1"/>
  <c r="K610" i="1"/>
  <c r="H610" i="1"/>
  <c r="L604" i="1"/>
  <c r="K604" i="1"/>
  <c r="H604" i="1"/>
  <c r="L598" i="1"/>
  <c r="K598" i="1"/>
  <c r="H598" i="1"/>
  <c r="L597" i="1"/>
  <c r="K597" i="1"/>
  <c r="H597" i="1"/>
  <c r="L596" i="1"/>
  <c r="K596" i="1"/>
  <c r="H596" i="1"/>
  <c r="L595" i="1"/>
  <c r="K595" i="1"/>
  <c r="H595" i="1"/>
  <c r="L594" i="1"/>
  <c r="K594" i="1"/>
  <c r="H594" i="1"/>
  <c r="L593" i="1"/>
  <c r="K593" i="1"/>
  <c r="H593" i="1"/>
  <c r="L592" i="1"/>
  <c r="K592" i="1"/>
  <c r="H592" i="1"/>
  <c r="L591" i="1"/>
  <c r="K591" i="1"/>
  <c r="H591" i="1"/>
  <c r="L590" i="1"/>
  <c r="K590" i="1"/>
  <c r="H590" i="1"/>
  <c r="L589" i="1"/>
  <c r="K589" i="1"/>
  <c r="H589" i="1"/>
  <c r="L588" i="1"/>
  <c r="K588" i="1"/>
  <c r="H588" i="1"/>
  <c r="L582" i="1"/>
  <c r="K582" i="1"/>
  <c r="H582" i="1"/>
  <c r="L581" i="1"/>
  <c r="K581" i="1"/>
  <c r="H581" i="1"/>
  <c r="L580" i="1"/>
  <c r="K580" i="1"/>
  <c r="H580" i="1"/>
  <c r="L579" i="1"/>
  <c r="K579" i="1"/>
  <c r="H579" i="1"/>
  <c r="L578" i="1"/>
  <c r="K578" i="1"/>
  <c r="H578" i="1"/>
  <c r="L577" i="1"/>
  <c r="K577" i="1"/>
  <c r="H577" i="1"/>
  <c r="L576" i="1"/>
  <c r="K576" i="1"/>
  <c r="H576" i="1"/>
  <c r="L575" i="1"/>
  <c r="K575" i="1"/>
  <c r="H575" i="1"/>
  <c r="L574" i="1"/>
  <c r="K574" i="1"/>
  <c r="H574" i="1"/>
  <c r="L573" i="1"/>
  <c r="K573" i="1"/>
  <c r="H573" i="1"/>
  <c r="L572" i="1"/>
  <c r="K572" i="1"/>
  <c r="H572" i="1"/>
  <c r="L571" i="1"/>
  <c r="K571" i="1"/>
  <c r="H571" i="1"/>
  <c r="L570" i="1"/>
  <c r="K570" i="1"/>
  <c r="H570" i="1"/>
  <c r="L564" i="1"/>
  <c r="K564" i="1"/>
  <c r="H564" i="1"/>
  <c r="L563" i="1"/>
  <c r="K563" i="1"/>
  <c r="H563" i="1"/>
  <c r="L562" i="1"/>
  <c r="K562" i="1"/>
  <c r="H562" i="1"/>
  <c r="L561" i="1"/>
  <c r="K561" i="1"/>
  <c r="H561" i="1"/>
  <c r="L560" i="1"/>
  <c r="K560" i="1"/>
  <c r="H560" i="1"/>
  <c r="L559" i="1"/>
  <c r="K559" i="1"/>
  <c r="H559" i="1"/>
  <c r="L558" i="1"/>
  <c r="K558" i="1"/>
  <c r="H558" i="1"/>
  <c r="L557" i="1"/>
  <c r="K557" i="1"/>
  <c r="H557" i="1"/>
  <c r="L556" i="1"/>
  <c r="K556" i="1"/>
  <c r="H556" i="1"/>
  <c r="L555" i="1"/>
  <c r="K555" i="1"/>
  <c r="H555" i="1"/>
  <c r="L554" i="1"/>
  <c r="K554" i="1"/>
  <c r="H554" i="1"/>
  <c r="L553" i="1"/>
  <c r="K553" i="1"/>
  <c r="H553" i="1"/>
  <c r="L547" i="1"/>
  <c r="K547" i="1"/>
  <c r="H547" i="1"/>
  <c r="L546" i="1"/>
  <c r="K546" i="1"/>
  <c r="H546" i="1"/>
  <c r="L545" i="1"/>
  <c r="K545" i="1"/>
  <c r="H545" i="1"/>
  <c r="L544" i="1"/>
  <c r="K544" i="1"/>
  <c r="H544" i="1"/>
  <c r="L543" i="1"/>
  <c r="K543" i="1"/>
  <c r="H543" i="1"/>
  <c r="L542" i="1"/>
  <c r="K542" i="1"/>
  <c r="H542" i="1"/>
  <c r="L541" i="1"/>
  <c r="K541" i="1"/>
  <c r="H541" i="1"/>
  <c r="L540" i="1"/>
  <c r="K540" i="1"/>
  <c r="H540" i="1"/>
  <c r="L539" i="1"/>
  <c r="K539" i="1"/>
  <c r="H539" i="1"/>
  <c r="L538" i="1"/>
  <c r="K538" i="1"/>
  <c r="H538" i="1"/>
  <c r="L537" i="1"/>
  <c r="K537" i="1"/>
  <c r="H537" i="1"/>
  <c r="L536" i="1"/>
  <c r="K536" i="1"/>
  <c r="H536" i="1"/>
  <c r="L535" i="1"/>
  <c r="K535" i="1"/>
  <c r="H535" i="1"/>
  <c r="L534" i="1"/>
  <c r="K534" i="1"/>
  <c r="H534" i="1"/>
  <c r="L533" i="1"/>
  <c r="K533" i="1"/>
  <c r="H533" i="1"/>
  <c r="L532" i="1"/>
  <c r="K532" i="1"/>
  <c r="H532" i="1"/>
  <c r="L531" i="1"/>
  <c r="K531" i="1"/>
  <c r="H531" i="1"/>
  <c r="L530" i="1"/>
  <c r="K530" i="1"/>
  <c r="H530" i="1"/>
  <c r="L524" i="1"/>
  <c r="K524" i="1"/>
  <c r="H524" i="1"/>
  <c r="L523" i="1"/>
  <c r="K523" i="1"/>
  <c r="H523" i="1"/>
  <c r="L522" i="1"/>
  <c r="K522" i="1"/>
  <c r="H522" i="1"/>
  <c r="L521" i="1"/>
  <c r="K521" i="1"/>
  <c r="H521" i="1"/>
  <c r="L520" i="1"/>
  <c r="K520" i="1"/>
  <c r="H520" i="1"/>
  <c r="L519" i="1"/>
  <c r="K519" i="1"/>
  <c r="H519" i="1"/>
  <c r="L518" i="1"/>
  <c r="K518" i="1"/>
  <c r="H518" i="1"/>
  <c r="L517" i="1"/>
  <c r="K517" i="1"/>
  <c r="H517" i="1"/>
  <c r="L516" i="1"/>
  <c r="K516" i="1"/>
  <c r="H516" i="1"/>
  <c r="L515" i="1"/>
  <c r="K515" i="1"/>
  <c r="H515" i="1"/>
  <c r="L509" i="1"/>
  <c r="K509" i="1"/>
  <c r="H509" i="1"/>
  <c r="L508" i="1"/>
  <c r="K508" i="1"/>
  <c r="H508" i="1"/>
  <c r="L507" i="1"/>
  <c r="K507" i="1"/>
  <c r="H507" i="1"/>
  <c r="L506" i="1"/>
  <c r="K506" i="1"/>
  <c r="H506" i="1"/>
  <c r="L505" i="1"/>
  <c r="K505" i="1"/>
  <c r="H505" i="1"/>
  <c r="L504" i="1"/>
  <c r="K504" i="1"/>
  <c r="H504" i="1"/>
  <c r="L503" i="1"/>
  <c r="K503" i="1"/>
  <c r="H503" i="1"/>
  <c r="L502" i="1"/>
  <c r="K502" i="1"/>
  <c r="H502" i="1"/>
  <c r="L501" i="1"/>
  <c r="K501" i="1"/>
  <c r="H501" i="1"/>
  <c r="L495" i="1"/>
  <c r="K495" i="1"/>
  <c r="H495" i="1"/>
  <c r="L494" i="1"/>
  <c r="K494" i="1"/>
  <c r="H494" i="1"/>
  <c r="L493" i="1"/>
  <c r="K493" i="1"/>
  <c r="H493" i="1"/>
  <c r="L492" i="1"/>
  <c r="K492" i="1"/>
  <c r="H492" i="1"/>
  <c r="L486" i="1"/>
  <c r="K486" i="1"/>
  <c r="H486" i="1"/>
  <c r="L485" i="1"/>
  <c r="K485" i="1"/>
  <c r="H485" i="1"/>
  <c r="L484" i="1"/>
  <c r="K484" i="1"/>
  <c r="H484" i="1"/>
  <c r="L483" i="1"/>
  <c r="K483" i="1"/>
  <c r="H483" i="1"/>
  <c r="L482" i="1"/>
  <c r="K482" i="1"/>
  <c r="H482" i="1"/>
  <c r="L481" i="1"/>
  <c r="K481" i="1"/>
  <c r="H481" i="1"/>
  <c r="L480" i="1"/>
  <c r="K480" i="1"/>
  <c r="H480" i="1"/>
  <c r="L479" i="1"/>
  <c r="K479" i="1"/>
  <c r="H479" i="1"/>
  <c r="L478" i="1"/>
  <c r="K478" i="1"/>
  <c r="H478" i="1"/>
  <c r="L477" i="1"/>
  <c r="K477" i="1"/>
  <c r="H477" i="1"/>
  <c r="L476" i="1"/>
  <c r="K476" i="1"/>
  <c r="H476" i="1"/>
  <c r="L475" i="1"/>
  <c r="K475" i="1"/>
  <c r="H475" i="1"/>
  <c r="L474" i="1"/>
  <c r="K474" i="1"/>
  <c r="H474" i="1"/>
  <c r="L473" i="1"/>
  <c r="K473" i="1"/>
  <c r="H473" i="1"/>
  <c r="L472" i="1"/>
  <c r="K472" i="1"/>
  <c r="H472" i="1"/>
  <c r="L471" i="1"/>
  <c r="K471" i="1"/>
  <c r="H471" i="1"/>
  <c r="L465" i="1"/>
  <c r="K465" i="1"/>
  <c r="H465" i="1"/>
  <c r="L464" i="1"/>
  <c r="K464" i="1"/>
  <c r="H464" i="1"/>
  <c r="L463" i="1"/>
  <c r="K463" i="1"/>
  <c r="H463" i="1"/>
  <c r="L462" i="1"/>
  <c r="K462" i="1"/>
  <c r="H462" i="1"/>
  <c r="L461" i="1"/>
  <c r="K461" i="1"/>
  <c r="H461" i="1"/>
  <c r="L460" i="1"/>
  <c r="K460" i="1"/>
  <c r="H460" i="1"/>
  <c r="L459" i="1"/>
  <c r="K459" i="1"/>
  <c r="H459" i="1"/>
  <c r="L458" i="1"/>
  <c r="K458" i="1"/>
  <c r="H458" i="1"/>
  <c r="L452" i="1"/>
  <c r="K452" i="1"/>
  <c r="H452" i="1"/>
  <c r="L451" i="1"/>
  <c r="K451" i="1"/>
  <c r="H451" i="1"/>
  <c r="L450" i="1"/>
  <c r="K450" i="1"/>
  <c r="H450" i="1"/>
  <c r="L449" i="1"/>
  <c r="K449" i="1"/>
  <c r="H449" i="1"/>
  <c r="L448" i="1"/>
  <c r="K448" i="1"/>
  <c r="H448" i="1"/>
  <c r="L447" i="1"/>
  <c r="K447" i="1"/>
  <c r="H447" i="1"/>
  <c r="L446" i="1"/>
  <c r="K446" i="1"/>
  <c r="H446" i="1"/>
  <c r="L445" i="1"/>
  <c r="K445" i="1"/>
  <c r="H445" i="1"/>
  <c r="L444" i="1"/>
  <c r="K444" i="1"/>
  <c r="H444" i="1"/>
  <c r="L443" i="1"/>
  <c r="K443" i="1"/>
  <c r="H443" i="1"/>
  <c r="L442" i="1"/>
  <c r="K442" i="1"/>
  <c r="H442" i="1"/>
  <c r="L441" i="1"/>
  <c r="K441" i="1"/>
  <c r="H441" i="1"/>
  <c r="L440" i="1"/>
  <c r="K440" i="1"/>
  <c r="H440" i="1"/>
  <c r="L439" i="1"/>
  <c r="K439" i="1"/>
  <c r="H439" i="1"/>
  <c r="L433" i="1"/>
  <c r="K433" i="1"/>
  <c r="H433" i="1"/>
  <c r="L432" i="1"/>
  <c r="K432" i="1"/>
  <c r="H432" i="1"/>
  <c r="L431" i="1"/>
  <c r="K431" i="1"/>
  <c r="H431" i="1"/>
  <c r="L430" i="1"/>
  <c r="K430" i="1"/>
  <c r="H430" i="1"/>
  <c r="L429" i="1"/>
  <c r="K429" i="1"/>
  <c r="H429" i="1"/>
  <c r="L428" i="1"/>
  <c r="K428" i="1"/>
  <c r="H428" i="1"/>
  <c r="L427" i="1"/>
  <c r="K427" i="1"/>
  <c r="H427" i="1"/>
  <c r="L426" i="1"/>
  <c r="K426" i="1"/>
  <c r="H426" i="1"/>
  <c r="L420" i="1"/>
  <c r="K420" i="1"/>
  <c r="H420" i="1"/>
  <c r="L419" i="1"/>
  <c r="K419" i="1"/>
  <c r="H419" i="1"/>
  <c r="L418" i="1"/>
  <c r="K418" i="1"/>
  <c r="H418" i="1"/>
  <c r="L417" i="1"/>
  <c r="K417" i="1"/>
  <c r="H417" i="1"/>
  <c r="L416" i="1"/>
  <c r="K416" i="1"/>
  <c r="H416" i="1"/>
  <c r="L415" i="1"/>
  <c r="K415" i="1"/>
  <c r="H415" i="1"/>
  <c r="L414" i="1"/>
  <c r="K414" i="1"/>
  <c r="H414" i="1"/>
  <c r="L413" i="1"/>
  <c r="K413" i="1"/>
  <c r="H413" i="1"/>
  <c r="L412" i="1"/>
  <c r="K412" i="1"/>
  <c r="H412" i="1"/>
  <c r="L411" i="1"/>
  <c r="K411" i="1"/>
  <c r="H411" i="1"/>
  <c r="L410" i="1"/>
  <c r="K410" i="1"/>
  <c r="H410" i="1"/>
  <c r="L404" i="1"/>
  <c r="K404" i="1"/>
  <c r="H404" i="1"/>
  <c r="L403" i="1"/>
  <c r="K403" i="1"/>
  <c r="H403" i="1"/>
  <c r="L402" i="1"/>
  <c r="K402" i="1"/>
  <c r="H402" i="1"/>
  <c r="L401" i="1"/>
  <c r="K401" i="1"/>
  <c r="H401" i="1"/>
  <c r="L400" i="1"/>
  <c r="K400" i="1"/>
  <c r="H400" i="1"/>
  <c r="L394" i="1"/>
  <c r="K394" i="1"/>
  <c r="H394" i="1"/>
  <c r="L393" i="1"/>
  <c r="K393" i="1"/>
  <c r="H393" i="1"/>
  <c r="L392" i="1"/>
  <c r="K392" i="1"/>
  <c r="H392" i="1"/>
  <c r="L391" i="1"/>
  <c r="K391" i="1"/>
  <c r="H391" i="1"/>
  <c r="L390" i="1"/>
  <c r="K390" i="1"/>
  <c r="H390" i="1"/>
  <c r="L389" i="1"/>
  <c r="K389" i="1"/>
  <c r="H389" i="1"/>
  <c r="L388" i="1"/>
  <c r="K388" i="1"/>
  <c r="H388" i="1"/>
  <c r="L382" i="1"/>
  <c r="K382" i="1"/>
  <c r="H382" i="1"/>
  <c r="L381" i="1"/>
  <c r="K381" i="1"/>
  <c r="H381" i="1"/>
  <c r="L380" i="1"/>
  <c r="K380" i="1"/>
  <c r="H380" i="1"/>
  <c r="L379" i="1"/>
  <c r="K379" i="1"/>
  <c r="H379" i="1"/>
  <c r="L378" i="1"/>
  <c r="K378" i="1"/>
  <c r="H378" i="1"/>
  <c r="L377" i="1"/>
  <c r="K377" i="1"/>
  <c r="H377" i="1"/>
  <c r="L376" i="1"/>
  <c r="K376" i="1"/>
  <c r="H376" i="1"/>
  <c r="L375" i="1"/>
  <c r="K375" i="1"/>
  <c r="H375" i="1"/>
  <c r="L374" i="1"/>
  <c r="K374" i="1"/>
  <c r="H374" i="1"/>
  <c r="L373" i="1"/>
  <c r="K373" i="1"/>
  <c r="H373" i="1"/>
  <c r="L372" i="1"/>
  <c r="K372" i="1"/>
  <c r="H372" i="1"/>
  <c r="L371" i="1"/>
  <c r="K371" i="1"/>
  <c r="H371" i="1"/>
  <c r="L370" i="1"/>
  <c r="K370" i="1"/>
  <c r="H370" i="1"/>
  <c r="L369" i="1"/>
  <c r="K369" i="1"/>
  <c r="H369" i="1"/>
  <c r="L368" i="1"/>
  <c r="K368" i="1"/>
  <c r="H368" i="1"/>
  <c r="L367" i="1"/>
  <c r="K367" i="1"/>
  <c r="H367" i="1"/>
  <c r="L366" i="1"/>
  <c r="K366" i="1"/>
  <c r="H366" i="1"/>
  <c r="L365" i="1"/>
  <c r="K365" i="1"/>
  <c r="H365" i="1"/>
  <c r="L364" i="1"/>
  <c r="K364" i="1"/>
  <c r="H364" i="1"/>
  <c r="L363" i="1"/>
  <c r="K363" i="1"/>
  <c r="H363" i="1"/>
  <c r="L362" i="1"/>
  <c r="K362" i="1"/>
  <c r="H362" i="1"/>
  <c r="L361" i="1"/>
  <c r="K361" i="1"/>
  <c r="H361" i="1"/>
  <c r="L360" i="1"/>
  <c r="K360" i="1"/>
  <c r="H360" i="1"/>
  <c r="L359" i="1"/>
  <c r="K359" i="1"/>
  <c r="H359" i="1"/>
  <c r="L358" i="1"/>
  <c r="K358" i="1"/>
  <c r="H358" i="1"/>
  <c r="L357" i="1"/>
  <c r="K357" i="1"/>
  <c r="H357" i="1"/>
  <c r="L351" i="1"/>
  <c r="K351" i="1"/>
  <c r="H351" i="1"/>
  <c r="L350" i="1"/>
  <c r="K350" i="1"/>
  <c r="H350" i="1"/>
  <c r="L349" i="1"/>
  <c r="K349" i="1"/>
  <c r="H349" i="1"/>
  <c r="L348" i="1"/>
  <c r="K348" i="1"/>
  <c r="H348" i="1"/>
  <c r="L347" i="1"/>
  <c r="K347" i="1"/>
  <c r="H347" i="1"/>
  <c r="L346" i="1"/>
  <c r="K346" i="1"/>
  <c r="H346" i="1"/>
  <c r="L340" i="1"/>
  <c r="K340" i="1"/>
  <c r="H340" i="1"/>
  <c r="L339" i="1"/>
  <c r="K339" i="1"/>
  <c r="H339" i="1"/>
  <c r="L338" i="1"/>
  <c r="K338" i="1"/>
  <c r="H338" i="1"/>
  <c r="L337" i="1"/>
  <c r="K337" i="1"/>
  <c r="H337" i="1"/>
  <c r="L336" i="1"/>
  <c r="K336" i="1"/>
  <c r="H336" i="1"/>
  <c r="L335" i="1"/>
  <c r="K335" i="1"/>
  <c r="H335" i="1"/>
  <c r="L334" i="1"/>
  <c r="K334" i="1"/>
  <c r="H334" i="1"/>
  <c r="L328" i="1"/>
  <c r="K328" i="1"/>
  <c r="H328" i="1"/>
  <c r="L327" i="1"/>
  <c r="K327" i="1"/>
  <c r="H327" i="1"/>
  <c r="L326" i="1"/>
  <c r="K326" i="1"/>
  <c r="H326" i="1"/>
  <c r="L325" i="1"/>
  <c r="K325" i="1"/>
  <c r="H325" i="1"/>
  <c r="L324" i="1"/>
  <c r="K324" i="1"/>
  <c r="H324" i="1"/>
  <c r="L323" i="1"/>
  <c r="K323" i="1"/>
  <c r="H323" i="1"/>
  <c r="L322" i="1"/>
  <c r="K322" i="1"/>
  <c r="H322" i="1"/>
  <c r="L316" i="1"/>
  <c r="K316" i="1"/>
  <c r="H316" i="1"/>
  <c r="L315" i="1"/>
  <c r="K315" i="1"/>
  <c r="H315" i="1"/>
  <c r="L314" i="1"/>
  <c r="K314" i="1"/>
  <c r="H314" i="1"/>
  <c r="L313" i="1"/>
  <c r="K313" i="1"/>
  <c r="H313" i="1"/>
  <c r="L312" i="1"/>
  <c r="K312" i="1"/>
  <c r="H312" i="1"/>
  <c r="L311" i="1"/>
  <c r="K311" i="1"/>
  <c r="H311" i="1"/>
  <c r="L310" i="1"/>
  <c r="K310" i="1"/>
  <c r="H310" i="1"/>
  <c r="L309" i="1"/>
  <c r="K309" i="1"/>
  <c r="H309" i="1"/>
  <c r="L308" i="1"/>
  <c r="K308" i="1"/>
  <c r="H308" i="1"/>
  <c r="L307" i="1"/>
  <c r="K307" i="1"/>
  <c r="H307" i="1"/>
  <c r="L306" i="1"/>
  <c r="K306" i="1"/>
  <c r="H306" i="1"/>
  <c r="L305" i="1"/>
  <c r="K305" i="1"/>
  <c r="H305" i="1"/>
  <c r="L299" i="1"/>
  <c r="K299" i="1"/>
  <c r="H299" i="1"/>
  <c r="L298" i="1"/>
  <c r="K298" i="1"/>
  <c r="H298" i="1"/>
  <c r="L297" i="1"/>
  <c r="K297" i="1"/>
  <c r="H297" i="1"/>
  <c r="L296" i="1"/>
  <c r="K296" i="1"/>
  <c r="H296" i="1"/>
  <c r="L295" i="1"/>
  <c r="K295" i="1"/>
  <c r="H295" i="1"/>
  <c r="L294" i="1"/>
  <c r="K294" i="1"/>
  <c r="H294" i="1"/>
  <c r="L293" i="1"/>
  <c r="K293" i="1"/>
  <c r="H293" i="1"/>
  <c r="L292" i="1"/>
  <c r="K292" i="1"/>
  <c r="H292" i="1"/>
  <c r="L291" i="1"/>
  <c r="K291" i="1"/>
  <c r="H291" i="1"/>
  <c r="L290" i="1"/>
  <c r="K290" i="1"/>
  <c r="H290" i="1"/>
  <c r="L289" i="1"/>
  <c r="K289" i="1"/>
  <c r="H289" i="1"/>
  <c r="L288" i="1"/>
  <c r="K288" i="1"/>
  <c r="H288" i="1"/>
  <c r="L287" i="1"/>
  <c r="K287" i="1"/>
  <c r="H287" i="1"/>
  <c r="L286" i="1"/>
  <c r="K286" i="1"/>
  <c r="H286" i="1"/>
  <c r="L285" i="1"/>
  <c r="K285" i="1"/>
  <c r="H285" i="1"/>
  <c r="L284" i="1"/>
  <c r="K284" i="1"/>
  <c r="H284" i="1"/>
  <c r="L283" i="1"/>
  <c r="K283" i="1"/>
  <c r="H283" i="1"/>
  <c r="L282" i="1"/>
  <c r="K282" i="1"/>
  <c r="H282" i="1"/>
  <c r="L281" i="1"/>
  <c r="K281" i="1"/>
  <c r="H281" i="1"/>
  <c r="L280" i="1"/>
  <c r="K280" i="1"/>
  <c r="H280" i="1"/>
  <c r="L274" i="1"/>
  <c r="K274" i="1"/>
  <c r="H274" i="1"/>
  <c r="L273" i="1"/>
  <c r="K273" i="1"/>
  <c r="H273" i="1"/>
  <c r="L272" i="1"/>
  <c r="K272" i="1"/>
  <c r="H272" i="1"/>
  <c r="L271" i="1"/>
  <c r="K271" i="1"/>
  <c r="H271" i="1"/>
  <c r="L270" i="1"/>
  <c r="K270" i="1"/>
  <c r="H270" i="1"/>
  <c r="L269" i="1"/>
  <c r="K269" i="1"/>
  <c r="H269" i="1"/>
  <c r="L268" i="1"/>
  <c r="K268" i="1"/>
  <c r="H268" i="1"/>
  <c r="L267" i="1"/>
  <c r="K267" i="1"/>
  <c r="H267" i="1"/>
  <c r="L266" i="1"/>
  <c r="K266" i="1"/>
  <c r="H266" i="1"/>
  <c r="L265" i="1"/>
  <c r="K265" i="1"/>
  <c r="H265" i="1"/>
  <c r="L264" i="1"/>
  <c r="K264" i="1"/>
  <c r="H264" i="1"/>
  <c r="L263" i="1"/>
  <c r="K263" i="1"/>
  <c r="H263" i="1"/>
  <c r="L257" i="1"/>
  <c r="K257" i="1"/>
  <c r="H257" i="1"/>
  <c r="L256" i="1"/>
  <c r="K256" i="1"/>
  <c r="H256" i="1"/>
  <c r="L255" i="1"/>
  <c r="K255" i="1"/>
  <c r="H255" i="1"/>
  <c r="L254" i="1"/>
  <c r="K254" i="1"/>
  <c r="H254" i="1"/>
  <c r="L248" i="1"/>
  <c r="K248" i="1"/>
  <c r="H248" i="1"/>
  <c r="L247" i="1"/>
  <c r="K247" i="1"/>
  <c r="H247" i="1"/>
  <c r="L246" i="1"/>
  <c r="K246" i="1"/>
  <c r="H246" i="1"/>
  <c r="L245" i="1"/>
  <c r="K245" i="1"/>
  <c r="H245" i="1"/>
  <c r="L244" i="1"/>
  <c r="K244" i="1"/>
  <c r="H244" i="1"/>
  <c r="L243" i="1"/>
  <c r="K243" i="1"/>
  <c r="H243" i="1"/>
  <c r="L242" i="1"/>
  <c r="K242" i="1"/>
  <c r="H242" i="1"/>
  <c r="L241" i="1"/>
  <c r="K241" i="1"/>
  <c r="H241" i="1"/>
  <c r="L240" i="1"/>
  <c r="K240" i="1"/>
  <c r="H240" i="1"/>
  <c r="L239" i="1"/>
  <c r="K239" i="1"/>
  <c r="H239" i="1"/>
  <c r="L238" i="1"/>
  <c r="K238" i="1"/>
  <c r="H238" i="1"/>
  <c r="L237" i="1"/>
  <c r="K237" i="1"/>
  <c r="H237" i="1"/>
  <c r="L236" i="1"/>
  <c r="K236" i="1"/>
  <c r="H236" i="1"/>
  <c r="L235" i="1"/>
  <c r="K235" i="1"/>
  <c r="H235" i="1"/>
  <c r="L234" i="1"/>
  <c r="K234" i="1"/>
  <c r="H234" i="1"/>
  <c r="L233" i="1"/>
  <c r="K233" i="1"/>
  <c r="H233" i="1"/>
  <c r="L232" i="1"/>
  <c r="K232" i="1"/>
  <c r="H232" i="1"/>
  <c r="L231" i="1"/>
  <c r="K231" i="1"/>
  <c r="H231" i="1"/>
  <c r="L230" i="1"/>
  <c r="K230" i="1"/>
  <c r="H230" i="1"/>
  <c r="L229" i="1"/>
  <c r="K229" i="1"/>
  <c r="H229" i="1"/>
  <c r="L228" i="1"/>
  <c r="K228" i="1"/>
  <c r="H228" i="1"/>
  <c r="L227" i="1"/>
  <c r="K227" i="1"/>
  <c r="H227" i="1"/>
  <c r="L226" i="1"/>
  <c r="K226" i="1"/>
  <c r="H226" i="1"/>
  <c r="L225" i="1"/>
  <c r="K225" i="1"/>
  <c r="H225" i="1"/>
  <c r="L224" i="1"/>
  <c r="K224" i="1"/>
  <c r="H224" i="1"/>
  <c r="L223" i="1"/>
  <c r="K223" i="1"/>
  <c r="H223" i="1"/>
  <c r="L217" i="1"/>
  <c r="K217" i="1"/>
  <c r="H217" i="1"/>
  <c r="L216" i="1"/>
  <c r="K216" i="1"/>
  <c r="H216" i="1"/>
  <c r="L210" i="1"/>
  <c r="K210" i="1"/>
  <c r="H210" i="1"/>
  <c r="L209" i="1"/>
  <c r="K209" i="1"/>
  <c r="H209" i="1"/>
  <c r="L203" i="1"/>
  <c r="K203" i="1"/>
  <c r="H203" i="1"/>
  <c r="L202" i="1"/>
  <c r="K202" i="1"/>
  <c r="H202" i="1"/>
  <c r="L201" i="1"/>
  <c r="K201" i="1"/>
  <c r="H201" i="1"/>
  <c r="L200" i="1"/>
  <c r="K200" i="1"/>
  <c r="H200" i="1"/>
  <c r="L199" i="1"/>
  <c r="K199" i="1"/>
  <c r="H199" i="1"/>
  <c r="L198" i="1"/>
  <c r="K198" i="1"/>
  <c r="H198" i="1"/>
  <c r="L197" i="1"/>
  <c r="K197" i="1"/>
  <c r="H197" i="1"/>
  <c r="L196" i="1"/>
  <c r="K196" i="1"/>
  <c r="H196" i="1"/>
  <c r="L195" i="1"/>
  <c r="K195" i="1"/>
  <c r="H195" i="1"/>
  <c r="L194" i="1"/>
  <c r="K194" i="1"/>
  <c r="H194" i="1"/>
  <c r="L193" i="1"/>
  <c r="K193" i="1"/>
  <c r="H193" i="1"/>
  <c r="L187" i="1"/>
  <c r="K187" i="1"/>
  <c r="H187" i="1"/>
  <c r="L186" i="1"/>
  <c r="K186" i="1"/>
  <c r="H186" i="1"/>
  <c r="L185" i="1"/>
  <c r="K185" i="1"/>
  <c r="H185" i="1"/>
  <c r="L184" i="1"/>
  <c r="K184" i="1"/>
  <c r="H184" i="1"/>
  <c r="L183" i="1"/>
  <c r="K183" i="1"/>
  <c r="H183" i="1"/>
  <c r="L182" i="1"/>
  <c r="K182" i="1"/>
  <c r="H182" i="1"/>
  <c r="L181" i="1"/>
  <c r="K181" i="1"/>
  <c r="H181" i="1"/>
  <c r="L180" i="1"/>
  <c r="K180" i="1"/>
  <c r="H180" i="1"/>
  <c r="L179" i="1"/>
  <c r="K179" i="1"/>
  <c r="H179" i="1"/>
  <c r="L178" i="1"/>
  <c r="K178" i="1"/>
  <c r="H178" i="1"/>
  <c r="L172" i="1"/>
  <c r="K172" i="1"/>
  <c r="H172" i="1"/>
  <c r="L171" i="1"/>
  <c r="K171" i="1"/>
  <c r="H171" i="1"/>
  <c r="L170" i="1"/>
  <c r="K170" i="1"/>
  <c r="H170" i="1"/>
  <c r="L169" i="1"/>
  <c r="K169" i="1"/>
  <c r="H169" i="1"/>
  <c r="L168" i="1"/>
  <c r="K168" i="1"/>
  <c r="H168" i="1"/>
  <c r="L167" i="1"/>
  <c r="K167" i="1"/>
  <c r="H167" i="1"/>
  <c r="L166" i="1"/>
  <c r="K166" i="1"/>
  <c r="H166" i="1"/>
  <c r="L165" i="1"/>
  <c r="K165" i="1"/>
  <c r="H165" i="1"/>
  <c r="L164" i="1"/>
  <c r="K164" i="1"/>
  <c r="H164" i="1"/>
  <c r="L163" i="1"/>
  <c r="K163" i="1"/>
  <c r="H163" i="1"/>
  <c r="L162" i="1"/>
  <c r="K162" i="1"/>
  <c r="H162" i="1"/>
  <c r="L161" i="1"/>
  <c r="K161" i="1"/>
  <c r="H161" i="1"/>
  <c r="L160" i="1"/>
  <c r="K160" i="1"/>
  <c r="H160" i="1"/>
  <c r="L159" i="1"/>
  <c r="K159" i="1"/>
  <c r="H159" i="1"/>
  <c r="L158" i="1"/>
  <c r="K158" i="1"/>
  <c r="H158" i="1"/>
  <c r="L157" i="1"/>
  <c r="K157" i="1"/>
  <c r="H157" i="1"/>
  <c r="L156" i="1"/>
  <c r="K156" i="1"/>
  <c r="H156" i="1"/>
  <c r="L150" i="1"/>
  <c r="K150" i="1"/>
  <c r="H150" i="1"/>
  <c r="L149" i="1"/>
  <c r="K149" i="1"/>
  <c r="H149" i="1"/>
  <c r="L148" i="1"/>
  <c r="K148" i="1"/>
  <c r="H148" i="1"/>
  <c r="L147" i="1"/>
  <c r="K147" i="1"/>
  <c r="H147" i="1"/>
  <c r="L146" i="1"/>
  <c r="K146" i="1"/>
  <c r="H146" i="1"/>
  <c r="L145" i="1"/>
  <c r="K145" i="1"/>
  <c r="H145" i="1"/>
  <c r="L144" i="1"/>
  <c r="K144" i="1"/>
  <c r="H144" i="1"/>
  <c r="L143" i="1"/>
  <c r="K143" i="1"/>
  <c r="H143" i="1"/>
  <c r="L142" i="1"/>
  <c r="K142" i="1"/>
  <c r="H142" i="1"/>
  <c r="L141" i="1"/>
  <c r="K141" i="1"/>
  <c r="H141" i="1"/>
  <c r="L140" i="1"/>
  <c r="K140" i="1"/>
  <c r="H140" i="1"/>
  <c r="L134" i="1"/>
  <c r="K134" i="1"/>
  <c r="H134" i="1"/>
  <c r="L133" i="1"/>
  <c r="K133" i="1"/>
  <c r="H133" i="1"/>
  <c r="L132" i="1"/>
  <c r="K132" i="1"/>
  <c r="H132" i="1"/>
  <c r="L131" i="1"/>
  <c r="K131" i="1"/>
  <c r="H131" i="1"/>
  <c r="L130" i="1"/>
  <c r="K130" i="1"/>
  <c r="H130" i="1"/>
  <c r="L129" i="1"/>
  <c r="K129" i="1"/>
  <c r="H129" i="1"/>
  <c r="L128" i="1"/>
  <c r="K128" i="1"/>
  <c r="H128" i="1"/>
  <c r="L127" i="1"/>
  <c r="K127" i="1"/>
  <c r="H127" i="1"/>
  <c r="L126" i="1"/>
  <c r="K126" i="1"/>
  <c r="H126" i="1"/>
  <c r="L125" i="1"/>
  <c r="K125" i="1"/>
  <c r="H125" i="1"/>
  <c r="L124" i="1"/>
  <c r="K124" i="1"/>
  <c r="H124" i="1"/>
  <c r="L123" i="1"/>
  <c r="K123" i="1"/>
  <c r="H123" i="1"/>
  <c r="L122" i="1"/>
  <c r="K122" i="1"/>
  <c r="H122" i="1"/>
  <c r="L121" i="1"/>
  <c r="K121" i="1"/>
  <c r="H121" i="1"/>
  <c r="L120" i="1"/>
  <c r="K120" i="1"/>
  <c r="H120" i="1"/>
  <c r="L114" i="1"/>
  <c r="K114" i="1"/>
  <c r="H114" i="1"/>
  <c r="L113" i="1"/>
  <c r="K113" i="1"/>
  <c r="H113" i="1"/>
  <c r="L112" i="1"/>
  <c r="K112" i="1"/>
  <c r="H112" i="1"/>
  <c r="L111" i="1"/>
  <c r="K111" i="1"/>
  <c r="H111" i="1"/>
  <c r="L110" i="1"/>
  <c r="K110" i="1"/>
  <c r="H110" i="1"/>
  <c r="L109" i="1"/>
  <c r="K109" i="1"/>
  <c r="H109" i="1"/>
  <c r="L108" i="1"/>
  <c r="K108" i="1"/>
  <c r="H108" i="1"/>
  <c r="L107" i="1"/>
  <c r="K107" i="1"/>
  <c r="H107" i="1"/>
  <c r="L106" i="1"/>
  <c r="K106" i="1"/>
  <c r="H106" i="1"/>
  <c r="L100" i="1"/>
  <c r="K100" i="1"/>
  <c r="H100" i="1"/>
  <c r="L99" i="1"/>
  <c r="K99" i="1"/>
  <c r="H99" i="1"/>
  <c r="L98" i="1"/>
  <c r="K98" i="1"/>
  <c r="H98" i="1"/>
  <c r="L97" i="1"/>
  <c r="K97" i="1"/>
  <c r="H97" i="1"/>
  <c r="L96" i="1"/>
  <c r="K96" i="1"/>
  <c r="H96" i="1"/>
  <c r="L95" i="1"/>
  <c r="K95" i="1"/>
  <c r="H95" i="1"/>
  <c r="L94" i="1"/>
  <c r="K94" i="1"/>
  <c r="H94" i="1"/>
  <c r="L93" i="1"/>
  <c r="K93" i="1"/>
  <c r="H93" i="1"/>
  <c r="L92" i="1"/>
  <c r="K92" i="1"/>
  <c r="H92" i="1"/>
  <c r="L91" i="1"/>
  <c r="K91" i="1"/>
  <c r="H91" i="1"/>
  <c r="L90" i="1"/>
  <c r="K90" i="1"/>
  <c r="H90" i="1"/>
  <c r="L89" i="1"/>
  <c r="K89" i="1"/>
  <c r="H89" i="1"/>
  <c r="L88" i="1"/>
  <c r="K88" i="1"/>
  <c r="H88" i="1"/>
  <c r="L87" i="1"/>
  <c r="K87" i="1"/>
  <c r="H87" i="1"/>
  <c r="L86" i="1"/>
  <c r="K86" i="1"/>
  <c r="H86" i="1"/>
  <c r="L85" i="1"/>
  <c r="K85" i="1"/>
  <c r="H85" i="1"/>
  <c r="L84" i="1"/>
  <c r="K84" i="1"/>
  <c r="H84" i="1"/>
  <c r="L83" i="1"/>
  <c r="K83" i="1"/>
  <c r="H83" i="1"/>
  <c r="L82" i="1"/>
  <c r="K82" i="1"/>
  <c r="H82" i="1"/>
  <c r="L81" i="1"/>
  <c r="K81" i="1"/>
  <c r="H81" i="1"/>
  <c r="L80" i="1"/>
  <c r="K80" i="1"/>
  <c r="H80" i="1"/>
  <c r="L79" i="1"/>
  <c r="K79" i="1"/>
  <c r="H79" i="1"/>
  <c r="L78" i="1"/>
  <c r="K78" i="1"/>
  <c r="H78" i="1"/>
  <c r="M70" i="1"/>
  <c r="L70" i="1"/>
  <c r="I70" i="1"/>
  <c r="M69" i="1"/>
  <c r="L69" i="1"/>
  <c r="I69" i="1"/>
  <c r="M68" i="1"/>
  <c r="L68" i="1"/>
  <c r="I68" i="1"/>
  <c r="M67" i="1"/>
  <c r="L67" i="1"/>
  <c r="I67" i="1"/>
  <c r="M66" i="1"/>
  <c r="L66" i="1"/>
  <c r="I66" i="1"/>
  <c r="M65" i="1"/>
  <c r="L65" i="1"/>
  <c r="I65" i="1"/>
  <c r="M64" i="1"/>
  <c r="L64" i="1"/>
  <c r="I64" i="1"/>
  <c r="M63" i="1"/>
  <c r="L63" i="1"/>
  <c r="I63" i="1"/>
  <c r="M62" i="1"/>
  <c r="L62" i="1"/>
  <c r="I62" i="1"/>
  <c r="M61" i="1"/>
  <c r="L61" i="1"/>
  <c r="I61" i="1"/>
  <c r="M60" i="1"/>
  <c r="L60" i="1"/>
  <c r="I60" i="1"/>
  <c r="M59" i="1"/>
  <c r="L59" i="1"/>
  <c r="I59" i="1"/>
  <c r="M58" i="1"/>
  <c r="L58" i="1"/>
  <c r="I58" i="1"/>
  <c r="M57" i="1"/>
  <c r="L57" i="1"/>
  <c r="I57" i="1"/>
  <c r="M56" i="1"/>
  <c r="L56" i="1"/>
  <c r="I56" i="1"/>
  <c r="M55" i="1"/>
  <c r="L55" i="1"/>
  <c r="I55" i="1"/>
  <c r="M54" i="1"/>
  <c r="L54" i="1"/>
  <c r="I54" i="1"/>
  <c r="M53" i="1"/>
  <c r="L53" i="1"/>
  <c r="I53" i="1"/>
  <c r="M52" i="1"/>
  <c r="L52" i="1"/>
  <c r="I52" i="1"/>
  <c r="M51" i="1"/>
  <c r="L51" i="1"/>
  <c r="I51" i="1"/>
  <c r="M50" i="1"/>
  <c r="L50" i="1"/>
  <c r="I50" i="1"/>
  <c r="M49" i="1"/>
  <c r="L49" i="1"/>
  <c r="I49" i="1"/>
  <c r="M48" i="1"/>
  <c r="L48" i="1"/>
  <c r="I48" i="1"/>
  <c r="M47" i="1"/>
  <c r="L47" i="1"/>
  <c r="I47" i="1"/>
  <c r="M46" i="1"/>
  <c r="L46" i="1"/>
  <c r="I46" i="1"/>
  <c r="M45" i="1"/>
  <c r="L45" i="1"/>
  <c r="I45" i="1"/>
  <c r="M44" i="1"/>
  <c r="L44" i="1"/>
  <c r="I44" i="1"/>
  <c r="M43" i="1"/>
  <c r="L43" i="1"/>
  <c r="I43" i="1"/>
  <c r="M42" i="1"/>
  <c r="L42" i="1"/>
  <c r="I42" i="1"/>
  <c r="M41" i="1"/>
  <c r="L41" i="1"/>
  <c r="I41" i="1"/>
  <c r="M40" i="1"/>
  <c r="L40" i="1"/>
  <c r="I40" i="1"/>
  <c r="M39" i="1"/>
  <c r="L39" i="1"/>
  <c r="I39" i="1"/>
  <c r="M38" i="1"/>
  <c r="L38" i="1"/>
  <c r="I38" i="1"/>
  <c r="M37" i="1"/>
  <c r="L37" i="1"/>
  <c r="I37" i="1"/>
  <c r="M36" i="1"/>
  <c r="L36" i="1"/>
  <c r="I36" i="1"/>
  <c r="M35" i="1"/>
  <c r="L35" i="1"/>
  <c r="I35" i="1"/>
  <c r="M34" i="1"/>
  <c r="L34" i="1"/>
  <c r="I34" i="1"/>
  <c r="M33" i="1"/>
  <c r="L33" i="1"/>
  <c r="I33" i="1"/>
  <c r="M32" i="1"/>
  <c r="L32" i="1"/>
  <c r="I32" i="1"/>
  <c r="M31" i="1"/>
  <c r="L31" i="1"/>
  <c r="I31" i="1"/>
  <c r="M30" i="1"/>
  <c r="L30" i="1"/>
  <c r="I30" i="1"/>
  <c r="M29" i="1"/>
  <c r="L29" i="1"/>
  <c r="I29" i="1"/>
  <c r="M28" i="1"/>
  <c r="L28" i="1"/>
  <c r="I28" i="1"/>
  <c r="M27" i="1"/>
  <c r="L27" i="1"/>
  <c r="I27" i="1"/>
  <c r="M26" i="1"/>
  <c r="L26" i="1"/>
  <c r="I26" i="1"/>
  <c r="M25" i="1"/>
  <c r="L25" i="1"/>
  <c r="I25" i="1"/>
  <c r="M24" i="1"/>
  <c r="L24" i="1"/>
  <c r="I24" i="1"/>
  <c r="M23" i="1"/>
  <c r="L23" i="1"/>
  <c r="I23" i="1"/>
  <c r="M22" i="1"/>
  <c r="L22" i="1"/>
  <c r="I22" i="1"/>
  <c r="M21" i="1"/>
  <c r="L21" i="1"/>
  <c r="I21" i="1"/>
  <c r="M20" i="1"/>
  <c r="L20" i="1"/>
  <c r="I20" i="1"/>
  <c r="M19" i="1"/>
  <c r="L19" i="1"/>
  <c r="I19" i="1"/>
  <c r="M18" i="1"/>
  <c r="L18" i="1"/>
  <c r="I18" i="1"/>
  <c r="M17" i="1"/>
  <c r="L17" i="1"/>
  <c r="I17" i="1"/>
  <c r="M16" i="1"/>
  <c r="L16" i="1"/>
  <c r="I16" i="1"/>
  <c r="M15" i="1"/>
  <c r="L15" i="1"/>
  <c r="I15" i="1"/>
  <c r="M14" i="1"/>
  <c r="L14" i="1"/>
  <c r="I14" i="1"/>
  <c r="M13" i="1"/>
  <c r="L13" i="1"/>
  <c r="I13" i="1"/>
  <c r="M12" i="1"/>
  <c r="L12" i="1"/>
  <c r="I12" i="1"/>
  <c r="M11" i="1"/>
  <c r="L11" i="1"/>
  <c r="I11" i="1"/>
  <c r="M10" i="1"/>
  <c r="L10" i="1"/>
  <c r="I10" i="1"/>
  <c r="M9" i="1"/>
  <c r="L9" i="1"/>
  <c r="I9" i="1"/>
  <c r="M8" i="1"/>
  <c r="L8" i="1"/>
  <c r="I8" i="1"/>
</calcChain>
</file>

<file path=xl/sharedStrings.xml><?xml version="1.0" encoding="utf-8"?>
<sst xmlns="http://schemas.openxmlformats.org/spreadsheetml/2006/main" count="3729" uniqueCount="345">
  <si>
    <t>Informe de trayectos</t>
  </si>
  <si>
    <t>Periodo: 4 de febrero de 2025 0:00 - 4 de febrero de 2025 23:59</t>
  </si>
  <si>
    <t>Informe generado</t>
  </si>
  <si>
    <t>a: 22 de septiembre de 2025 14:13</t>
  </si>
  <si>
    <t>Resumen del informe</t>
  </si>
  <si>
    <t>Nombre de objeto</t>
  </si>
  <si>
    <t>Hora de inicio de trabajo</t>
  </si>
  <si>
    <t>Ubicación de inicio de trabajo</t>
  </si>
  <si>
    <t>Hora de fin de trabajo</t>
  </si>
  <si>
    <t>Ubicación de fin de trabajo</t>
  </si>
  <si>
    <t>Kilometraje recorrido</t>
  </si>
  <si>
    <t>Kilometraje al inicio</t>
  </si>
  <si>
    <t>Kilometraje al final</t>
  </si>
  <si>
    <t>Duración de inactividad</t>
  </si>
  <si>
    <t>Velocidad máxima</t>
  </si>
  <si>
    <t>Velocidad media</t>
  </si>
  <si>
    <t>Duración del trabajo</t>
  </si>
  <si>
    <t>Duración de parada</t>
  </si>
  <si>
    <t>Ate, Lima Metropolitana, Lima, 15498, Perú</t>
  </si>
  <si>
    <t>92 km/h</t>
  </si>
  <si>
    <t>15 km/h</t>
  </si>
  <si>
    <t>Lurigancho, Lima Metropolitana, Lima, 15468, Perú</t>
  </si>
  <si>
    <t>94 km/h</t>
  </si>
  <si>
    <t>Los Huancas, Ate, Lima Metropolitana, Lima, 15483, Perú</t>
  </si>
  <si>
    <t>81 km/h</t>
  </si>
  <si>
    <t>17 km/h</t>
  </si>
  <si>
    <t>Ate, Lima Metropolitana, Lima, 15483, Perú</t>
  </si>
  <si>
    <t>77 km/h</t>
  </si>
  <si>
    <t>14 km/h</t>
  </si>
  <si>
    <t>Calle Manantiales de Vida, Ate, Lima Metropolitana, Lima, 15487, Perú</t>
  </si>
  <si>
    <t>79 km/h</t>
  </si>
  <si>
    <t>18 km/h</t>
  </si>
  <si>
    <t>83 km/h</t>
  </si>
  <si>
    <t>76 km/h</t>
  </si>
  <si>
    <t>Carretera Central, Chaclacayo, Lima Metropolitana, Lima, 15476, Perú</t>
  </si>
  <si>
    <t>74 km/h</t>
  </si>
  <si>
    <t>16 km/h</t>
  </si>
  <si>
    <t>Calle los Alamos, Chosica, Lima Metropolitana, Lima, 15468, Perú</t>
  </si>
  <si>
    <t>105 km/h</t>
  </si>
  <si>
    <t>Calle Las Gardenias, Ricardo Palma, Huarochirí, Lima, 15468, Perú</t>
  </si>
  <si>
    <t>Avenida José Santos Chocano, Ricardo Palma, Huarochirí, Lima, 15468, Perú</t>
  </si>
  <si>
    <t>Capitan Gamarra, Ricardo Palma, Huarochirí, Lima, 15468, Perú, (Ruta4507nueva era 23-10-23)</t>
  </si>
  <si>
    <t>32 km/h</t>
  </si>
  <si>
    <t>7 km/h</t>
  </si>
  <si>
    <t>Avenida Lima Norte, Santa Eulalia, Lima Metropolitana, Lima, 15468, Perú</t>
  </si>
  <si>
    <t>95 km/h</t>
  </si>
  <si>
    <t>Avenida José Carlos Mariátegui, Ricardo Palma, Huarochirí, Lima, 15468, Perú</t>
  </si>
  <si>
    <t>Calle Huayna Cápac, 200, Chaclacayo, Lima Metropolitana, Lima, 15474, Perú</t>
  </si>
  <si>
    <t>115 km/h</t>
  </si>
  <si>
    <t>Avenida Micaela Bastidas, 382, Santa Eulalia, Huarochirí, Lima, 15468, Perú</t>
  </si>
  <si>
    <t>Avenida José Carlos Mariátegui, Ate, Lima Metropolitana, Lima, 15487, Perú</t>
  </si>
  <si>
    <t>84 km/h</t>
  </si>
  <si>
    <t>Calle Cerro de Pasco, Ate, Lima Metropolitana, Lima, 15498, Perú</t>
  </si>
  <si>
    <t>66 km/h</t>
  </si>
  <si>
    <t>9 km/h</t>
  </si>
  <si>
    <t>0 km/h</t>
  </si>
  <si>
    <t>Avenida Bernard de Balaguer, Lurigancho, Lima Metropolitana, Lima, 15464, Perú</t>
  </si>
  <si>
    <t>69 km/h</t>
  </si>
  <si>
    <t>13 km/h</t>
  </si>
  <si>
    <t>68 km/h</t>
  </si>
  <si>
    <t>Pasaje A, Ate, Lima Metropolitana, Lima, 15487, Perú</t>
  </si>
  <si>
    <t>Calle 1, Ate, Lima Metropolitana, Lima, 15483, Perú</t>
  </si>
  <si>
    <t>Chaclacayo, Lima Metropolitana, Lima, 15474, Perú, (Ruta4507nueva era 23-10-23)</t>
  </si>
  <si>
    <t>Avenida Lima Sur, Chosica, Lima Metropolitana, Lima, 15468, Perú, (Ruta4507nueva era 23-10-23)</t>
  </si>
  <si>
    <t>Calle Leoncio Prado, Santa Eulalia, Huarochirí, Lima, 15468, Perú</t>
  </si>
  <si>
    <t>82 km/h</t>
  </si>
  <si>
    <t>Calle Estocolmo, Ate, Lima Metropolitana, Lima, 15498, Perú</t>
  </si>
  <si>
    <t>85 km/h</t>
  </si>
  <si>
    <t>Calle Las Tunas, Santa Anita, Lima Metropolitana, Lima, 15007, Perú</t>
  </si>
  <si>
    <t>Calle Los Topacios, Lurigancho, Lima Metropolitana, Lima, 15472, Perú</t>
  </si>
  <si>
    <t>19 km/h</t>
  </si>
  <si>
    <t>Carretera Central, Ate, Lima Metropolitana, Lima, 15487, Perú, (Ruta4507nueva era 23-10-23)</t>
  </si>
  <si>
    <t>Avenida de La Cultura, 808, Ate, Lima Metropolitana, Lima, 15009, Perú</t>
  </si>
  <si>
    <t>Avenida Nicolás Ayllón, 137, Lima, Lima Metropolitana, Lima, 15011, Perú, (Ruta4507nueva era 23-10-23)</t>
  </si>
  <si>
    <t>Avenida Paseo de la República, Lima, Lima Metropolitana, Lima, 15083, Perú, (Ruta4507nueva era 23-10-23)</t>
  </si>
  <si>
    <t>102 km/h</t>
  </si>
  <si>
    <t>Avenida Camino Real, Santa Anita, Lima Metropolitana, Lima, 15009, Perú</t>
  </si>
  <si>
    <t>96 km/h</t>
  </si>
  <si>
    <t>Ate, Lima Metropolitana, Lima, 15474, Perú</t>
  </si>
  <si>
    <t>Avenida Enrique Guzmán y Valle, Chosica, Lima Metropolitana, Lima, 15468, Perú</t>
  </si>
  <si>
    <t>80 km/h</t>
  </si>
  <si>
    <t>Chosica, Lima Metropolitana, Lima, 15468, Perú</t>
  </si>
  <si>
    <t>93 km/h</t>
  </si>
  <si>
    <t>78 km/h</t>
  </si>
  <si>
    <t>Avenida Los Incas, Ate, Lima Metropolitana, Lima, 15483, Perú</t>
  </si>
  <si>
    <t>Avenida Los Cipreses, Santa Anita, Lima Metropolitana, Lima, 15002, Perú, (RUTA DESVIO TEM.  4507)</t>
  </si>
  <si>
    <t>88 km/h</t>
  </si>
  <si>
    <t>Santa Eulalia, Huarochirí, Lima, 15468, Perú</t>
  </si>
  <si>
    <t>Avenida Los Incas, Ate, Lima Metropolitana, Lima, 15474, Perú</t>
  </si>
  <si>
    <t>40 km/h</t>
  </si>
  <si>
    <t>12 km/h</t>
  </si>
  <si>
    <t>Avenida Lima Norte, Chosica, Lima Metropolitana, Lima, 15468, Perú</t>
  </si>
  <si>
    <t>91 km/h</t>
  </si>
  <si>
    <t>97 km/h</t>
  </si>
  <si>
    <t>Ate, Lima Metropolitana, Lima, 15487, Perú</t>
  </si>
  <si>
    <t>Calle 10 De Abril, Ate, Lima Metropolitana, Lima, 15487, Perú</t>
  </si>
  <si>
    <t>Carretera Central, Sol de Cupiche, Huarochirí, Lima, 15500, Perú</t>
  </si>
  <si>
    <t>Corcona, Huarochirí, Lima, Perú</t>
  </si>
  <si>
    <t>63 km/h</t>
  </si>
  <si>
    <t>62 km/h</t>
  </si>
  <si>
    <t>54 km/h</t>
  </si>
  <si>
    <t>Avenida Colectora, Chosica, Lima Metropolitana, Lima, 15468, Perú</t>
  </si>
  <si>
    <t>Calle 3, Chosica, Lima Metropolitana, Lima, 15468, Perú</t>
  </si>
  <si>
    <t>Avenida Micaela Bastidas, 561, Santa Eulalia, Huarochirí, Lima, 15468, Perú</t>
  </si>
  <si>
    <t>Avenida Nicolás Ayllón, Chaclacayo, Lima Metropolitana, Lima, 15472, Perú, (Ruta4507nueva era 23-10-23)</t>
  </si>
  <si>
    <t>87 km/h</t>
  </si>
  <si>
    <t>Micaela Bastidas, Ate, Lima Metropolitana, Lima, 15498, Perú</t>
  </si>
  <si>
    <t>75 km/h</t>
  </si>
  <si>
    <t>73 km/h</t>
  </si>
  <si>
    <t>72 km/h</t>
  </si>
  <si>
    <t>Calle Berlín, Ate, Lima Metropolitana, Lima, 15498, Perú</t>
  </si>
  <si>
    <t>Carretera Central, Ate, Lima Metropolitana, Lima, 15474, Perú</t>
  </si>
  <si>
    <t>Calle 2, Ate, Lima Metropolitana, Lima, 15487, Perú</t>
  </si>
  <si>
    <t>Jirón Los Próceres, Santa Eulalia, Huarochirí, Lima, 15468, Perú</t>
  </si>
  <si>
    <t>20 km/h</t>
  </si>
  <si>
    <t>Avenida Lima Norte, 574, Santa Eulalia, Lima Metropolitana, Lima, 15468, Perú, (Ruta4507nueva era 23-10-23)</t>
  </si>
  <si>
    <t>Totales:</t>
  </si>
  <si>
    <t/>
  </si>
  <si>
    <t>* Los datos de combustible se calculan de acuerdo con el consumo medio de combustible del vehículo especificado en su configuración</t>
  </si>
  <si>
    <t>5 km/h</t>
  </si>
  <si>
    <t>Avenida Río Perene, Ate, Lima Metropolitana, Lima, 15498, Perú</t>
  </si>
  <si>
    <t>Simón Bolívar, Ricardo Palma, Huarochirí, Lima, 15468, Perú</t>
  </si>
  <si>
    <t>22 km/h</t>
  </si>
  <si>
    <t>Simón Bolívar, Ricardo Palma, Huarochirí, Lima, 15468, Perú, (Ruta4507nueva era 23-10-23)</t>
  </si>
  <si>
    <t>Simón Bolívar, Ricardo Palma, Huarochirí, Lima, 15468, Perú, (TALLER TRASANDINO, Ruta4507nueva era 23-10-23)</t>
  </si>
  <si>
    <t>1 km/h</t>
  </si>
  <si>
    <t>Simón Bolívar, Ricardo Palma, Huarochirí, Lima, 15468, Perú, (TALLER TRASANDINO)</t>
  </si>
  <si>
    <t>Avenida Los Ángeles, Ate, Lima Metropolitana, Lima, 15498, Perú</t>
  </si>
  <si>
    <t>Avenida Simón Bolívar, Santa Eulalia, Huarochirí, Lima, 15468, Perú</t>
  </si>
  <si>
    <t>Ricardo Palma, Huarochirí, Lima, 15468, Perú, (CURVA RICARDO PALMA, Ruta4507nueva era 23-10-23)</t>
  </si>
  <si>
    <t>38 km/h</t>
  </si>
  <si>
    <t>Avenida Alfonso Ugarte, 873, Lima, Lima Metropolitana, Lima, 15001, Perú, (Ruta4507nueva era 23-10-23)</t>
  </si>
  <si>
    <t>Avenida Alfonso Ugarte, Lima, Lima Metropolitana, Lima, 15082, Perú, (Ruta4507nueva era 23-10-23)</t>
  </si>
  <si>
    <t>Jirón Huarochirí, 643, Lima, Lima Metropolitana, Lima, 15082, Perú</t>
  </si>
  <si>
    <t>27 km/h</t>
  </si>
  <si>
    <t>8 km/h</t>
  </si>
  <si>
    <t>23 km/h</t>
  </si>
  <si>
    <t>6 km/h</t>
  </si>
  <si>
    <t>Avenida José Carlos Mariátegui, Ricardo Palma, Huarochirí, Lima, 15468, Perú, (CURVA RICARDO PALMA, Ruta4507nueva era 23-10-23)</t>
  </si>
  <si>
    <t>46 km/h</t>
  </si>
  <si>
    <t>3 km/h</t>
  </si>
  <si>
    <t>Avenida Lima Norte, Santa Eulalia, Huarochirí, Lima, 15468, Perú</t>
  </si>
  <si>
    <t>21 km/h</t>
  </si>
  <si>
    <t>Carretera Central, Chaclacayo, Lima Metropolitana, Lima, 15476, Perú, (Ruta4507nueva era 23-10-23)</t>
  </si>
  <si>
    <t>57 km/h</t>
  </si>
  <si>
    <t>Avenida Inca Garcilazo de la Vega, Lima, Lima Metropolitana, Lima, 15004, Perú</t>
  </si>
  <si>
    <t>Avenida Simón Bolívar, Santa Eulalia, Huarochirí, Lima, 15468, Perú, (Ruta4507nueva era 23-10-23)</t>
  </si>
  <si>
    <t>37 km/h</t>
  </si>
  <si>
    <t>Jose Carlos Mariátegui, Ricardo Palma, Lima Metropolitana, Lima, 15468, Perú, (PARADERO RICARDO PALMA)</t>
  </si>
  <si>
    <t>30 km/h</t>
  </si>
  <si>
    <t>24 km/h</t>
  </si>
  <si>
    <t>Avenida De Las Torres, San Luis, Lima Metropolitana, Lima, 15022, Perú</t>
  </si>
  <si>
    <t>25 km/h</t>
  </si>
  <si>
    <t>48 km/h</t>
  </si>
  <si>
    <t>Avenida Andrés Avelino Cáceres, Ate, Lima Metropolitana, Lima, 15483, Perú</t>
  </si>
  <si>
    <t>29 km/h</t>
  </si>
  <si>
    <t>Pasaje Gould, Lima, Lima Metropolitana, Lima, 15082, Perú</t>
  </si>
  <si>
    <t>65 km/h</t>
  </si>
  <si>
    <t>10 km/h</t>
  </si>
  <si>
    <t>28 km/h</t>
  </si>
  <si>
    <t>4 km/h</t>
  </si>
  <si>
    <t>2 km/h</t>
  </si>
  <si>
    <t>Avenida José Carlos Mariátegui, Ate, Lima Metropolitana, Lima, 15483, Perú</t>
  </si>
  <si>
    <t>Avenida Nicolás de Ayllón, Ate, Lima Metropolitana, Lima, 15487, Perú, (Ruta4507nueva era 23-10-23)</t>
  </si>
  <si>
    <t>56 km/h</t>
  </si>
  <si>
    <t>Avenida José Carlos Mariátegui, Ricardo Palma, Huarochirí, Lima, 15468, Perú, (Ruta4507nueva era 23-10-23)</t>
  </si>
  <si>
    <t>Avenida 5 de Setiembre, Ricardo Palma, Huarochirí, Lima, 15468, Perú, (Ruta4507nueva era 23-10-23)</t>
  </si>
  <si>
    <t>26 km/h</t>
  </si>
  <si>
    <t>Jirón Sánchez Pinillos, Breña, Lima Metropolitana, Lima, 15082, Perú</t>
  </si>
  <si>
    <t>Jirón Sánchez Pinillos, Lima, Lima Metropolitana, Lima, 15082, Perú</t>
  </si>
  <si>
    <t>Avenida Nicolás Ayllón, Chaclacayo, Lima Metropolitana, Lima, 15472, Perú</t>
  </si>
  <si>
    <t>Avenida Malecón Manco Cápac, Chaclacayo, Lima Metropolitana, Lima, 15472, Perú, (Ruta4507nueva era 23-10-23)</t>
  </si>
  <si>
    <t>Carretera Central, Ate, Lima Metropolitana, Lima, 15487, Perú, (S06 SANTA CLARA, Ruta4507nueva era 23-10-23)</t>
  </si>
  <si>
    <t>31 km/h</t>
  </si>
  <si>
    <t>11 km/h</t>
  </si>
  <si>
    <t>Ricardo Palma, Huarochirí, Lima, 15468, Perú, (Ruta4507nueva era 23-10-23)</t>
  </si>
  <si>
    <t>Calle Córdova, Ricardo Palma, Huarochirí, Lima, 15468, Perú, (Ruta4507nueva era 23-10-23)</t>
  </si>
  <si>
    <t>67 km/h</t>
  </si>
  <si>
    <t>Jirón Trujillo Sur, Chosica, Lima Metropolitana, Lima, 15468, Perú, (Ruta4507nueva era 23-10-23)</t>
  </si>
  <si>
    <t>Marcos Puente Llanos, Ate, Lima Metropolitana, Lima, 15498, Perú, (RUTA DESVIO TEM.  4507)</t>
  </si>
  <si>
    <t>Marcos Puente Llanos, Ate, Lima Metropolitana, Lima, 15498, Perú</t>
  </si>
  <si>
    <t>Pasaje Gould, Lima, Lima Metropolitana, Lima, 15082, Perú, (PARADERO DESTINO ASCOPE)</t>
  </si>
  <si>
    <t>53 km/h</t>
  </si>
  <si>
    <t>Carretera Central, 1030, Ate, Lima Metropolitana, Lima, 15487, Perú, (Ruta4507nueva era 23-10-23)</t>
  </si>
  <si>
    <t>Avenida Nicolás Ayllón, Chaclacayo, Lima Metropolitana, Lima, 15472, Perú, (S08 CHACLACAYO/PARQUE, Ruta4507nueva era 23-10-23)</t>
  </si>
  <si>
    <t>64 km/h</t>
  </si>
  <si>
    <t>Avenida Lima Norte, Chosica, Lima Metropolitana, Lima, 15468, Perú, (Ruta4507nueva era 23-10-23)</t>
  </si>
  <si>
    <t>33 km/h</t>
  </si>
  <si>
    <t>Avenida Lima Norte, 599, Chosica, Lima Metropolitana, Lima, 15468, Perú, (Ruta4507nueva era 23-10-23)</t>
  </si>
  <si>
    <t>42 km/h</t>
  </si>
  <si>
    <t>Avenida Lima Norte, 178, Chosica, Lima Metropolitana, Lima, 15468, Perú, (Ruta4507nueva era 23-10-23)</t>
  </si>
  <si>
    <t>Calle Salaverry, 280, Chosica, Lima Metropolitana, Lima, 15468, Perú, (Ruta4507nueva era 23-10-23)</t>
  </si>
  <si>
    <t>Jirón Trujillo Sur, 344, Chosica, Lima Metropolitana, Lima, 15468, Perú, (Ruta4507nueva era 23-10-23)</t>
  </si>
  <si>
    <t>Jirón Trujillo Sur, 378, Chosica, Lima Metropolitana, Lima, 15468, Perú, (Ruta4507nueva era 23-10-23)</t>
  </si>
  <si>
    <t>Avenida 9 de Diciembre, 150, Lima, Lima Metropolitana, Lima, 15083, Perú, (Ruta4507nueva era 23-10-23)</t>
  </si>
  <si>
    <t>58 km/h</t>
  </si>
  <si>
    <t>Calle Abraham Valdelomar, 108, Ricardo Palma, Huarochirí, Lima, 15468, Perú</t>
  </si>
  <si>
    <t>Avenida Lima Norte, Santa Eulalia, Huarochirí, Lima, 15468, Perú, (Ruta4507nueva era 23-10-23)</t>
  </si>
  <si>
    <t>Avenida Almirante Miguel Grau, La Victoria, Lima Metropolitana, Lima, 15001, Perú, (Ruta4507nueva era 23-10-23)</t>
  </si>
  <si>
    <t>Avenida Iquitos, Lima, Lima Metropolitana, Lima, 15001, Perú, (Ruta4507nueva era 23-10-23)</t>
  </si>
  <si>
    <t>Avenida Almirante Miguel Grau, 243, Lima, Lima Metropolitana, Lima, 15001, Perú, (Ruta4507nueva era 23-10-23)</t>
  </si>
  <si>
    <t>Abraham Valdelomar, Ricardo Palma, Huarochirí, Lima, 15468, Perú</t>
  </si>
  <si>
    <t>Avenida Las Retamas, Ricardo Palma, Huarochirí, Lima, 15468, Perú</t>
  </si>
  <si>
    <t>35 km/h</t>
  </si>
  <si>
    <t>41 km/h</t>
  </si>
  <si>
    <t>Avenida Alfonso Cobián, Chaclacayo, Lima Metropolitana, Lima, 15476, Perú</t>
  </si>
  <si>
    <t>Víctor Raúl Haya de la Torre, Ate, Lima Metropolitana, Lima, 15498, Perú</t>
  </si>
  <si>
    <t>Avenida Nicolás de Ayllón, Ate, Lima Metropolitana, Lima, 15498, Perú, (Ruta4507nueva era 23-10-23)</t>
  </si>
  <si>
    <t>Víctor Raúl Haya de la Torre, Ate, Lima Metropolitana, Lima, 15498, Perú, (Ruta4507nueva era 23-10-23)</t>
  </si>
  <si>
    <t>Jirón Cornelio Borda, Lima, Lima Metropolitana, Lima, 15082, Perú</t>
  </si>
  <si>
    <t>Calle Atahualpa, Chaclacayo, Lima Metropolitana, Lima, 15474, Perú</t>
  </si>
  <si>
    <t>45 km/h</t>
  </si>
  <si>
    <t>Avenida Almirante Miguel Grau, 171, Lima, Lima Metropolitana, Lima, 15001, Perú, (Ruta4507nueva era 23-10-23)</t>
  </si>
  <si>
    <t>Metropolitano, Lima, Lima Metropolitana, Lima, 15001, Perú, (Ruta4507nueva era 23-10-23)</t>
  </si>
  <si>
    <t>39 km/h</t>
  </si>
  <si>
    <t>Avenida Las Flores, Lurigancho, Lima Metropolitana, Lima, 15468, Perú, (Ruta4507nueva era 23-10-23)</t>
  </si>
  <si>
    <t>59 km/h</t>
  </si>
  <si>
    <t>47 km/h</t>
  </si>
  <si>
    <t>Carretera Central, Chaclacayo, Lima Metropolitana, Lima, 15474, Perú, (S07ÑAÑA, Ruta4507nueva era 23-10-23)</t>
  </si>
  <si>
    <t>52 km/h</t>
  </si>
  <si>
    <t>71 km/h</t>
  </si>
  <si>
    <t>Jirón Ascope, Lima, Lima Metropolitana, Lima, 15082, Perú, (PARADERO DESTINO ASCOPE, Ruta4507nueva era 23-10-23)</t>
  </si>
  <si>
    <t>Avenida Nicolás de Ayllón, Santa Anita, Lima Metropolitana, Lima, 15498, Perú, (Ruta4507nueva era 23-10-23)</t>
  </si>
  <si>
    <t>34 km/h</t>
  </si>
  <si>
    <t>Avenida Nicolas de Pierola, Ate, Lima Metropolitana, Lima, 15487, Perú</t>
  </si>
  <si>
    <t>50 km/h</t>
  </si>
  <si>
    <t>Jose Carlos Mariátegui, Chosica, Lima Metropolitana, Lima, 15468, Perú, (PARADERO RICARDO PALMA)</t>
  </si>
  <si>
    <t>Avenida Jaime Zubieta Calderón, Ate, Lima Metropolitana, Lima, 15483, Perú</t>
  </si>
  <si>
    <t>51 km/h</t>
  </si>
  <si>
    <t>Avenida La Paz, G2, Santa Eulalia, Huarochirí, Lima, 15500, Perú</t>
  </si>
  <si>
    <t>Carretera Central, Ricardo Palma, Huarochirí, Lima, 15468, Perú</t>
  </si>
  <si>
    <t>Avenida Lima Sur, Chosica, Lima Metropolitana, Lima, 15468, Perú</t>
  </si>
  <si>
    <t>44 km/h</t>
  </si>
  <si>
    <t>Avenida San Martín, Santa Eulalia, Huarochirí, Lima, 15468, Perú</t>
  </si>
  <si>
    <t>60 km/h</t>
  </si>
  <si>
    <t>36 km/h</t>
  </si>
  <si>
    <t>Avenida Óscar Raimundo Benavides, 150, Lima, Lima Metropolitana, Lima, 15082, Perú</t>
  </si>
  <si>
    <t>Avenida Nicolás de Ayllón, Ate, Lima Metropolitana, Lima, 15487, Perú</t>
  </si>
  <si>
    <t>Calle Alhelíes, Chaclacayo, Lima Metropolitana, Lima, 15476, Perú</t>
  </si>
  <si>
    <t>Alameda E, Chaclacayo, Lima Metropolitana, Lima, 15476, Perú</t>
  </si>
  <si>
    <t>49 km/h</t>
  </si>
  <si>
    <t>55 km/h</t>
  </si>
  <si>
    <t>Avenida 15 de Julio, Ate, Lima Metropolitana, Lima, 15483, Perú</t>
  </si>
  <si>
    <t>Avenida 15 de Julio, Nº 512 UVC 3, Ate, Lima Metropolitana, Lima, 15483, Perú</t>
  </si>
  <si>
    <t>70 km/h</t>
  </si>
  <si>
    <t>Avenida Los Cipreses, Santa Anita, Lima Metropolitana, Lima, 15008, Perú, (RUTA DESVIO TEM.  4507)</t>
  </si>
  <si>
    <t>Avenida 28 de Julio, Lima, Lima Metropolitana, Lima, 15083, Perú</t>
  </si>
  <si>
    <t>Avenida Nicolás de Ayllón, Santa Anita, Lima Metropolitana, Lima, 15008, Perú</t>
  </si>
  <si>
    <t>61 km/h</t>
  </si>
  <si>
    <t>Pasaje 9 de Setiembre, Ate, Lima Metropolitana, Lima, 15008, Perú, (Ruta4507nueva era 23-10-23)</t>
  </si>
  <si>
    <t>Ate, Lima Metropolitana, Lima, 15009, Perú, (Ruta4507nueva era 23-10-23)</t>
  </si>
  <si>
    <t>Calle 11, Santa Anita, Lima Metropolitana, Lima, 15009, Perú</t>
  </si>
  <si>
    <t>43 km/h</t>
  </si>
  <si>
    <t>Avenida Nicolás de Ayllón, Santa Anita, Lima Metropolitana, Lima, 15009, Perú, (Ruta4507nueva era 23-10-23)</t>
  </si>
  <si>
    <t>Avenida Nicolás de Ayllón, Ate, Lima Metropolitana, Lima, 15008, Perú, (Ruta4507nueva era 23-10-23)</t>
  </si>
  <si>
    <t>Vía de Evitamiento, Ate, Lima Metropolitana, Lima, 15008, Perú</t>
  </si>
  <si>
    <t>Jirón Coronel Miguel Baquero, 190, Lima, Lima Metropolitana, Lima, 15082, Perú</t>
  </si>
  <si>
    <t>Avenida Nicolás de Ayllón, El Agustino, Lima Metropolitana, Lima, 15002, Perú, (Ruta4507nueva era 23-10-23, RUTA DESVIO TEM.  4507)</t>
  </si>
  <si>
    <t>Jirón Cornelio Borda, Breña, Lima Metropolitana, Lima, 15082, Perú</t>
  </si>
  <si>
    <t>Jirón Cornelio Borda, Breña, Lima Metropolitana, Lima, 15082, Perú, (Ruta4507nueva era 23-10-23)</t>
  </si>
  <si>
    <t>Avenida Metropolitana, Ate, Lima Metropolitana, Lima, 15498, Perú, (RUTA DESVIO TEM.  4507)</t>
  </si>
  <si>
    <t>Jirón Pacasmayo, Lima, Lima Metropolitana, Lima, 15082, Perú</t>
  </si>
  <si>
    <t>Avenida Paseo de la República, Lima, Lima Metropolitana, Lima, 15083, Perú</t>
  </si>
  <si>
    <t>Carretera Central, Corcona, Huarochirí, Lima, Perú</t>
  </si>
  <si>
    <t>Jirón Chucuito, Chosica, Lima Metropolitana, Lima, 15468, Perú</t>
  </si>
  <si>
    <t>Avenida Andrés Avelino Cáceres, Ate, Lima Metropolitana, Lima, 15474, Perú</t>
  </si>
  <si>
    <t>Jose Carlos Mariátegui, Ricardo Palma, Lima Metropolitana, Lima, 15468, Perú, (PARADERO RICARDO PALMA, Exceso de Velocidad)</t>
  </si>
  <si>
    <t>Avenida Óscar Raimundo Benavides, 150, Lima, Lima Metropolitana, Lima, 15082, Perú, (Ruta4507nueva era 23-10-23)</t>
  </si>
  <si>
    <t>Jirón Tacna, Chosica, Lima Metropolitana, Lima, 15468, Perú, (Ruta4507nueva era 23-10-23)</t>
  </si>
  <si>
    <t>Jirón Cusco, 1699, Lima, Lima Metropolitana, Lima, 15011, Perú</t>
  </si>
  <si>
    <t>Jirón Miguel de los Ríos, 149, La Victoria, Lima Metropolitana, Lima, 15001, Perú</t>
  </si>
  <si>
    <t>Avenida Paseo de la República, 385, La Victoria, Lima Metropolitana, Lima, 15001, Perú</t>
  </si>
  <si>
    <t>Avenida Lima Norte, Santa Eulalia, Lima Metropolitana, Lima, 15468, Perú, (Ruta4507nueva era 23-10-23)</t>
  </si>
  <si>
    <t>Vista Alegre, Ate, Lima Metropolitana, Lima, 15498, Perú</t>
  </si>
  <si>
    <t>Venta, Ate, Lima Metropolitana, Lima, 15474, Perú</t>
  </si>
  <si>
    <t>Avenida Gloria Grande, Ate, Lima Metropolitana, Lima, 15483, Perú</t>
  </si>
  <si>
    <t>Carretera Central, Chaclacayo, Lima Metropolitana, Lima, 15464, Perú</t>
  </si>
  <si>
    <t>112 km/h</t>
  </si>
  <si>
    <t>157 km/h</t>
  </si>
  <si>
    <t>Avenida Alfonso Ugarte, 650, Lima, Lima Metropolitana, Lima, 15082, Perú</t>
  </si>
  <si>
    <t>Calle Cesar Vallejo, Ricardo Palma, Huarochirí, Lima, 15468, Perú</t>
  </si>
  <si>
    <t>Jirón Tacna, 430, Chosica, Lima Metropolitana, Lima, 15468, Perú</t>
  </si>
  <si>
    <t>Objeto 1</t>
  </si>
  <si>
    <t>Objeto 2</t>
  </si>
  <si>
    <t>Objeto 3</t>
  </si>
  <si>
    <t>Objeto 4</t>
  </si>
  <si>
    <t>Objeto 5</t>
  </si>
  <si>
    <t>Objeto 6</t>
  </si>
  <si>
    <t>Objeto 7</t>
  </si>
  <si>
    <t>Objeto 8</t>
  </si>
  <si>
    <t>Objeto 9</t>
  </si>
  <si>
    <t>Objeto 10</t>
  </si>
  <si>
    <t>Objeto 11</t>
  </si>
  <si>
    <t>Objeto 12</t>
  </si>
  <si>
    <t>Objeto 13</t>
  </si>
  <si>
    <t>Objeto 14</t>
  </si>
  <si>
    <t>Objeto 15</t>
  </si>
  <si>
    <t>Objeto 16</t>
  </si>
  <si>
    <t>Objeto 17</t>
  </si>
  <si>
    <t>Objeto 18</t>
  </si>
  <si>
    <t>Objeto 19</t>
  </si>
  <si>
    <t>Objeto 20</t>
  </si>
  <si>
    <t>Objeto 21</t>
  </si>
  <si>
    <t>Objeto 22</t>
  </si>
  <si>
    <t>Objeto 23</t>
  </si>
  <si>
    <t>Objeto 24</t>
  </si>
  <si>
    <t>Objeto 25</t>
  </si>
  <si>
    <t>Objeto 26</t>
  </si>
  <si>
    <t>Objeto 27</t>
  </si>
  <si>
    <t>Objeto 28</t>
  </si>
  <si>
    <t>Objeto 29</t>
  </si>
  <si>
    <t>Objeto 30</t>
  </si>
  <si>
    <t>Objeto 31</t>
  </si>
  <si>
    <t>Objeto 32</t>
  </si>
  <si>
    <t>Objeto 33</t>
  </si>
  <si>
    <t>Objeto 34</t>
  </si>
  <si>
    <t>Objeto 35</t>
  </si>
  <si>
    <t>Objeto 36</t>
  </si>
  <si>
    <t>Objeto 37</t>
  </si>
  <si>
    <t>Objeto 38</t>
  </si>
  <si>
    <t>Objeto 39</t>
  </si>
  <si>
    <t>Objeto 40</t>
  </si>
  <si>
    <t>Objeto 41</t>
  </si>
  <si>
    <t>Objeto 42</t>
  </si>
  <si>
    <t>Objeto 43</t>
  </si>
  <si>
    <t>Objeto 44</t>
  </si>
  <si>
    <t>Objeto 45</t>
  </si>
  <si>
    <t>Objeto 46</t>
  </si>
  <si>
    <t>Objeto 47</t>
  </si>
  <si>
    <t>Objeto 48</t>
  </si>
  <si>
    <t>Objeto 49</t>
  </si>
  <si>
    <t>Objeto 50</t>
  </si>
  <si>
    <t>Objeto 51</t>
  </si>
  <si>
    <t>Objeto 52</t>
  </si>
  <si>
    <t>Objeto 53</t>
  </si>
  <si>
    <t>Objeto 54</t>
  </si>
  <si>
    <t>Objeto 55</t>
  </si>
  <si>
    <t>Objeto 56</t>
  </si>
  <si>
    <t>Objeto 57</t>
  </si>
  <si>
    <t>Objeto 58</t>
  </si>
  <si>
    <t>Objeto 59</t>
  </si>
  <si>
    <t>Objeto 60</t>
  </si>
  <si>
    <t>Objeto 61</t>
  </si>
  <si>
    <t>Objeto 62</t>
  </si>
  <si>
    <t xml:space="preserve">Objeto 1							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</si>
</sst>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:mm:ss"/>
    <numFmt numFmtId="165" formatCode="&quot;&quot;#,##0.0##&quot; km&quot;"/>
  </numFmts>
  <fonts count="6" x14ac:knownFonts="1">
    <font>
      <sz val="11"/>
      <color theme="1"/>
      <name val="Calibri"/>
      <family val="2"/>
      <scheme val="minor"/>
    </font>
    <font>
      <b/>
      <sz val="18"/>
      <name val="Calibri"/>
    </font>
    <font>
      <b/>
      <sz val="11"/>
      <name val="Calibri"/>
    </font>
    <font>
      <i/>
      <sz val="11"/>
      <name val="Calibri"/>
    </font>
    <font>
      <b/>
      <sz val="16"/>
      <name val="Calibri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darkTrellis">
        <fgColor rgb="FFD9D9D9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wrapText="1"/>
    </xf>
    <xf numFmtId="164" fontId="0" fillId="0" borderId="0" xfId="0" applyNumberFormat="1"/>
    <xf numFmtId="165" fontId="0" fillId="0" borderId="0" xfId="0" applyNumberFormat="1"/>
    <xf numFmtId="46" fontId="0" fillId="0" borderId="0" xfId="0" applyNumberFormat="1"/>
    <xf numFmtId="0" fontId="0" fillId="2" borderId="2" xfId="0" applyFill="1" applyBorder="1"/>
    <xf numFmtId="165" fontId="0" fillId="2" borderId="2" xfId="0" applyNumberFormat="1" applyFill="1" applyBorder="1"/>
    <xf numFmtId="46" fontId="0" fillId="2" borderId="2" xfId="0" applyNumberFormat="1" applyFill="1" applyBorder="1"/>
    <xf numFmtId="0" fontId="3" fillId="0" borderId="0" xfId="0" applyFont="1"/>
    <xf numFmtId="0" fontId="4" fillId="0" borderId="0" xfId="0" applyFont="1"/>
    <xf numFmtId="0" fontId="1" fillId="0" borderId="0" xfId="0" applyFont="1"/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30"/>
  <sheetViews>
    <sheetView tabSelected="1" workbookViewId="0">
      <selection sqref="A1:J1"/>
    </sheetView>
  </sheetViews>
  <sheetFormatPr baseColWidth="10" defaultColWidth="9.140625" defaultRowHeight="15" x14ac:dyDescent="0.25"/>
  <cols>
    <col min="1" max="30" width="19" customWidth="1"/>
  </cols>
  <sheetData>
    <row r="1" spans="1:13" ht="24" customHeight="1" x14ac:dyDescent="0.3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</row>
    <row r="2" spans="1:13" x14ac:dyDescent="0.25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</row>
    <row r="3" spans="1:13" x14ac:dyDescent="0.25">
      <c r="A3" s="12" t="s">
        <v>2</v>
      </c>
      <c r="B3" s="12"/>
      <c r="C3" s="12"/>
      <c r="D3" s="12"/>
      <c r="E3" s="12"/>
      <c r="F3" s="12"/>
      <c r="G3" s="12"/>
      <c r="H3" s="12"/>
      <c r="I3" s="12"/>
      <c r="J3" s="12"/>
    </row>
    <row r="4" spans="1:13" x14ac:dyDescent="0.25">
      <c r="A4" s="12" t="s">
        <v>3</v>
      </c>
      <c r="B4" s="12"/>
      <c r="C4" s="12"/>
      <c r="D4" s="12"/>
      <c r="E4" s="12"/>
      <c r="F4" s="12"/>
      <c r="G4" s="12"/>
      <c r="H4" s="12"/>
      <c r="I4" s="12"/>
      <c r="J4" s="12"/>
    </row>
    <row r="5" spans="1:13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</row>
    <row r="6" spans="1:13" s="1" customFormat="1" x14ac:dyDescent="0.25">
      <c r="A6" s="13" t="s">
        <v>4</v>
      </c>
      <c r="B6" s="13"/>
      <c r="C6" s="13"/>
      <c r="D6" s="13"/>
      <c r="E6" s="13"/>
      <c r="F6" s="13"/>
      <c r="G6" s="13"/>
      <c r="H6" s="13"/>
      <c r="I6" s="13"/>
      <c r="J6" s="13"/>
    </row>
    <row r="7" spans="1:13" ht="30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  <c r="K7" s="2" t="s">
        <v>15</v>
      </c>
      <c r="L7" s="2" t="s">
        <v>16</v>
      </c>
      <c r="M7" s="2" t="s">
        <v>17</v>
      </c>
    </row>
    <row r="8" spans="1:13" x14ac:dyDescent="0.25">
      <c r="A8" t="s">
        <v>282</v>
      </c>
      <c r="B8" s="3">
        <v>45692.18273148148</v>
      </c>
      <c r="C8" t="s">
        <v>18</v>
      </c>
      <c r="D8" s="3">
        <v>45692.982488425929</v>
      </c>
      <c r="E8" t="s">
        <v>18</v>
      </c>
      <c r="F8" s="4">
        <v>200.404</v>
      </c>
      <c r="G8" s="4">
        <v>512456.91800000001</v>
      </c>
      <c r="H8" s="4">
        <v>512657.32199999999</v>
      </c>
      <c r="I8" s="5">
        <f>18664 / 86400</f>
        <v>0.21601851851851853</v>
      </c>
      <c r="J8" t="s">
        <v>19</v>
      </c>
      <c r="K8" t="s">
        <v>20</v>
      </c>
      <c r="L8" s="5">
        <f>46724 / 86400</f>
        <v>0.54078703703703701</v>
      </c>
      <c r="M8" s="5">
        <f>39665 / 86400</f>
        <v>0.45908564814814817</v>
      </c>
    </row>
    <row r="9" spans="1:13" x14ac:dyDescent="0.25">
      <c r="A9" t="s">
        <v>283</v>
      </c>
      <c r="B9" s="3">
        <v>45692.625335648147</v>
      </c>
      <c r="C9" t="s">
        <v>21</v>
      </c>
      <c r="D9" s="3">
        <v>45692.927222222221</v>
      </c>
      <c r="E9" t="s">
        <v>21</v>
      </c>
      <c r="F9" s="4">
        <v>98.603000000000009</v>
      </c>
      <c r="G9" s="4">
        <v>17682.356</v>
      </c>
      <c r="H9" s="4">
        <v>17780.958999999999</v>
      </c>
      <c r="I9" s="5">
        <f>7815 / 86400</f>
        <v>9.0451388888888887E-2</v>
      </c>
      <c r="J9" t="s">
        <v>22</v>
      </c>
      <c r="K9" t="s">
        <v>20</v>
      </c>
      <c r="L9" s="5">
        <f>23114 / 86400</f>
        <v>0.26752314814814815</v>
      </c>
      <c r="M9" s="5">
        <f>63280 / 86400</f>
        <v>0.7324074074074074</v>
      </c>
    </row>
    <row r="10" spans="1:13" x14ac:dyDescent="0.25">
      <c r="A10" t="s">
        <v>284</v>
      </c>
      <c r="B10" s="3">
        <v>45692.197453703702</v>
      </c>
      <c r="C10" t="s">
        <v>23</v>
      </c>
      <c r="D10" s="3">
        <v>45692.859212962961</v>
      </c>
      <c r="E10" t="s">
        <v>23</v>
      </c>
      <c r="F10" s="4">
        <v>181.898</v>
      </c>
      <c r="G10" s="4">
        <v>326799.84499999997</v>
      </c>
      <c r="H10" s="4">
        <v>326981.74300000002</v>
      </c>
      <c r="I10" s="5">
        <f>13460 / 86400</f>
        <v>0.15578703703703703</v>
      </c>
      <c r="J10" t="s">
        <v>24</v>
      </c>
      <c r="K10" t="s">
        <v>25</v>
      </c>
      <c r="L10" s="5">
        <f>38155 / 86400</f>
        <v>0.44160879629629629</v>
      </c>
      <c r="M10" s="5">
        <f>48240 / 86400</f>
        <v>0.55833333333333335</v>
      </c>
    </row>
    <row r="11" spans="1:13" x14ac:dyDescent="0.25">
      <c r="A11" t="s">
        <v>285</v>
      </c>
      <c r="B11" s="3">
        <v>45692.343726851846</v>
      </c>
      <c r="C11" t="s">
        <v>26</v>
      </c>
      <c r="D11" s="3">
        <v>45692.96497685185</v>
      </c>
      <c r="E11" t="s">
        <v>26</v>
      </c>
      <c r="F11" s="4">
        <v>161.934</v>
      </c>
      <c r="G11" s="4">
        <v>19873.965</v>
      </c>
      <c r="H11" s="4">
        <v>20035.899000000001</v>
      </c>
      <c r="I11" s="5">
        <f>15762 / 86400</f>
        <v>0.18243055555555557</v>
      </c>
      <c r="J11" t="s">
        <v>27</v>
      </c>
      <c r="K11" t="s">
        <v>28</v>
      </c>
      <c r="L11" s="5">
        <f>42894 / 86400</f>
        <v>0.49645833333333333</v>
      </c>
      <c r="M11" s="5">
        <f>43501 / 86400</f>
        <v>0.50348379629629625</v>
      </c>
    </row>
    <row r="12" spans="1:13" x14ac:dyDescent="0.25">
      <c r="A12" t="s">
        <v>286</v>
      </c>
      <c r="B12" s="3">
        <v>45692.243877314817</v>
      </c>
      <c r="C12" t="s">
        <v>29</v>
      </c>
      <c r="D12" s="3">
        <v>45692.933240740742</v>
      </c>
      <c r="E12" t="s">
        <v>29</v>
      </c>
      <c r="F12" s="4">
        <v>221.41300000000001</v>
      </c>
      <c r="G12" s="4">
        <v>511654.54800000001</v>
      </c>
      <c r="H12" s="4">
        <v>511875.96100000001</v>
      </c>
      <c r="I12" s="5">
        <f>14317 / 86400</f>
        <v>0.16570601851851852</v>
      </c>
      <c r="J12" t="s">
        <v>30</v>
      </c>
      <c r="K12" t="s">
        <v>31</v>
      </c>
      <c r="L12" s="5">
        <f>45166 / 86400</f>
        <v>0.5227546296296296</v>
      </c>
      <c r="M12" s="5">
        <f>41230 / 86400</f>
        <v>0.47719907407407408</v>
      </c>
    </row>
    <row r="13" spans="1:13" x14ac:dyDescent="0.25">
      <c r="A13" t="s">
        <v>287</v>
      </c>
      <c r="B13" s="3">
        <v>45692.225474537037</v>
      </c>
      <c r="C13" t="s">
        <v>26</v>
      </c>
      <c r="D13" s="3">
        <v>45692.803252314814</v>
      </c>
      <c r="E13" t="s">
        <v>26</v>
      </c>
      <c r="F13" s="4">
        <v>170.85599999999999</v>
      </c>
      <c r="G13" s="4">
        <v>90885.899000000005</v>
      </c>
      <c r="H13" s="4">
        <v>91056.755000000005</v>
      </c>
      <c r="I13" s="5">
        <f>14899 / 86400</f>
        <v>0.17244212962962963</v>
      </c>
      <c r="J13" t="s">
        <v>32</v>
      </c>
      <c r="K13" t="s">
        <v>28</v>
      </c>
      <c r="L13" s="5">
        <f>44456 / 86400</f>
        <v>0.51453703703703701</v>
      </c>
      <c r="M13" s="5">
        <f>41940 / 86400</f>
        <v>0.48541666666666666</v>
      </c>
    </row>
    <row r="14" spans="1:13" x14ac:dyDescent="0.25">
      <c r="A14" t="s">
        <v>288</v>
      </c>
      <c r="B14" s="3">
        <v>45692.173935185187</v>
      </c>
      <c r="C14" t="s">
        <v>18</v>
      </c>
      <c r="D14" s="3">
        <v>45692.871365740742</v>
      </c>
      <c r="E14" t="s">
        <v>18</v>
      </c>
      <c r="F14" s="4">
        <v>247.99200000000002</v>
      </c>
      <c r="G14" s="4">
        <v>135663.432</v>
      </c>
      <c r="H14" s="4">
        <v>135911.424</v>
      </c>
      <c r="I14" s="5">
        <f>16953 / 86400</f>
        <v>0.19621527777777778</v>
      </c>
      <c r="J14" t="s">
        <v>33</v>
      </c>
      <c r="K14" t="s">
        <v>31</v>
      </c>
      <c r="L14" s="5">
        <f>50575 / 86400</f>
        <v>0.58535879629629628</v>
      </c>
      <c r="M14" s="5">
        <f>35819 / 86400</f>
        <v>0.41457175925925926</v>
      </c>
    </row>
    <row r="15" spans="1:13" x14ac:dyDescent="0.25">
      <c r="A15" t="s">
        <v>289</v>
      </c>
      <c r="B15" s="3">
        <v>45692.171909722223</v>
      </c>
      <c r="C15" t="s">
        <v>34</v>
      </c>
      <c r="D15" s="3">
        <v>45692.634780092594</v>
      </c>
      <c r="E15" t="s">
        <v>34</v>
      </c>
      <c r="F15" s="4">
        <v>170.01900000000001</v>
      </c>
      <c r="G15" s="4">
        <v>482961.11900000001</v>
      </c>
      <c r="H15" s="4">
        <v>483131.13799999998</v>
      </c>
      <c r="I15" s="5">
        <f>13202 / 86400</f>
        <v>0.15280092592592592</v>
      </c>
      <c r="J15" t="s">
        <v>35</v>
      </c>
      <c r="K15" t="s">
        <v>36</v>
      </c>
      <c r="L15" s="5">
        <f>38624 / 86400</f>
        <v>0.44703703703703701</v>
      </c>
      <c r="M15" s="5">
        <f>47774 / 86400</f>
        <v>0.5529398148148148</v>
      </c>
    </row>
    <row r="16" spans="1:13" x14ac:dyDescent="0.25">
      <c r="A16" t="s">
        <v>290</v>
      </c>
      <c r="B16" s="3">
        <v>45692.130046296297</v>
      </c>
      <c r="C16" t="s">
        <v>37</v>
      </c>
      <c r="D16" s="3">
        <v>45692.882974537039</v>
      </c>
      <c r="E16" t="s">
        <v>37</v>
      </c>
      <c r="F16" s="4">
        <v>303.06899999999996</v>
      </c>
      <c r="G16" s="4">
        <v>506312.53399999999</v>
      </c>
      <c r="H16" s="4">
        <v>506615.603</v>
      </c>
      <c r="I16" s="5">
        <f>22323 / 86400</f>
        <v>0.25836805555555553</v>
      </c>
      <c r="J16" t="s">
        <v>38</v>
      </c>
      <c r="K16" t="s">
        <v>25</v>
      </c>
      <c r="L16" s="5">
        <f>64493 / 86400</f>
        <v>0.7464467592592593</v>
      </c>
      <c r="M16" s="5">
        <f>21905 / 86400</f>
        <v>0.25353009259259257</v>
      </c>
    </row>
    <row r="17" spans="1:13" x14ac:dyDescent="0.25">
      <c r="A17" t="s">
        <v>291</v>
      </c>
      <c r="B17" s="3">
        <v>45692.240405092598</v>
      </c>
      <c r="C17" t="s">
        <v>39</v>
      </c>
      <c r="D17" s="3">
        <v>45692.9762962963</v>
      </c>
      <c r="E17" t="s">
        <v>39</v>
      </c>
      <c r="F17" s="4">
        <v>198.029</v>
      </c>
      <c r="G17" s="4">
        <v>406668.386</v>
      </c>
      <c r="H17" s="4">
        <v>406866.54399999999</v>
      </c>
      <c r="I17" s="5">
        <f>18683 / 86400</f>
        <v>0.21623842592592593</v>
      </c>
      <c r="J17" t="s">
        <v>30</v>
      </c>
      <c r="K17" t="s">
        <v>28</v>
      </c>
      <c r="L17" s="5">
        <f>50342 / 86400</f>
        <v>0.58266203703703701</v>
      </c>
      <c r="M17" s="5">
        <f>36052 / 86400</f>
        <v>0.41726851851851854</v>
      </c>
    </row>
    <row r="18" spans="1:13" x14ac:dyDescent="0.25">
      <c r="A18" t="s">
        <v>292</v>
      </c>
      <c r="B18" s="3">
        <v>45692.27516203704</v>
      </c>
      <c r="C18" t="s">
        <v>40</v>
      </c>
      <c r="D18" s="3">
        <v>45692.67224537037</v>
      </c>
      <c r="E18" t="s">
        <v>41</v>
      </c>
      <c r="F18" s="4">
        <v>2.8609999999999998</v>
      </c>
      <c r="G18" s="4">
        <v>436393.18199999997</v>
      </c>
      <c r="H18" s="4">
        <v>436396.04300000001</v>
      </c>
      <c r="I18" s="5">
        <f>737 / 86400</f>
        <v>8.5300925925925926E-3</v>
      </c>
      <c r="J18" t="s">
        <v>42</v>
      </c>
      <c r="K18" t="s">
        <v>43</v>
      </c>
      <c r="L18" s="5">
        <f>1500 / 86400</f>
        <v>1.7361111111111112E-2</v>
      </c>
      <c r="M18" s="5">
        <f>84899 / 86400</f>
        <v>0.9826273148148148</v>
      </c>
    </row>
    <row r="19" spans="1:13" x14ac:dyDescent="0.25">
      <c r="A19" t="s">
        <v>293</v>
      </c>
      <c r="B19" s="3">
        <v>45692.133229166662</v>
      </c>
      <c r="C19" t="s">
        <v>44</v>
      </c>
      <c r="D19" s="3">
        <v>45692.946180555555</v>
      </c>
      <c r="E19" t="s">
        <v>44</v>
      </c>
      <c r="F19" s="4">
        <v>300.42599999999999</v>
      </c>
      <c r="G19" s="4">
        <v>52280.595000000001</v>
      </c>
      <c r="H19" s="4">
        <v>52581.021000000001</v>
      </c>
      <c r="I19" s="5">
        <f>21057 / 86400</f>
        <v>0.24371527777777777</v>
      </c>
      <c r="J19" t="s">
        <v>45</v>
      </c>
      <c r="K19" t="s">
        <v>31</v>
      </c>
      <c r="L19" s="5">
        <f>59676 / 86400</f>
        <v>0.6906944444444445</v>
      </c>
      <c r="M19" s="5">
        <f>26719 / 86400</f>
        <v>0.30924768518518519</v>
      </c>
    </row>
    <row r="20" spans="1:13" x14ac:dyDescent="0.25">
      <c r="A20" t="s">
        <v>294</v>
      </c>
      <c r="B20" s="3">
        <v>45692.322083333333</v>
      </c>
      <c r="C20" t="s">
        <v>46</v>
      </c>
      <c r="D20" s="3">
        <v>45692.871238425927</v>
      </c>
      <c r="E20" t="s">
        <v>46</v>
      </c>
      <c r="F20" s="4">
        <v>107.70400000000001</v>
      </c>
      <c r="G20" s="4">
        <v>214234.655</v>
      </c>
      <c r="H20" s="4">
        <v>214342.359</v>
      </c>
      <c r="I20" s="5">
        <f>10876 / 86400</f>
        <v>0.12587962962962962</v>
      </c>
      <c r="J20" t="s">
        <v>30</v>
      </c>
      <c r="K20" t="s">
        <v>28</v>
      </c>
      <c r="L20" s="5">
        <f>27465 / 86400</f>
        <v>0.31788194444444445</v>
      </c>
      <c r="M20" s="5">
        <f>58928 / 86400</f>
        <v>0.682037037037037</v>
      </c>
    </row>
    <row r="21" spans="1:13" x14ac:dyDescent="0.25">
      <c r="A21" t="s">
        <v>295</v>
      </c>
      <c r="B21" s="3">
        <v>45692.246724537035</v>
      </c>
      <c r="C21" t="s">
        <v>47</v>
      </c>
      <c r="D21" s="3">
        <v>45692.861168981486</v>
      </c>
      <c r="E21" t="s">
        <v>47</v>
      </c>
      <c r="F21" s="4">
        <v>167.82999999999998</v>
      </c>
      <c r="G21" s="4">
        <v>523575.15500000003</v>
      </c>
      <c r="H21" s="4">
        <v>523742.98700000002</v>
      </c>
      <c r="I21" s="5">
        <f>23242 / 86400</f>
        <v>0.26900462962962962</v>
      </c>
      <c r="J21" t="s">
        <v>48</v>
      </c>
      <c r="K21" t="s">
        <v>28</v>
      </c>
      <c r="L21" s="5">
        <f>44409 / 86400</f>
        <v>0.51399305555555552</v>
      </c>
      <c r="M21" s="5">
        <f>41983 / 86400</f>
        <v>0.48591435185185183</v>
      </c>
    </row>
    <row r="22" spans="1:13" x14ac:dyDescent="0.25">
      <c r="A22" t="s">
        <v>296</v>
      </c>
      <c r="B22" s="3">
        <v>45692.25613425926</v>
      </c>
      <c r="C22" t="s">
        <v>49</v>
      </c>
      <c r="D22" s="3">
        <v>45692.759525462963</v>
      </c>
      <c r="E22" t="s">
        <v>50</v>
      </c>
      <c r="F22" s="4">
        <v>43.488</v>
      </c>
      <c r="G22" s="4">
        <v>343752.30699999997</v>
      </c>
      <c r="H22" s="4">
        <v>343795.79499999998</v>
      </c>
      <c r="I22" s="5">
        <f>4654 / 86400</f>
        <v>5.3865740740740742E-2</v>
      </c>
      <c r="J22" t="s">
        <v>51</v>
      </c>
      <c r="K22" t="s">
        <v>28</v>
      </c>
      <c r="L22" s="5">
        <f>11155 / 86400</f>
        <v>0.12910879629629629</v>
      </c>
      <c r="M22" s="5">
        <f>75242 / 86400</f>
        <v>0.87085648148148154</v>
      </c>
    </row>
    <row r="23" spans="1:13" x14ac:dyDescent="0.25">
      <c r="A23" t="s">
        <v>297</v>
      </c>
      <c r="B23" s="3">
        <v>45692.2497337963</v>
      </c>
      <c r="C23" t="s">
        <v>52</v>
      </c>
      <c r="D23" s="3">
        <v>45692.637974537036</v>
      </c>
      <c r="E23" t="s">
        <v>52</v>
      </c>
      <c r="F23" s="4">
        <v>116.70899999999999</v>
      </c>
      <c r="G23" s="4">
        <v>424796.38900000002</v>
      </c>
      <c r="H23" s="4">
        <v>424913.098</v>
      </c>
      <c r="I23" s="5">
        <f>9319 / 86400</f>
        <v>0.1078587962962963</v>
      </c>
      <c r="J23" t="s">
        <v>53</v>
      </c>
      <c r="K23" t="s">
        <v>36</v>
      </c>
      <c r="L23" s="5">
        <f>26770 / 86400</f>
        <v>0.30983796296296295</v>
      </c>
      <c r="M23" s="5">
        <f>59625 / 86400</f>
        <v>0.69010416666666663</v>
      </c>
    </row>
    <row r="24" spans="1:13" x14ac:dyDescent="0.25">
      <c r="A24" t="s">
        <v>298</v>
      </c>
      <c r="B24" s="3">
        <v>45692.316990740743</v>
      </c>
      <c r="C24" t="s">
        <v>26</v>
      </c>
      <c r="D24" s="3">
        <v>45692.79074074074</v>
      </c>
      <c r="E24" t="s">
        <v>26</v>
      </c>
      <c r="F24" s="4">
        <v>0.29200000000000004</v>
      </c>
      <c r="G24" s="4">
        <v>11420.61</v>
      </c>
      <c r="H24" s="4">
        <v>11420.902</v>
      </c>
      <c r="I24" s="5">
        <f>4814 / 86400</f>
        <v>5.5717592592592589E-2</v>
      </c>
      <c r="J24" t="s">
        <v>54</v>
      </c>
      <c r="K24" t="s">
        <v>55</v>
      </c>
      <c r="L24" s="5">
        <f>5269 / 86400</f>
        <v>6.0983796296296293E-2</v>
      </c>
      <c r="M24" s="5">
        <f>81127 / 86400</f>
        <v>0.93896990740740738</v>
      </c>
    </row>
    <row r="25" spans="1:13" x14ac:dyDescent="0.25">
      <c r="A25" t="s">
        <v>299</v>
      </c>
      <c r="B25" s="3">
        <v>45692.212824074071</v>
      </c>
      <c r="C25" t="s">
        <v>56</v>
      </c>
      <c r="D25" s="3">
        <v>45692.874143518522</v>
      </c>
      <c r="E25" t="s">
        <v>56</v>
      </c>
      <c r="F25" s="4">
        <v>228.11399999999998</v>
      </c>
      <c r="G25" s="4">
        <v>137467.79</v>
      </c>
      <c r="H25" s="4">
        <v>137695.90400000001</v>
      </c>
      <c r="I25" s="5">
        <f>14857 / 86400</f>
        <v>0.17195601851851852</v>
      </c>
      <c r="J25" t="s">
        <v>30</v>
      </c>
      <c r="K25" t="s">
        <v>31</v>
      </c>
      <c r="L25" s="5">
        <f>46156 / 86400</f>
        <v>0.53421296296296295</v>
      </c>
      <c r="M25" s="5">
        <f>40231 / 86400</f>
        <v>0.46563657407407405</v>
      </c>
    </row>
    <row r="26" spans="1:13" x14ac:dyDescent="0.25">
      <c r="A26" t="s">
        <v>300</v>
      </c>
      <c r="B26" s="3">
        <v>45692.251527777778</v>
      </c>
      <c r="C26" t="s">
        <v>26</v>
      </c>
      <c r="D26" s="3">
        <v>45692.946423611109</v>
      </c>
      <c r="E26" t="s">
        <v>26</v>
      </c>
      <c r="F26" s="4">
        <v>181.114</v>
      </c>
      <c r="G26" s="4">
        <v>4193.0450000000001</v>
      </c>
      <c r="H26" s="4">
        <v>4374.1589999999997</v>
      </c>
      <c r="I26" s="5">
        <f>25896 / 86400</f>
        <v>0.29972222222222222</v>
      </c>
      <c r="J26" t="s">
        <v>57</v>
      </c>
      <c r="K26" t="s">
        <v>58</v>
      </c>
      <c r="L26" s="5">
        <f>51429 / 86400</f>
        <v>0.59524305555555557</v>
      </c>
      <c r="M26" s="5">
        <f>34967 / 86400</f>
        <v>0.40471064814814817</v>
      </c>
    </row>
    <row r="27" spans="1:13" x14ac:dyDescent="0.25">
      <c r="A27" t="s">
        <v>301</v>
      </c>
      <c r="B27" s="3">
        <v>45692.208819444444</v>
      </c>
      <c r="C27" t="s">
        <v>34</v>
      </c>
      <c r="D27" s="3">
        <v>45692.819016203706</v>
      </c>
      <c r="E27" t="s">
        <v>34</v>
      </c>
      <c r="F27" s="4">
        <v>143.465</v>
      </c>
      <c r="G27" s="4">
        <v>385448.67300000001</v>
      </c>
      <c r="H27" s="4">
        <v>385592.13799999998</v>
      </c>
      <c r="I27" s="5">
        <f>12399 / 86400</f>
        <v>0.14350694444444445</v>
      </c>
      <c r="J27" t="s">
        <v>59</v>
      </c>
      <c r="K27" t="s">
        <v>20</v>
      </c>
      <c r="L27" s="5">
        <f>33379 / 86400</f>
        <v>0.38633101851851853</v>
      </c>
      <c r="M27" s="5">
        <f>53017 / 86400</f>
        <v>0.61362268518518515</v>
      </c>
    </row>
    <row r="28" spans="1:13" x14ac:dyDescent="0.25">
      <c r="A28" t="s">
        <v>302</v>
      </c>
      <c r="B28" s="3">
        <v>45692.291331018518</v>
      </c>
      <c r="C28" t="s">
        <v>60</v>
      </c>
      <c r="D28" s="3">
        <v>45692.956782407404</v>
      </c>
      <c r="E28" t="s">
        <v>60</v>
      </c>
      <c r="F28" s="4">
        <v>257.87799999999999</v>
      </c>
      <c r="G28" s="4">
        <v>391073.71399999998</v>
      </c>
      <c r="H28" s="4">
        <v>391331.592</v>
      </c>
      <c r="I28" s="5">
        <f>17297 / 86400</f>
        <v>0.20019675925925925</v>
      </c>
      <c r="J28" t="s">
        <v>19</v>
      </c>
      <c r="K28" t="s">
        <v>31</v>
      </c>
      <c r="L28" s="5">
        <f>51928 / 86400</f>
        <v>0.60101851851851851</v>
      </c>
      <c r="M28" s="5">
        <f>34463 / 86400</f>
        <v>0.39887731481481481</v>
      </c>
    </row>
    <row r="29" spans="1:13" x14ac:dyDescent="0.25">
      <c r="A29" t="s">
        <v>303</v>
      </c>
      <c r="B29" s="3">
        <v>45692.14643518519</v>
      </c>
      <c r="C29" t="s">
        <v>61</v>
      </c>
      <c r="D29" s="3">
        <v>45692.920706018514</v>
      </c>
      <c r="E29" t="s">
        <v>61</v>
      </c>
      <c r="F29" s="4">
        <v>210.29300000000001</v>
      </c>
      <c r="G29" s="4">
        <v>521335.38900000002</v>
      </c>
      <c r="H29" s="4">
        <v>521545.68199999997</v>
      </c>
      <c r="I29" s="5">
        <f>12810 / 86400</f>
        <v>0.14826388888888889</v>
      </c>
      <c r="J29" t="s">
        <v>27</v>
      </c>
      <c r="K29" t="s">
        <v>31</v>
      </c>
      <c r="L29" s="5">
        <f>42057 / 86400</f>
        <v>0.48677083333333332</v>
      </c>
      <c r="M29" s="5">
        <f>44338 / 86400</f>
        <v>0.51317129629629632</v>
      </c>
    </row>
    <row r="30" spans="1:13" x14ac:dyDescent="0.25">
      <c r="A30" t="s">
        <v>304</v>
      </c>
      <c r="B30" s="3">
        <v>45692</v>
      </c>
      <c r="C30" t="s">
        <v>62</v>
      </c>
      <c r="D30" s="3">
        <v>45692.99998842593</v>
      </c>
      <c r="E30" t="s">
        <v>63</v>
      </c>
      <c r="F30" s="4">
        <v>188.06199999999998</v>
      </c>
      <c r="G30" s="4">
        <v>410214.929</v>
      </c>
      <c r="H30" s="4">
        <v>410402.99099999998</v>
      </c>
      <c r="I30" s="5">
        <f>9132 / 86400</f>
        <v>0.10569444444444444</v>
      </c>
      <c r="J30" t="s">
        <v>59</v>
      </c>
      <c r="K30" t="s">
        <v>31</v>
      </c>
      <c r="L30" s="5">
        <f>37617 / 86400</f>
        <v>0.43538194444444445</v>
      </c>
      <c r="M30" s="5">
        <f>48775 / 86400</f>
        <v>0.56452546296296291</v>
      </c>
    </row>
    <row r="31" spans="1:13" x14ac:dyDescent="0.25">
      <c r="A31" t="s">
        <v>305</v>
      </c>
      <c r="B31" s="3">
        <v>45692.226724537039</v>
      </c>
      <c r="C31" t="s">
        <v>64</v>
      </c>
      <c r="D31" s="3">
        <v>45692.89675925926</v>
      </c>
      <c r="E31" t="s">
        <v>64</v>
      </c>
      <c r="F31" s="4">
        <v>196.88399999999999</v>
      </c>
      <c r="G31" s="4">
        <v>401188.91700000002</v>
      </c>
      <c r="H31" s="4">
        <v>401385.80099999998</v>
      </c>
      <c r="I31" s="5">
        <f>16631 / 86400</f>
        <v>0.19248842592592594</v>
      </c>
      <c r="J31" t="s">
        <v>65</v>
      </c>
      <c r="K31" t="s">
        <v>20</v>
      </c>
      <c r="L31" s="5">
        <f>46087 / 86400</f>
        <v>0.53341435185185182</v>
      </c>
      <c r="M31" s="5">
        <f>40309 / 86400</f>
        <v>0.46653935185185186</v>
      </c>
    </row>
    <row r="32" spans="1:13" x14ac:dyDescent="0.25">
      <c r="A32" t="s">
        <v>306</v>
      </c>
      <c r="B32" s="3">
        <v>45692.292824074073</v>
      </c>
      <c r="C32" t="s">
        <v>18</v>
      </c>
      <c r="D32" s="3">
        <v>45692.774351851855</v>
      </c>
      <c r="E32" t="s">
        <v>66</v>
      </c>
      <c r="F32" s="4">
        <v>172.20599999999999</v>
      </c>
      <c r="G32" s="4">
        <v>406623.859</v>
      </c>
      <c r="H32" s="4">
        <v>406796.065</v>
      </c>
      <c r="I32" s="5">
        <f>10656 / 86400</f>
        <v>0.12333333333333334</v>
      </c>
      <c r="J32" t="s">
        <v>67</v>
      </c>
      <c r="K32" t="s">
        <v>31</v>
      </c>
      <c r="L32" s="5">
        <f>33530 / 86400</f>
        <v>0.38807870370370373</v>
      </c>
      <c r="M32" s="5">
        <f>52862 / 86400</f>
        <v>0.61182870370370368</v>
      </c>
    </row>
    <row r="33" spans="1:13" x14ac:dyDescent="0.25">
      <c r="A33" t="s">
        <v>307</v>
      </c>
      <c r="B33" s="3">
        <v>45692.051863425921</v>
      </c>
      <c r="C33" t="s">
        <v>68</v>
      </c>
      <c r="D33" s="3">
        <v>45692.684988425928</v>
      </c>
      <c r="E33" t="s">
        <v>68</v>
      </c>
      <c r="F33" s="4">
        <v>120.41200000000001</v>
      </c>
      <c r="G33" s="4">
        <v>347190.22</v>
      </c>
      <c r="H33" s="4">
        <v>347310.63199999998</v>
      </c>
      <c r="I33" s="5">
        <f>10199 / 86400</f>
        <v>0.11804398148148149</v>
      </c>
      <c r="J33" t="s">
        <v>57</v>
      </c>
      <c r="K33" t="s">
        <v>20</v>
      </c>
      <c r="L33" s="5">
        <f>29004 / 86400</f>
        <v>0.33569444444444446</v>
      </c>
      <c r="M33" s="5">
        <f>57395 / 86400</f>
        <v>0.66429398148148144</v>
      </c>
    </row>
    <row r="34" spans="1:13" x14ac:dyDescent="0.25">
      <c r="A34" t="s">
        <v>308</v>
      </c>
      <c r="B34" s="3">
        <v>45692.118506944447</v>
      </c>
      <c r="C34" t="s">
        <v>69</v>
      </c>
      <c r="D34" s="3">
        <v>45692.872048611112</v>
      </c>
      <c r="E34" t="s">
        <v>69</v>
      </c>
      <c r="F34" s="4">
        <v>262.97800000000001</v>
      </c>
      <c r="G34" s="4">
        <v>39315.538</v>
      </c>
      <c r="H34" s="4">
        <v>39578.516000000003</v>
      </c>
      <c r="I34" s="5">
        <f>15291 / 86400</f>
        <v>0.17697916666666666</v>
      </c>
      <c r="J34" t="s">
        <v>24</v>
      </c>
      <c r="K34" t="s">
        <v>70</v>
      </c>
      <c r="L34" s="5">
        <f>50692 / 86400</f>
        <v>0.58671296296296294</v>
      </c>
      <c r="M34" s="5">
        <f>35704 / 86400</f>
        <v>0.41324074074074074</v>
      </c>
    </row>
    <row r="35" spans="1:13" x14ac:dyDescent="0.25">
      <c r="A35" t="s">
        <v>309</v>
      </c>
      <c r="B35" s="3">
        <v>45692</v>
      </c>
      <c r="C35" t="s">
        <v>71</v>
      </c>
      <c r="D35" s="3">
        <v>45692.99998842593</v>
      </c>
      <c r="E35" t="s">
        <v>72</v>
      </c>
      <c r="F35" s="4">
        <v>311.10399999999998</v>
      </c>
      <c r="G35" s="4">
        <v>43874.692999999999</v>
      </c>
      <c r="H35" s="4">
        <v>44185.796999999999</v>
      </c>
      <c r="I35" s="5">
        <f>24004 / 86400</f>
        <v>0.27782407407407406</v>
      </c>
      <c r="J35" t="s">
        <v>38</v>
      </c>
      <c r="K35" t="s">
        <v>25</v>
      </c>
      <c r="L35" s="5">
        <f>67007 / 86400</f>
        <v>0.77554398148148151</v>
      </c>
      <c r="M35" s="5">
        <f>19391 / 86400</f>
        <v>0.22443287037037038</v>
      </c>
    </row>
    <row r="36" spans="1:13" x14ac:dyDescent="0.25">
      <c r="A36" t="s">
        <v>310</v>
      </c>
      <c r="B36" s="3">
        <v>45692</v>
      </c>
      <c r="C36" t="s">
        <v>73</v>
      </c>
      <c r="D36" s="3">
        <v>45692.988738425927</v>
      </c>
      <c r="E36" t="s">
        <v>74</v>
      </c>
      <c r="F36" s="4">
        <v>345.61500000011921</v>
      </c>
      <c r="G36" s="4">
        <v>525252.89599999995</v>
      </c>
      <c r="H36" s="4">
        <v>525598.51100000006</v>
      </c>
      <c r="I36" s="5">
        <f>20821 / 86400</f>
        <v>0.24098379629629629</v>
      </c>
      <c r="J36" t="s">
        <v>75</v>
      </c>
      <c r="K36" t="s">
        <v>70</v>
      </c>
      <c r="L36" s="5">
        <f>65918 / 86400</f>
        <v>0.76293981481481477</v>
      </c>
      <c r="M36" s="5">
        <f>20477 / 86400</f>
        <v>0.23700231481481482</v>
      </c>
    </row>
    <row r="37" spans="1:13" x14ac:dyDescent="0.25">
      <c r="A37" t="s">
        <v>311</v>
      </c>
      <c r="B37" s="3">
        <v>45692.199537037042</v>
      </c>
      <c r="C37" t="s">
        <v>26</v>
      </c>
      <c r="D37" s="3">
        <v>45692.776851851857</v>
      </c>
      <c r="E37" t="s">
        <v>34</v>
      </c>
      <c r="F37" s="4">
        <v>179.74700000000001</v>
      </c>
      <c r="G37" s="4">
        <v>566135.96699999995</v>
      </c>
      <c r="H37" s="4">
        <v>566315.71400000004</v>
      </c>
      <c r="I37" s="5">
        <f>14191 / 86400</f>
        <v>0.16424768518518518</v>
      </c>
      <c r="J37" t="s">
        <v>67</v>
      </c>
      <c r="K37" t="s">
        <v>36</v>
      </c>
      <c r="L37" s="5">
        <f>41426 / 86400</f>
        <v>0.47946759259259258</v>
      </c>
      <c r="M37" s="5">
        <f>44968 / 86400</f>
        <v>0.52046296296296302</v>
      </c>
    </row>
    <row r="38" spans="1:13" x14ac:dyDescent="0.25">
      <c r="A38" t="s">
        <v>312</v>
      </c>
      <c r="B38" s="3">
        <v>45692.286087962959</v>
      </c>
      <c r="C38" t="s">
        <v>76</v>
      </c>
      <c r="D38" s="3">
        <v>45692.993761574078</v>
      </c>
      <c r="E38" t="s">
        <v>76</v>
      </c>
      <c r="F38" s="4">
        <v>207.58700000000002</v>
      </c>
      <c r="G38" s="4">
        <v>434170.58</v>
      </c>
      <c r="H38" s="4">
        <v>434378.16700000002</v>
      </c>
      <c r="I38" s="5">
        <f>12552 / 86400</f>
        <v>0.14527777777777778</v>
      </c>
      <c r="J38" t="s">
        <v>65</v>
      </c>
      <c r="K38" t="s">
        <v>31</v>
      </c>
      <c r="L38" s="5">
        <f>42658 / 86400</f>
        <v>0.49372685185185183</v>
      </c>
      <c r="M38" s="5">
        <f>43731 / 86400</f>
        <v>0.50614583333333329</v>
      </c>
    </row>
    <row r="39" spans="1:13" x14ac:dyDescent="0.25">
      <c r="A39" t="s">
        <v>313</v>
      </c>
      <c r="B39" s="3">
        <v>45692.239074074074</v>
      </c>
      <c r="C39" t="s">
        <v>46</v>
      </c>
      <c r="D39" s="3">
        <v>45692.784212962964</v>
      </c>
      <c r="E39" t="s">
        <v>46</v>
      </c>
      <c r="F39" s="4">
        <v>213.01900000000001</v>
      </c>
      <c r="G39" s="4">
        <v>513570.212</v>
      </c>
      <c r="H39" s="4">
        <v>513783.62099999998</v>
      </c>
      <c r="I39" s="5">
        <f>16114 / 86400</f>
        <v>0.18650462962962963</v>
      </c>
      <c r="J39" t="s">
        <v>77</v>
      </c>
      <c r="K39" t="s">
        <v>31</v>
      </c>
      <c r="L39" s="5">
        <f>42387 / 86400</f>
        <v>0.49059027777777775</v>
      </c>
      <c r="M39" s="5">
        <f>44012 / 86400</f>
        <v>0.5093981481481481</v>
      </c>
    </row>
    <row r="40" spans="1:13" x14ac:dyDescent="0.25">
      <c r="A40" t="s">
        <v>314</v>
      </c>
      <c r="B40" s="3">
        <v>45692</v>
      </c>
      <c r="C40" t="s">
        <v>78</v>
      </c>
      <c r="D40" s="3">
        <v>45692.958333333328</v>
      </c>
      <c r="E40" t="s">
        <v>78</v>
      </c>
      <c r="F40" s="4">
        <v>202.81899999999999</v>
      </c>
      <c r="G40" s="4">
        <v>503770.44300000003</v>
      </c>
      <c r="H40" s="4">
        <v>503973.26199999999</v>
      </c>
      <c r="I40" s="5">
        <f>52982 / 86400</f>
        <v>0.61321759259259256</v>
      </c>
      <c r="J40" t="s">
        <v>30</v>
      </c>
      <c r="K40" t="s">
        <v>54</v>
      </c>
      <c r="L40" s="5">
        <f>82800 / 86400</f>
        <v>0.95833333333333337</v>
      </c>
      <c r="M40" s="5">
        <f>0 / 86400</f>
        <v>0</v>
      </c>
    </row>
    <row r="41" spans="1:13" x14ac:dyDescent="0.25">
      <c r="A41" t="s">
        <v>315</v>
      </c>
      <c r="B41" s="3">
        <v>45692.244814814811</v>
      </c>
      <c r="C41" t="s">
        <v>79</v>
      </c>
      <c r="D41" s="3">
        <v>45692.965486111112</v>
      </c>
      <c r="E41" t="s">
        <v>79</v>
      </c>
      <c r="F41" s="4">
        <v>276.60400000000004</v>
      </c>
      <c r="G41" s="4">
        <v>350514.72</v>
      </c>
      <c r="H41" s="4">
        <v>350791.32400000002</v>
      </c>
      <c r="I41" s="5">
        <f>20070 / 86400</f>
        <v>0.23229166666666667</v>
      </c>
      <c r="J41" t="s">
        <v>80</v>
      </c>
      <c r="K41" t="s">
        <v>25</v>
      </c>
      <c r="L41" s="5">
        <f>59486 / 86400</f>
        <v>0.68849537037037034</v>
      </c>
      <c r="M41" s="5">
        <f>26909 / 86400</f>
        <v>0.31144675925925924</v>
      </c>
    </row>
    <row r="42" spans="1:13" x14ac:dyDescent="0.25">
      <c r="A42" t="s">
        <v>316</v>
      </c>
      <c r="B42" s="3">
        <v>45692.155162037037</v>
      </c>
      <c r="C42" t="s">
        <v>26</v>
      </c>
      <c r="D42" s="3">
        <v>45692.710219907407</v>
      </c>
      <c r="E42" t="s">
        <v>26</v>
      </c>
      <c r="F42" s="4">
        <v>207.22900000000001</v>
      </c>
      <c r="G42" s="4">
        <v>440323.18599999999</v>
      </c>
      <c r="H42" s="4">
        <v>440530.41600000003</v>
      </c>
      <c r="I42" s="5">
        <f>10911 / 86400</f>
        <v>0.12628472222222223</v>
      </c>
      <c r="J42" t="s">
        <v>27</v>
      </c>
      <c r="K42" t="s">
        <v>31</v>
      </c>
      <c r="L42" s="5">
        <f>41251 / 86400</f>
        <v>0.47744212962962962</v>
      </c>
      <c r="M42" s="5">
        <f>45144 / 86400</f>
        <v>0.52249999999999996</v>
      </c>
    </row>
    <row r="43" spans="1:13" x14ac:dyDescent="0.25">
      <c r="A43" t="s">
        <v>317</v>
      </c>
      <c r="B43" s="3">
        <v>45692.260428240741</v>
      </c>
      <c r="C43" t="s">
        <v>81</v>
      </c>
      <c r="D43" s="3">
        <v>45692.617662037039</v>
      </c>
      <c r="E43" t="s">
        <v>79</v>
      </c>
      <c r="F43" s="4">
        <v>100.86800000000001</v>
      </c>
      <c r="G43" s="4">
        <v>472917.16100000002</v>
      </c>
      <c r="H43" s="4">
        <v>473018.02899999998</v>
      </c>
      <c r="I43" s="5">
        <f>11194 / 86400</f>
        <v>0.12956018518518519</v>
      </c>
      <c r="J43" t="s">
        <v>82</v>
      </c>
      <c r="K43" t="s">
        <v>28</v>
      </c>
      <c r="L43" s="5">
        <f>26344 / 86400</f>
        <v>0.3049074074074074</v>
      </c>
      <c r="M43" s="5">
        <f>60054 / 86400</f>
        <v>0.69506944444444441</v>
      </c>
    </row>
    <row r="44" spans="1:13" x14ac:dyDescent="0.25">
      <c r="A44" t="s">
        <v>318</v>
      </c>
      <c r="B44" s="3">
        <v>45692.124340277776</v>
      </c>
      <c r="C44" t="s">
        <v>78</v>
      </c>
      <c r="D44" s="3">
        <v>45692.726354166662</v>
      </c>
      <c r="E44" t="s">
        <v>78</v>
      </c>
      <c r="F44" s="4">
        <v>170.70400000000001</v>
      </c>
      <c r="G44" s="4">
        <v>411876.08899999998</v>
      </c>
      <c r="H44" s="4">
        <v>412046.79300000001</v>
      </c>
      <c r="I44" s="5">
        <f>11257 / 86400</f>
        <v>0.13028935185185186</v>
      </c>
      <c r="J44" t="s">
        <v>83</v>
      </c>
      <c r="K44" t="s">
        <v>31</v>
      </c>
      <c r="L44" s="5">
        <f>34413 / 86400</f>
        <v>0.39829861111111109</v>
      </c>
      <c r="M44" s="5">
        <f>51979 / 86400</f>
        <v>0.60160879629629627</v>
      </c>
    </row>
    <row r="45" spans="1:13" x14ac:dyDescent="0.25">
      <c r="A45" t="s">
        <v>319</v>
      </c>
      <c r="B45" s="3">
        <v>45692.004016203704</v>
      </c>
      <c r="C45" t="s">
        <v>84</v>
      </c>
      <c r="D45" s="3">
        <v>45692.99998842593</v>
      </c>
      <c r="E45" t="s">
        <v>85</v>
      </c>
      <c r="F45" s="4">
        <v>299.661</v>
      </c>
      <c r="G45" s="4">
        <v>325903.61300000001</v>
      </c>
      <c r="H45" s="4">
        <v>326203.27399999998</v>
      </c>
      <c r="I45" s="5">
        <f>19460 / 86400</f>
        <v>0.22523148148148148</v>
      </c>
      <c r="J45" t="s">
        <v>86</v>
      </c>
      <c r="K45" t="s">
        <v>25</v>
      </c>
      <c r="L45" s="5">
        <f>63382 / 86400</f>
        <v>0.73358796296296291</v>
      </c>
      <c r="M45" s="5">
        <f>23011 / 86400</f>
        <v>0.26633101851851854</v>
      </c>
    </row>
    <row r="46" spans="1:13" x14ac:dyDescent="0.25">
      <c r="A46" t="s">
        <v>320</v>
      </c>
      <c r="B46" s="3">
        <v>45692.085694444446</v>
      </c>
      <c r="C46" t="s">
        <v>26</v>
      </c>
      <c r="D46" s="3">
        <v>45692.998935185184</v>
      </c>
      <c r="E46" t="s">
        <v>26</v>
      </c>
      <c r="F46" s="4">
        <v>162.27699999999999</v>
      </c>
      <c r="G46" s="4">
        <v>359240.34600000002</v>
      </c>
      <c r="H46" s="4">
        <v>359402.62300000002</v>
      </c>
      <c r="I46" s="5">
        <f>52804 / 86400</f>
        <v>0.61115740740740743</v>
      </c>
      <c r="J46" t="s">
        <v>67</v>
      </c>
      <c r="K46" t="s">
        <v>43</v>
      </c>
      <c r="L46" s="5">
        <f>78742 / 86400</f>
        <v>0.91136574074074073</v>
      </c>
      <c r="M46" s="5">
        <f>7655 / 86400</f>
        <v>8.8599537037037032E-2</v>
      </c>
    </row>
    <row r="47" spans="1:13" x14ac:dyDescent="0.25">
      <c r="A47" t="s">
        <v>321</v>
      </c>
      <c r="B47" s="3">
        <v>45692.285509259258</v>
      </c>
      <c r="C47" t="s">
        <v>87</v>
      </c>
      <c r="D47" s="3">
        <v>45692.866446759261</v>
      </c>
      <c r="E47" t="s">
        <v>87</v>
      </c>
      <c r="F47" s="4">
        <v>188.14699999999999</v>
      </c>
      <c r="G47" s="4">
        <v>80547.756999999998</v>
      </c>
      <c r="H47" s="4">
        <v>80735.903999999995</v>
      </c>
      <c r="I47" s="5">
        <f>12861 / 86400</f>
        <v>0.14885416666666668</v>
      </c>
      <c r="J47" t="s">
        <v>82</v>
      </c>
      <c r="K47" t="s">
        <v>25</v>
      </c>
      <c r="L47" s="5">
        <f>39525 / 86400</f>
        <v>0.45746527777777779</v>
      </c>
      <c r="M47" s="5">
        <f>46867 / 86400</f>
        <v>0.54244212962962968</v>
      </c>
    </row>
    <row r="48" spans="1:13" x14ac:dyDescent="0.25">
      <c r="A48" t="s">
        <v>322</v>
      </c>
      <c r="B48" s="3">
        <v>45692.281307870369</v>
      </c>
      <c r="C48" t="s">
        <v>26</v>
      </c>
      <c r="D48" s="3">
        <v>45692.648958333331</v>
      </c>
      <c r="E48" t="s">
        <v>88</v>
      </c>
      <c r="F48" s="4">
        <v>6.9089999999999998</v>
      </c>
      <c r="G48" s="4">
        <v>468179.82</v>
      </c>
      <c r="H48" s="4">
        <v>468186.72899999999</v>
      </c>
      <c r="I48" s="5">
        <f>717 / 86400</f>
        <v>8.2986111111111108E-3</v>
      </c>
      <c r="J48" t="s">
        <v>89</v>
      </c>
      <c r="K48" t="s">
        <v>90</v>
      </c>
      <c r="L48" s="5">
        <f>2114 / 86400</f>
        <v>2.4467592592592593E-2</v>
      </c>
      <c r="M48" s="5">
        <f>84283 / 86400</f>
        <v>0.9754976851851852</v>
      </c>
    </row>
    <row r="49" spans="1:13" x14ac:dyDescent="0.25">
      <c r="A49" t="s">
        <v>323</v>
      </c>
      <c r="B49" s="3">
        <v>45692.301018518519</v>
      </c>
      <c r="C49" t="s">
        <v>91</v>
      </c>
      <c r="D49" s="3">
        <v>45692.915277777778</v>
      </c>
      <c r="E49" t="s">
        <v>91</v>
      </c>
      <c r="F49" s="4">
        <v>240.94800000000001</v>
      </c>
      <c r="G49" s="4">
        <v>427323.65100000001</v>
      </c>
      <c r="H49" s="4">
        <v>427564.59899999999</v>
      </c>
      <c r="I49" s="5">
        <f>18597 / 86400</f>
        <v>0.21524305555555556</v>
      </c>
      <c r="J49" t="s">
        <v>92</v>
      </c>
      <c r="K49" t="s">
        <v>31</v>
      </c>
      <c r="L49" s="5">
        <f>47431 / 86400</f>
        <v>0.54896990740740736</v>
      </c>
      <c r="M49" s="5">
        <f>38966 / 86400</f>
        <v>0.45099537037037035</v>
      </c>
    </row>
    <row r="50" spans="1:13" x14ac:dyDescent="0.25">
      <c r="A50" t="s">
        <v>324</v>
      </c>
      <c r="B50" s="3">
        <v>45692.258773148147</v>
      </c>
      <c r="C50" t="s">
        <v>26</v>
      </c>
      <c r="D50" s="3">
        <v>45692.947800925926</v>
      </c>
      <c r="E50" t="s">
        <v>26</v>
      </c>
      <c r="F50" s="4">
        <v>194.92200000000003</v>
      </c>
      <c r="G50" s="4">
        <v>573933.56999999995</v>
      </c>
      <c r="H50" s="4">
        <v>574128.49199999997</v>
      </c>
      <c r="I50" s="5">
        <f>21074 / 86400</f>
        <v>0.24391203703703704</v>
      </c>
      <c r="J50" t="s">
        <v>93</v>
      </c>
      <c r="K50" t="s">
        <v>28</v>
      </c>
      <c r="L50" s="5">
        <f>51600 / 86400</f>
        <v>0.59722222222222221</v>
      </c>
      <c r="M50" s="5">
        <f>34797 / 86400</f>
        <v>0.40274305555555556</v>
      </c>
    </row>
    <row r="51" spans="1:13" x14ac:dyDescent="0.25">
      <c r="A51" t="s">
        <v>325</v>
      </c>
      <c r="B51" s="3">
        <v>45692.244560185187</v>
      </c>
      <c r="C51" t="s">
        <v>94</v>
      </c>
      <c r="D51" s="3">
        <v>45692.710856481484</v>
      </c>
      <c r="E51" t="s">
        <v>95</v>
      </c>
      <c r="F51" s="4">
        <v>176.41</v>
      </c>
      <c r="G51" s="4">
        <v>415515.72700000001</v>
      </c>
      <c r="H51" s="4">
        <v>415692.13699999999</v>
      </c>
      <c r="I51" s="5">
        <f>12323 / 86400</f>
        <v>0.1426273148148148</v>
      </c>
      <c r="J51" t="s">
        <v>80</v>
      </c>
      <c r="K51" t="s">
        <v>25</v>
      </c>
      <c r="L51" s="5">
        <f>37000 / 86400</f>
        <v>0.42824074074074076</v>
      </c>
      <c r="M51" s="5">
        <f>49399 / 86400</f>
        <v>0.57174768518518515</v>
      </c>
    </row>
    <row r="52" spans="1:13" x14ac:dyDescent="0.25">
      <c r="A52" t="s">
        <v>326</v>
      </c>
      <c r="B52" s="3">
        <v>45692</v>
      </c>
      <c r="C52" t="s">
        <v>96</v>
      </c>
      <c r="D52" s="3">
        <v>45692.958032407405</v>
      </c>
      <c r="E52" t="s">
        <v>97</v>
      </c>
      <c r="F52" s="4">
        <v>87.721999999999994</v>
      </c>
      <c r="G52" s="4">
        <v>399353.47899999999</v>
      </c>
      <c r="H52" s="4">
        <v>399441.201</v>
      </c>
      <c r="I52" s="5">
        <f>4387 / 86400</f>
        <v>5.077546296296296E-2</v>
      </c>
      <c r="J52" t="s">
        <v>98</v>
      </c>
      <c r="K52" t="s">
        <v>31</v>
      </c>
      <c r="L52" s="5">
        <f>17765 / 86400</f>
        <v>0.20561342592592594</v>
      </c>
      <c r="M52" s="5">
        <f>68627 / 86400</f>
        <v>0.79429398148148145</v>
      </c>
    </row>
    <row r="53" spans="1:13" x14ac:dyDescent="0.25">
      <c r="A53" t="s">
        <v>327</v>
      </c>
      <c r="B53" s="3">
        <v>45692.208854166667</v>
      </c>
      <c r="C53" t="s">
        <v>26</v>
      </c>
      <c r="D53" s="3">
        <v>45692.624027777776</v>
      </c>
      <c r="E53" t="s">
        <v>46</v>
      </c>
      <c r="F53" s="4">
        <v>99.584000000000003</v>
      </c>
      <c r="G53" s="4">
        <v>381522.261</v>
      </c>
      <c r="H53" s="4">
        <v>381621.84499999997</v>
      </c>
      <c r="I53" s="5">
        <f>7048 / 86400</f>
        <v>8.1574074074074077E-2</v>
      </c>
      <c r="J53" t="s">
        <v>99</v>
      </c>
      <c r="K53" t="s">
        <v>36</v>
      </c>
      <c r="L53" s="5">
        <f>21886 / 86400</f>
        <v>0.25331018518518517</v>
      </c>
      <c r="M53" s="5">
        <f>64512 / 86400</f>
        <v>0.7466666666666667</v>
      </c>
    </row>
    <row r="54" spans="1:13" x14ac:dyDescent="0.25">
      <c r="A54" t="s">
        <v>328</v>
      </c>
      <c r="B54" s="3">
        <v>45692.303182870368</v>
      </c>
      <c r="C54" t="s">
        <v>21</v>
      </c>
      <c r="D54" s="3">
        <v>45692.894479166665</v>
      </c>
      <c r="E54" t="s">
        <v>21</v>
      </c>
      <c r="F54" s="4">
        <v>197.32899999999998</v>
      </c>
      <c r="G54" s="4">
        <v>544446.61300000001</v>
      </c>
      <c r="H54" s="4">
        <v>544643.94200000004</v>
      </c>
      <c r="I54" s="5">
        <f>14776 / 86400</f>
        <v>0.17101851851851851</v>
      </c>
      <c r="J54" t="s">
        <v>35</v>
      </c>
      <c r="K54" t="s">
        <v>36</v>
      </c>
      <c r="L54" s="5">
        <f>45418 / 86400</f>
        <v>0.52567129629629628</v>
      </c>
      <c r="M54" s="5">
        <f>40973 / 86400</f>
        <v>0.47422453703703704</v>
      </c>
    </row>
    <row r="55" spans="1:13" x14ac:dyDescent="0.25">
      <c r="A55" t="s">
        <v>329</v>
      </c>
      <c r="B55" s="3">
        <v>45692.274837962963</v>
      </c>
      <c r="C55" t="s">
        <v>91</v>
      </c>
      <c r="D55" s="3">
        <v>45692.844791666663</v>
      </c>
      <c r="E55" t="s">
        <v>91</v>
      </c>
      <c r="F55" s="4">
        <v>3.9670000000000001</v>
      </c>
      <c r="G55" s="4">
        <v>101164.614</v>
      </c>
      <c r="H55" s="4">
        <v>101168.58100000001</v>
      </c>
      <c r="I55" s="5">
        <f>680 / 86400</f>
        <v>7.8703703703703696E-3</v>
      </c>
      <c r="J55" t="s">
        <v>100</v>
      </c>
      <c r="K55" t="s">
        <v>54</v>
      </c>
      <c r="L55" s="5">
        <f>1574 / 86400</f>
        <v>1.8217592592592594E-2</v>
      </c>
      <c r="M55" s="5">
        <f>84825 / 86400</f>
        <v>0.98177083333333337</v>
      </c>
    </row>
    <row r="56" spans="1:13" x14ac:dyDescent="0.25">
      <c r="A56" t="s">
        <v>330</v>
      </c>
      <c r="B56" s="3">
        <v>45692.237060185187</v>
      </c>
      <c r="C56" t="s">
        <v>23</v>
      </c>
      <c r="D56" s="3">
        <v>45692.903900462959</v>
      </c>
      <c r="E56" t="s">
        <v>23</v>
      </c>
      <c r="F56" s="4">
        <v>198.71600000000001</v>
      </c>
      <c r="G56" s="4">
        <v>52730.525999999998</v>
      </c>
      <c r="H56" s="4">
        <v>52929.241999999998</v>
      </c>
      <c r="I56" s="5">
        <f>21615 / 86400</f>
        <v>0.25017361111111114</v>
      </c>
      <c r="J56" t="s">
        <v>86</v>
      </c>
      <c r="K56" t="s">
        <v>28</v>
      </c>
      <c r="L56" s="5">
        <f>51021 / 86400</f>
        <v>0.59052083333333338</v>
      </c>
      <c r="M56" s="5">
        <f>35378 / 86400</f>
        <v>0.40946759259259258</v>
      </c>
    </row>
    <row r="57" spans="1:13" x14ac:dyDescent="0.25">
      <c r="A57" t="s">
        <v>331</v>
      </c>
      <c r="B57" s="3">
        <v>45692.281898148147</v>
      </c>
      <c r="C57" t="s">
        <v>101</v>
      </c>
      <c r="D57" s="3">
        <v>45692.796875</v>
      </c>
      <c r="E57" t="s">
        <v>102</v>
      </c>
      <c r="F57" s="4">
        <v>182.36999999999998</v>
      </c>
      <c r="G57" s="4">
        <v>44910.714999999997</v>
      </c>
      <c r="H57" s="4">
        <v>45093.084999999999</v>
      </c>
      <c r="I57" s="5">
        <f>14699 / 86400</f>
        <v>0.17012731481481483</v>
      </c>
      <c r="J57" t="s">
        <v>80</v>
      </c>
      <c r="K57" t="s">
        <v>25</v>
      </c>
      <c r="L57" s="5">
        <f>39498 / 86400</f>
        <v>0.4571527777777778</v>
      </c>
      <c r="M57" s="5">
        <f>46901 / 86400</f>
        <v>0.54283564814814811</v>
      </c>
    </row>
    <row r="58" spans="1:13" x14ac:dyDescent="0.25">
      <c r="A58" t="s">
        <v>332</v>
      </c>
      <c r="B58" s="3">
        <v>45692.404374999998</v>
      </c>
      <c r="C58" t="s">
        <v>103</v>
      </c>
      <c r="D58" s="3">
        <v>45692.927430555559</v>
      </c>
      <c r="E58" t="s">
        <v>44</v>
      </c>
      <c r="F58" s="4">
        <v>192.065</v>
      </c>
      <c r="G58" s="4">
        <v>76939.976999999999</v>
      </c>
      <c r="H58" s="4">
        <v>77132.042000000001</v>
      </c>
      <c r="I58" s="5">
        <f>13750 / 86400</f>
        <v>0.15914351851851852</v>
      </c>
      <c r="J58" t="s">
        <v>65</v>
      </c>
      <c r="K58" t="s">
        <v>25</v>
      </c>
      <c r="L58" s="5">
        <f>41496 / 86400</f>
        <v>0.4802777777777778</v>
      </c>
      <c r="M58" s="5">
        <f>44903 / 86400</f>
        <v>0.51971064814814816</v>
      </c>
    </row>
    <row r="59" spans="1:13" x14ac:dyDescent="0.25">
      <c r="A59" t="s">
        <v>333</v>
      </c>
      <c r="B59" s="3">
        <v>45692.00582175926</v>
      </c>
      <c r="C59" t="s">
        <v>34</v>
      </c>
      <c r="D59" s="3">
        <v>45692.99998842593</v>
      </c>
      <c r="E59" t="s">
        <v>104</v>
      </c>
      <c r="F59" s="4">
        <v>343.06400000000002</v>
      </c>
      <c r="G59" s="4">
        <v>37982.824999999997</v>
      </c>
      <c r="H59" s="4">
        <v>38325.889000000003</v>
      </c>
      <c r="I59" s="5">
        <f>20431 / 86400</f>
        <v>0.23646990740740742</v>
      </c>
      <c r="J59" t="s">
        <v>105</v>
      </c>
      <c r="K59" t="s">
        <v>70</v>
      </c>
      <c r="L59" s="5">
        <f>64825 / 86400</f>
        <v>0.75028935185185186</v>
      </c>
      <c r="M59" s="5">
        <f>21574 / 86400</f>
        <v>0.24969907407407407</v>
      </c>
    </row>
    <row r="60" spans="1:13" x14ac:dyDescent="0.25">
      <c r="A60" t="s">
        <v>334</v>
      </c>
      <c r="B60" s="3">
        <v>45692.275891203702</v>
      </c>
      <c r="C60" t="s">
        <v>106</v>
      </c>
      <c r="D60" s="3">
        <v>45692.891921296294</v>
      </c>
      <c r="E60" t="s">
        <v>106</v>
      </c>
      <c r="F60" s="4">
        <v>202.42699999999999</v>
      </c>
      <c r="G60" s="4">
        <v>190664.27900000001</v>
      </c>
      <c r="H60" s="4">
        <v>190866.70600000001</v>
      </c>
      <c r="I60" s="5">
        <f>14117 / 86400</f>
        <v>0.16339120370370369</v>
      </c>
      <c r="J60" t="s">
        <v>107</v>
      </c>
      <c r="K60" t="s">
        <v>36</v>
      </c>
      <c r="L60" s="5">
        <f>46433 / 86400</f>
        <v>0.53741898148148148</v>
      </c>
      <c r="M60" s="5">
        <f>39959 / 86400</f>
        <v>0.46248842592592593</v>
      </c>
    </row>
    <row r="61" spans="1:13" x14ac:dyDescent="0.25">
      <c r="A61" t="s">
        <v>335</v>
      </c>
      <c r="B61" s="3">
        <v>45692.20313657407</v>
      </c>
      <c r="C61" t="s">
        <v>87</v>
      </c>
      <c r="D61" s="3">
        <v>45692.806168981479</v>
      </c>
      <c r="E61" t="s">
        <v>87</v>
      </c>
      <c r="F61" s="4">
        <v>212.64600000000002</v>
      </c>
      <c r="G61" s="4">
        <v>520723.46500000003</v>
      </c>
      <c r="H61" s="4">
        <v>520936.11099999998</v>
      </c>
      <c r="I61" s="5">
        <f>14695 / 86400</f>
        <v>0.17008101851851851</v>
      </c>
      <c r="J61" t="s">
        <v>93</v>
      </c>
      <c r="K61" t="s">
        <v>25</v>
      </c>
      <c r="L61" s="5">
        <f>44454 / 86400</f>
        <v>0.51451388888888894</v>
      </c>
      <c r="M61" s="5">
        <f>41943 / 86400</f>
        <v>0.48545138888888889</v>
      </c>
    </row>
    <row r="62" spans="1:13" x14ac:dyDescent="0.25">
      <c r="A62" t="s">
        <v>336</v>
      </c>
      <c r="B62" s="3">
        <v>45692.233217592591</v>
      </c>
      <c r="C62" t="s">
        <v>91</v>
      </c>
      <c r="D62" s="3">
        <v>45692.876446759255</v>
      </c>
      <c r="E62" t="s">
        <v>91</v>
      </c>
      <c r="F62" s="4">
        <v>180.70899999999997</v>
      </c>
      <c r="G62" s="4">
        <v>21341.036</v>
      </c>
      <c r="H62" s="4">
        <v>21521.744999999999</v>
      </c>
      <c r="I62" s="5">
        <f>12829 / 86400</f>
        <v>0.14848379629629629</v>
      </c>
      <c r="J62" t="s">
        <v>108</v>
      </c>
      <c r="K62" t="s">
        <v>20</v>
      </c>
      <c r="L62" s="5">
        <f>42208 / 86400</f>
        <v>0.48851851851851852</v>
      </c>
      <c r="M62" s="5">
        <f>44184 / 86400</f>
        <v>0.51138888888888889</v>
      </c>
    </row>
    <row r="63" spans="1:13" x14ac:dyDescent="0.25">
      <c r="A63" t="s">
        <v>337</v>
      </c>
      <c r="B63" s="3">
        <v>45692.212118055555</v>
      </c>
      <c r="C63" t="s">
        <v>34</v>
      </c>
      <c r="D63" s="3">
        <v>45692.6409375</v>
      </c>
      <c r="E63" t="s">
        <v>34</v>
      </c>
      <c r="F63" s="4">
        <v>141.80500000000001</v>
      </c>
      <c r="G63" s="4">
        <v>62812.813000000002</v>
      </c>
      <c r="H63" s="4">
        <v>62954.618000000002</v>
      </c>
      <c r="I63" s="5">
        <f>13312 / 86400</f>
        <v>0.15407407407407409</v>
      </c>
      <c r="J63" t="s">
        <v>83</v>
      </c>
      <c r="K63" t="s">
        <v>20</v>
      </c>
      <c r="L63" s="5">
        <f>33995 / 86400</f>
        <v>0.39346064814814813</v>
      </c>
      <c r="M63" s="5">
        <f>52402 / 86400</f>
        <v>0.60650462962962959</v>
      </c>
    </row>
    <row r="64" spans="1:13" x14ac:dyDescent="0.25">
      <c r="A64" t="s">
        <v>338</v>
      </c>
      <c r="B64" s="3">
        <v>45692.262766203705</v>
      </c>
      <c r="C64" t="s">
        <v>66</v>
      </c>
      <c r="D64" s="3">
        <v>45692.775763888887</v>
      </c>
      <c r="E64" t="s">
        <v>66</v>
      </c>
      <c r="F64" s="4">
        <v>173.21699999999998</v>
      </c>
      <c r="G64" s="4">
        <v>4059.8009999999999</v>
      </c>
      <c r="H64" s="4">
        <v>4233.018</v>
      </c>
      <c r="I64" s="5">
        <f>10486 / 86400</f>
        <v>0.12136574074074075</v>
      </c>
      <c r="J64" t="s">
        <v>109</v>
      </c>
      <c r="K64" t="s">
        <v>25</v>
      </c>
      <c r="L64" s="5">
        <f>36165 / 86400</f>
        <v>0.41857638888888887</v>
      </c>
      <c r="M64" s="5">
        <f>50234 / 86400</f>
        <v>0.58141203703703703</v>
      </c>
    </row>
    <row r="65" spans="1:13" x14ac:dyDescent="0.25">
      <c r="A65" t="s">
        <v>339</v>
      </c>
      <c r="B65" s="3">
        <v>45692</v>
      </c>
      <c r="C65" t="s">
        <v>63</v>
      </c>
      <c r="D65" s="3">
        <v>45692.914016203707</v>
      </c>
      <c r="E65" t="s">
        <v>26</v>
      </c>
      <c r="F65" s="4">
        <v>260.45799999999997</v>
      </c>
      <c r="G65" s="4">
        <v>406379.14500000002</v>
      </c>
      <c r="H65" s="4">
        <v>406639.603</v>
      </c>
      <c r="I65" s="5">
        <f>12789 / 86400</f>
        <v>0.14802083333333332</v>
      </c>
      <c r="J65" t="s">
        <v>105</v>
      </c>
      <c r="K65" t="s">
        <v>70</v>
      </c>
      <c r="L65" s="5">
        <f>48404 / 86400</f>
        <v>0.5602314814814815</v>
      </c>
      <c r="M65" s="5">
        <f>37991 / 86400</f>
        <v>0.43971064814814814</v>
      </c>
    </row>
    <row r="66" spans="1:13" x14ac:dyDescent="0.25">
      <c r="A66" t="s">
        <v>340</v>
      </c>
      <c r="B66" s="3">
        <v>45692</v>
      </c>
      <c r="C66" t="s">
        <v>110</v>
      </c>
      <c r="D66" s="3">
        <v>45692.996990740736</v>
      </c>
      <c r="E66" t="s">
        <v>111</v>
      </c>
      <c r="F66" s="4">
        <v>210.14699999999999</v>
      </c>
      <c r="G66" s="4">
        <v>547503.31499999994</v>
      </c>
      <c r="H66" s="4">
        <v>547713.46200000006</v>
      </c>
      <c r="I66" s="5">
        <f>17717 / 86400</f>
        <v>0.20505787037037038</v>
      </c>
      <c r="J66" t="s">
        <v>67</v>
      </c>
      <c r="K66" t="s">
        <v>36</v>
      </c>
      <c r="L66" s="5">
        <f>46812 / 86400</f>
        <v>0.54180555555555554</v>
      </c>
      <c r="M66" s="5">
        <f>39586 / 86400</f>
        <v>0.45817129629629627</v>
      </c>
    </row>
    <row r="67" spans="1:13" x14ac:dyDescent="0.25">
      <c r="A67" t="s">
        <v>341</v>
      </c>
      <c r="B67" s="3">
        <v>45692.271180555559</v>
      </c>
      <c r="C67" t="s">
        <v>112</v>
      </c>
      <c r="D67" s="3">
        <v>45692.809629629628</v>
      </c>
      <c r="E67" t="s">
        <v>112</v>
      </c>
      <c r="F67" s="4">
        <v>274.28500000000003</v>
      </c>
      <c r="G67" s="4">
        <v>45565.334999999999</v>
      </c>
      <c r="H67" s="4">
        <v>45839.62</v>
      </c>
      <c r="I67" s="5">
        <f>2981 / 86400</f>
        <v>3.4502314814814812E-2</v>
      </c>
      <c r="J67" t="s">
        <v>105</v>
      </c>
      <c r="K67" t="s">
        <v>75</v>
      </c>
      <c r="L67" s="5">
        <f>9718 / 86400</f>
        <v>0.11247685185185186</v>
      </c>
      <c r="M67" s="5">
        <f>76675 / 86400</f>
        <v>0.88744212962962965</v>
      </c>
    </row>
    <row r="68" spans="1:13" x14ac:dyDescent="0.25">
      <c r="A68" t="s">
        <v>342</v>
      </c>
      <c r="B68" s="3">
        <v>45692.183124999996</v>
      </c>
      <c r="C68" t="s">
        <v>113</v>
      </c>
      <c r="D68" s="3">
        <v>45692.646493055552</v>
      </c>
      <c r="E68" t="s">
        <v>113</v>
      </c>
      <c r="F68" s="4">
        <v>208.12299999999999</v>
      </c>
      <c r="G68" s="4">
        <v>56771.286</v>
      </c>
      <c r="H68" s="4">
        <v>56979.409</v>
      </c>
      <c r="I68" s="5">
        <f>11357 / 86400</f>
        <v>0.13144675925925925</v>
      </c>
      <c r="J68" t="s">
        <v>93</v>
      </c>
      <c r="K68" t="s">
        <v>114</v>
      </c>
      <c r="L68" s="5">
        <f>37349 / 86400</f>
        <v>0.43228009259259259</v>
      </c>
      <c r="M68" s="5">
        <f>49049 / 86400</f>
        <v>0.56769675925925922</v>
      </c>
    </row>
    <row r="69" spans="1:13" x14ac:dyDescent="0.25">
      <c r="A69" t="s">
        <v>343</v>
      </c>
      <c r="B69" s="3">
        <v>45692</v>
      </c>
      <c r="C69" t="s">
        <v>115</v>
      </c>
      <c r="D69" s="3">
        <v>45692.994988425926</v>
      </c>
      <c r="E69" t="s">
        <v>40</v>
      </c>
      <c r="F69" s="4">
        <v>336.20600000000002</v>
      </c>
      <c r="G69" s="4">
        <v>59912.023000000001</v>
      </c>
      <c r="H69" s="4">
        <v>60248.228999999999</v>
      </c>
      <c r="I69" s="5">
        <f>20305 / 86400</f>
        <v>0.23501157407407408</v>
      </c>
      <c r="J69" t="s">
        <v>67</v>
      </c>
      <c r="K69" t="s">
        <v>70</v>
      </c>
      <c r="L69" s="5">
        <f>62886 / 86400</f>
        <v>0.7278472222222222</v>
      </c>
      <c r="M69" s="5">
        <f>23507 / 86400</f>
        <v>0.27207175925925925</v>
      </c>
    </row>
    <row r="70" spans="1:13" x14ac:dyDescent="0.25">
      <c r="A70" s="6" t="s">
        <v>116</v>
      </c>
      <c r="B70" s="6" t="s">
        <v>117</v>
      </c>
      <c r="C70" s="6" t="s">
        <v>117</v>
      </c>
      <c r="D70" s="6" t="s">
        <v>117</v>
      </c>
      <c r="E70" s="6" t="s">
        <v>117</v>
      </c>
      <c r="F70" s="7">
        <v>11644.343000000119</v>
      </c>
      <c r="G70" s="6" t="s">
        <v>117</v>
      </c>
      <c r="H70" s="6" t="s">
        <v>117</v>
      </c>
      <c r="I70" s="8">
        <f>935851 / 86400</f>
        <v>10.831608796296296</v>
      </c>
      <c r="J70" s="6" t="s">
        <v>117</v>
      </c>
      <c r="K70" s="6" t="s">
        <v>117</v>
      </c>
      <c r="L70" s="8">
        <f>2558057 / 86400</f>
        <v>29.607141203703705</v>
      </c>
      <c r="M70" s="8">
        <f>2794856 / 86400</f>
        <v>32.347870370370373</v>
      </c>
    </row>
    <row r="71" spans="1:13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</row>
    <row r="72" spans="1:13" s="9" customFormat="1" x14ac:dyDescent="0.25">
      <c r="A72" s="14" t="s">
        <v>118</v>
      </c>
      <c r="B72" s="14"/>
      <c r="C72" s="14"/>
      <c r="D72" s="14"/>
      <c r="E72" s="14"/>
      <c r="F72" s="14"/>
      <c r="G72" s="14"/>
      <c r="H72" s="14"/>
      <c r="I72" s="14"/>
      <c r="J72" s="14"/>
    </row>
    <row r="73" spans="1:13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</row>
    <row r="74" spans="1:13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</row>
    <row r="75" spans="1:13" s="10" customFormat="1" ht="20.100000000000001" customHeight="1" x14ac:dyDescent="0.35">
      <c r="A75" s="15" t="s">
        <v>344</v>
      </c>
      <c r="B75" s="15"/>
      <c r="C75" s="15"/>
      <c r="D75" s="15"/>
      <c r="E75" s="15"/>
      <c r="F75" s="15"/>
      <c r="G75" s="15"/>
      <c r="H75" s="15"/>
      <c r="I75" s="15"/>
      <c r="J75" s="15"/>
    </row>
    <row r="76" spans="1:13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</row>
    <row r="77" spans="1:13" ht="30" x14ac:dyDescent="0.25">
      <c r="A77" s="2" t="s">
        <v>6</v>
      </c>
      <c r="B77" s="2" t="s">
        <v>7</v>
      </c>
      <c r="C77" s="2" t="s">
        <v>8</v>
      </c>
      <c r="D77" s="2" t="s">
        <v>9</v>
      </c>
      <c r="E77" s="2" t="s">
        <v>10</v>
      </c>
      <c r="F77" s="2" t="s">
        <v>11</v>
      </c>
      <c r="G77" s="2" t="s">
        <v>12</v>
      </c>
      <c r="H77" s="2" t="s">
        <v>13</v>
      </c>
      <c r="I77" s="2" t="s">
        <v>14</v>
      </c>
      <c r="J77" s="2" t="s">
        <v>15</v>
      </c>
      <c r="K77" s="2" t="s">
        <v>16</v>
      </c>
      <c r="L77" s="2" t="s">
        <v>17</v>
      </c>
    </row>
    <row r="78" spans="1:13" x14ac:dyDescent="0.25">
      <c r="A78" s="3">
        <v>45692.18273148148</v>
      </c>
      <c r="B78" t="s">
        <v>18</v>
      </c>
      <c r="C78" s="3">
        <v>45692.185798611114</v>
      </c>
      <c r="D78" t="s">
        <v>18</v>
      </c>
      <c r="E78" s="4">
        <v>2.9000000000000001E-2</v>
      </c>
      <c r="F78" s="4">
        <v>512456.91800000001</v>
      </c>
      <c r="G78" s="4">
        <v>512456.94699999999</v>
      </c>
      <c r="H78" s="5">
        <f>219 / 86400</f>
        <v>2.5347222222222221E-3</v>
      </c>
      <c r="I78" t="s">
        <v>119</v>
      </c>
      <c r="J78" t="s">
        <v>55</v>
      </c>
      <c r="K78" s="5">
        <f>264 / 86400</f>
        <v>3.0555555555555557E-3</v>
      </c>
      <c r="L78" s="5">
        <f>20394 / 86400</f>
        <v>0.23604166666666668</v>
      </c>
    </row>
    <row r="79" spans="1:13" x14ac:dyDescent="0.25">
      <c r="A79" s="3">
        <v>45692.239108796297</v>
      </c>
      <c r="B79" t="s">
        <v>18</v>
      </c>
      <c r="C79" s="3">
        <v>45692.241365740745</v>
      </c>
      <c r="D79" t="s">
        <v>18</v>
      </c>
      <c r="E79" s="4">
        <v>2.4E-2</v>
      </c>
      <c r="F79" s="4">
        <v>512456.94699999999</v>
      </c>
      <c r="G79" s="4">
        <v>512456.97100000002</v>
      </c>
      <c r="H79" s="5">
        <f>179 / 86400</f>
        <v>2.0717592592592593E-3</v>
      </c>
      <c r="I79" t="s">
        <v>119</v>
      </c>
      <c r="J79" t="s">
        <v>55</v>
      </c>
      <c r="K79" s="5">
        <f>194 / 86400</f>
        <v>2.2453703703703702E-3</v>
      </c>
      <c r="L79" s="5">
        <f>278 / 86400</f>
        <v>3.2175925925925926E-3</v>
      </c>
    </row>
    <row r="80" spans="1:13" x14ac:dyDescent="0.25">
      <c r="A80" s="3">
        <v>45692.244583333333</v>
      </c>
      <c r="B80" t="s">
        <v>18</v>
      </c>
      <c r="C80" s="3">
        <v>45692.253298611111</v>
      </c>
      <c r="D80" t="s">
        <v>120</v>
      </c>
      <c r="E80" s="4">
        <v>3.5249999999999999</v>
      </c>
      <c r="F80" s="4">
        <v>512456.97100000002</v>
      </c>
      <c r="G80" s="4">
        <v>512460.49599999998</v>
      </c>
      <c r="H80" s="5">
        <f>199 / 86400</f>
        <v>2.3032407407407407E-3</v>
      </c>
      <c r="I80" t="s">
        <v>59</v>
      </c>
      <c r="J80" t="s">
        <v>25</v>
      </c>
      <c r="K80" s="5">
        <f>753 / 86400</f>
        <v>8.7152777777777784E-3</v>
      </c>
      <c r="L80" s="5">
        <f>273 / 86400</f>
        <v>3.1597222222222222E-3</v>
      </c>
    </row>
    <row r="81" spans="1:12" x14ac:dyDescent="0.25">
      <c r="A81" s="3">
        <v>45692.25645833333</v>
      </c>
      <c r="B81" t="s">
        <v>120</v>
      </c>
      <c r="C81" s="3">
        <v>45692.325810185182</v>
      </c>
      <c r="D81" t="s">
        <v>121</v>
      </c>
      <c r="E81" s="4">
        <v>36.216999999999999</v>
      </c>
      <c r="F81" s="4">
        <v>512460.49599999998</v>
      </c>
      <c r="G81" s="4">
        <v>512496.71299999999</v>
      </c>
      <c r="H81" s="5">
        <f>1140 / 86400</f>
        <v>1.3194444444444444E-2</v>
      </c>
      <c r="I81" t="s">
        <v>107</v>
      </c>
      <c r="J81" t="s">
        <v>122</v>
      </c>
      <c r="K81" s="5">
        <f>5992 / 86400</f>
        <v>6.9351851851851845E-2</v>
      </c>
      <c r="L81" s="5">
        <f>1764 / 86400</f>
        <v>2.0416666666666666E-2</v>
      </c>
    </row>
    <row r="82" spans="1:12" x14ac:dyDescent="0.25">
      <c r="A82" s="3">
        <v>45692.346226851849</v>
      </c>
      <c r="B82" t="s">
        <v>123</v>
      </c>
      <c r="C82" s="3">
        <v>45692.347604166665</v>
      </c>
      <c r="D82" t="s">
        <v>124</v>
      </c>
      <c r="E82" s="4">
        <v>2.5000000000000001E-2</v>
      </c>
      <c r="F82" s="4">
        <v>512496.71299999999</v>
      </c>
      <c r="G82" s="4">
        <v>512496.73800000001</v>
      </c>
      <c r="H82" s="5">
        <f>79 / 86400</f>
        <v>9.1435185185185185E-4</v>
      </c>
      <c r="I82" t="s">
        <v>119</v>
      </c>
      <c r="J82" t="s">
        <v>125</v>
      </c>
      <c r="K82" s="5">
        <f>119 / 86400</f>
        <v>1.3773148148148147E-3</v>
      </c>
      <c r="L82" s="5">
        <f>1945 / 86400</f>
        <v>2.2511574074074073E-2</v>
      </c>
    </row>
    <row r="83" spans="1:12" x14ac:dyDescent="0.25">
      <c r="A83" s="3">
        <v>45692.370115740741</v>
      </c>
      <c r="B83" t="s">
        <v>123</v>
      </c>
      <c r="C83" s="3">
        <v>45692.372210648144</v>
      </c>
      <c r="D83" t="s">
        <v>121</v>
      </c>
      <c r="E83" s="4">
        <v>2.7E-2</v>
      </c>
      <c r="F83" s="4">
        <v>512496.73800000001</v>
      </c>
      <c r="G83" s="4">
        <v>512496.76500000001</v>
      </c>
      <c r="H83" s="5">
        <f>139 / 86400</f>
        <v>1.6087962962962963E-3</v>
      </c>
      <c r="I83" t="s">
        <v>119</v>
      </c>
      <c r="J83" t="s">
        <v>125</v>
      </c>
      <c r="K83" s="5">
        <f>180 / 86400</f>
        <v>2.0833333333333333E-3</v>
      </c>
      <c r="L83" s="5">
        <f>141 / 86400</f>
        <v>1.6319444444444445E-3</v>
      </c>
    </row>
    <row r="84" spans="1:12" x14ac:dyDescent="0.25">
      <c r="A84" s="3">
        <v>45692.373842592591</v>
      </c>
      <c r="B84" t="s">
        <v>126</v>
      </c>
      <c r="C84" s="3">
        <v>45692.374108796299</v>
      </c>
      <c r="D84" t="s">
        <v>126</v>
      </c>
      <c r="E84" s="4">
        <v>0</v>
      </c>
      <c r="F84" s="4">
        <v>512496.76500000001</v>
      </c>
      <c r="G84" s="4">
        <v>512496.76500000001</v>
      </c>
      <c r="H84" s="5">
        <f>19 / 86400</f>
        <v>2.199074074074074E-4</v>
      </c>
      <c r="I84" t="s">
        <v>55</v>
      </c>
      <c r="J84" t="s">
        <v>55</v>
      </c>
      <c r="K84" s="5">
        <f>22 / 86400</f>
        <v>2.5462962962962961E-4</v>
      </c>
      <c r="L84" s="5">
        <f>1296 / 86400</f>
        <v>1.4999999999999999E-2</v>
      </c>
    </row>
    <row r="85" spans="1:12" x14ac:dyDescent="0.25">
      <c r="A85" s="3">
        <v>45692.389108796298</v>
      </c>
      <c r="B85" t="s">
        <v>126</v>
      </c>
      <c r="C85" s="3">
        <v>45692.389224537037</v>
      </c>
      <c r="D85" t="s">
        <v>126</v>
      </c>
      <c r="E85" s="4">
        <v>0</v>
      </c>
      <c r="F85" s="4">
        <v>512496.76500000001</v>
      </c>
      <c r="G85" s="4">
        <v>512496.76500000001</v>
      </c>
      <c r="H85" s="5">
        <f>0 / 86400</f>
        <v>0</v>
      </c>
      <c r="I85" t="s">
        <v>55</v>
      </c>
      <c r="J85" t="s">
        <v>55</v>
      </c>
      <c r="K85" s="5">
        <f>10 / 86400</f>
        <v>1.1574074074074075E-4</v>
      </c>
      <c r="L85" s="5">
        <f>739 / 86400</f>
        <v>8.5532407407407415E-3</v>
      </c>
    </row>
    <row r="86" spans="1:12" x14ac:dyDescent="0.25">
      <c r="A86" s="3">
        <v>45692.397777777776</v>
      </c>
      <c r="B86" t="s">
        <v>126</v>
      </c>
      <c r="C86" s="3">
        <v>45692.400231481486</v>
      </c>
      <c r="D86" t="s">
        <v>126</v>
      </c>
      <c r="E86" s="4">
        <v>0</v>
      </c>
      <c r="F86" s="4">
        <v>512496.76500000001</v>
      </c>
      <c r="G86" s="4">
        <v>512496.76500000001</v>
      </c>
      <c r="H86" s="5">
        <f>199 / 86400</f>
        <v>2.3032407407407407E-3</v>
      </c>
      <c r="I86" t="s">
        <v>55</v>
      </c>
      <c r="J86" t="s">
        <v>55</v>
      </c>
      <c r="K86" s="5">
        <f>212 / 86400</f>
        <v>2.4537037037037036E-3</v>
      </c>
      <c r="L86" s="5">
        <f>295 / 86400</f>
        <v>3.414351851851852E-3</v>
      </c>
    </row>
    <row r="87" spans="1:12" x14ac:dyDescent="0.25">
      <c r="A87" s="3">
        <v>45692.403645833328</v>
      </c>
      <c r="B87" t="s">
        <v>126</v>
      </c>
      <c r="C87" s="3">
        <v>45692.403784722221</v>
      </c>
      <c r="D87" t="s">
        <v>126</v>
      </c>
      <c r="E87" s="4">
        <v>0</v>
      </c>
      <c r="F87" s="4">
        <v>512496.76500000001</v>
      </c>
      <c r="G87" s="4">
        <v>512496.76500000001</v>
      </c>
      <c r="H87" s="5">
        <f>0 / 86400</f>
        <v>0</v>
      </c>
      <c r="I87" t="s">
        <v>55</v>
      </c>
      <c r="J87" t="s">
        <v>55</v>
      </c>
      <c r="K87" s="5">
        <f>11 / 86400</f>
        <v>1.273148148148148E-4</v>
      </c>
      <c r="L87" s="5">
        <f>63 / 86400</f>
        <v>7.291666666666667E-4</v>
      </c>
    </row>
    <row r="88" spans="1:12" x14ac:dyDescent="0.25">
      <c r="A88" s="3">
        <v>45692.404513888891</v>
      </c>
      <c r="B88" t="s">
        <v>126</v>
      </c>
      <c r="C88" s="3">
        <v>45692.404641203699</v>
      </c>
      <c r="D88" t="s">
        <v>126</v>
      </c>
      <c r="E88" s="4">
        <v>0</v>
      </c>
      <c r="F88" s="4">
        <v>512496.76500000001</v>
      </c>
      <c r="G88" s="4">
        <v>512496.76500000001</v>
      </c>
      <c r="H88" s="5">
        <f>0 / 86400</f>
        <v>0</v>
      </c>
      <c r="I88" t="s">
        <v>55</v>
      </c>
      <c r="J88" t="s">
        <v>55</v>
      </c>
      <c r="K88" s="5">
        <f>11 / 86400</f>
        <v>1.273148148148148E-4</v>
      </c>
      <c r="L88" s="5">
        <f>2638 / 86400</f>
        <v>3.0532407407407407E-2</v>
      </c>
    </row>
    <row r="89" spans="1:12" x14ac:dyDescent="0.25">
      <c r="A89" s="3">
        <v>45692.435173611113</v>
      </c>
      <c r="B89" t="s">
        <v>126</v>
      </c>
      <c r="C89" s="3">
        <v>45692.43949074074</v>
      </c>
      <c r="D89" t="s">
        <v>126</v>
      </c>
      <c r="E89" s="4">
        <v>0</v>
      </c>
      <c r="F89" s="4">
        <v>512496.76500000001</v>
      </c>
      <c r="G89" s="4">
        <v>512496.76500000001</v>
      </c>
      <c r="H89" s="5">
        <f>359 / 86400</f>
        <v>4.1550925925925922E-3</v>
      </c>
      <c r="I89" t="s">
        <v>55</v>
      </c>
      <c r="J89" t="s">
        <v>55</v>
      </c>
      <c r="K89" s="5">
        <f>372 / 86400</f>
        <v>4.3055555555555555E-3</v>
      </c>
      <c r="L89" s="5">
        <f>734 / 86400</f>
        <v>8.4953703703703701E-3</v>
      </c>
    </row>
    <row r="90" spans="1:12" x14ac:dyDescent="0.25">
      <c r="A90" s="3">
        <v>45692.44798611111</v>
      </c>
      <c r="B90" t="s">
        <v>126</v>
      </c>
      <c r="C90" s="3">
        <v>45692.631574074076</v>
      </c>
      <c r="D90" t="s">
        <v>127</v>
      </c>
      <c r="E90" s="4">
        <v>54.53</v>
      </c>
      <c r="F90" s="4">
        <v>512496.76500000001</v>
      </c>
      <c r="G90" s="4">
        <v>512551.29499999998</v>
      </c>
      <c r="H90" s="5">
        <f>8372 / 86400</f>
        <v>9.689814814814815E-2</v>
      </c>
      <c r="I90" t="s">
        <v>19</v>
      </c>
      <c r="J90" t="s">
        <v>90</v>
      </c>
      <c r="K90" s="5">
        <f>15862 / 86400</f>
        <v>0.18358796296296295</v>
      </c>
      <c r="L90" s="5">
        <f>278 / 86400</f>
        <v>3.2175925925925926E-3</v>
      </c>
    </row>
    <row r="91" spans="1:12" x14ac:dyDescent="0.25">
      <c r="A91" s="3">
        <v>45692.634791666671</v>
      </c>
      <c r="B91" t="s">
        <v>127</v>
      </c>
      <c r="C91" s="3">
        <v>45692.63680555555</v>
      </c>
      <c r="D91" t="s">
        <v>120</v>
      </c>
      <c r="E91" s="4">
        <v>0.64200000000000002</v>
      </c>
      <c r="F91" s="4">
        <v>512551.29499999998</v>
      </c>
      <c r="G91" s="4">
        <v>512551.93699999998</v>
      </c>
      <c r="H91" s="5">
        <f>40 / 86400</f>
        <v>4.6296296296296298E-4</v>
      </c>
      <c r="I91" t="s">
        <v>70</v>
      </c>
      <c r="J91" t="s">
        <v>58</v>
      </c>
      <c r="K91" s="5">
        <f>173 / 86400</f>
        <v>2.0023148148148148E-3</v>
      </c>
      <c r="L91" s="5">
        <f>5025 / 86400</f>
        <v>5.8159722222222224E-2</v>
      </c>
    </row>
    <row r="92" spans="1:12" x14ac:dyDescent="0.25">
      <c r="A92" s="3">
        <v>45692.694965277777</v>
      </c>
      <c r="B92" t="s">
        <v>120</v>
      </c>
      <c r="C92" s="3">
        <v>45692.701678240745</v>
      </c>
      <c r="D92" t="s">
        <v>120</v>
      </c>
      <c r="E92" s="4">
        <v>0</v>
      </c>
      <c r="F92" s="4">
        <v>512551.93699999998</v>
      </c>
      <c r="G92" s="4">
        <v>512551.93699999998</v>
      </c>
      <c r="H92" s="5">
        <f>559 / 86400</f>
        <v>6.4699074074074077E-3</v>
      </c>
      <c r="I92" t="s">
        <v>55</v>
      </c>
      <c r="J92" t="s">
        <v>55</v>
      </c>
      <c r="K92" s="5">
        <f>579 / 86400</f>
        <v>6.7013888888888887E-3</v>
      </c>
      <c r="L92" s="5">
        <f>185 / 86400</f>
        <v>2.1412037037037038E-3</v>
      </c>
    </row>
    <row r="93" spans="1:12" x14ac:dyDescent="0.25">
      <c r="A93" s="3">
        <v>45692.703819444447</v>
      </c>
      <c r="B93" t="s">
        <v>120</v>
      </c>
      <c r="C93" s="3">
        <v>45692.760185185187</v>
      </c>
      <c r="D93" t="s">
        <v>63</v>
      </c>
      <c r="E93" s="4">
        <v>27.472000000000001</v>
      </c>
      <c r="F93" s="4">
        <v>512551.93699999998</v>
      </c>
      <c r="G93" s="4">
        <v>512579.40899999999</v>
      </c>
      <c r="H93" s="5">
        <f>2040 / 86400</f>
        <v>2.361111111111111E-2</v>
      </c>
      <c r="I93" t="s">
        <v>83</v>
      </c>
      <c r="J93" t="s">
        <v>114</v>
      </c>
      <c r="K93" s="5">
        <f>4870 / 86400</f>
        <v>5.6365740740740744E-2</v>
      </c>
      <c r="L93" s="5">
        <f>27 / 86400</f>
        <v>3.1250000000000001E-4</v>
      </c>
    </row>
    <row r="94" spans="1:12" x14ac:dyDescent="0.25">
      <c r="A94" s="3">
        <v>45692.760497685187</v>
      </c>
      <c r="B94" t="s">
        <v>63</v>
      </c>
      <c r="C94" s="3">
        <v>45692.780648148153</v>
      </c>
      <c r="D94" t="s">
        <v>128</v>
      </c>
      <c r="E94" s="4">
        <v>5.798</v>
      </c>
      <c r="F94" s="4">
        <v>512579.40899999999</v>
      </c>
      <c r="G94" s="4">
        <v>512585.20699999999</v>
      </c>
      <c r="H94" s="5">
        <f>420 / 86400</f>
        <v>4.8611111111111112E-3</v>
      </c>
      <c r="I94" t="s">
        <v>89</v>
      </c>
      <c r="J94" t="s">
        <v>90</v>
      </c>
      <c r="K94" s="5">
        <f>1741 / 86400</f>
        <v>2.0150462962962964E-2</v>
      </c>
      <c r="L94" s="5">
        <f>163 / 86400</f>
        <v>1.8865740740740742E-3</v>
      </c>
    </row>
    <row r="95" spans="1:12" x14ac:dyDescent="0.25">
      <c r="A95" s="3">
        <v>45692.782534722224</v>
      </c>
      <c r="B95" t="s">
        <v>128</v>
      </c>
      <c r="C95" s="3">
        <v>45692.784236111111</v>
      </c>
      <c r="D95" t="s">
        <v>129</v>
      </c>
      <c r="E95" s="4">
        <v>0.54900000000000004</v>
      </c>
      <c r="F95" s="4">
        <v>512585.20699999999</v>
      </c>
      <c r="G95" s="4">
        <v>512585.75599999999</v>
      </c>
      <c r="H95" s="5">
        <f>40 / 86400</f>
        <v>4.6296296296296298E-4</v>
      </c>
      <c r="I95" t="s">
        <v>130</v>
      </c>
      <c r="J95" t="s">
        <v>58</v>
      </c>
      <c r="K95" s="5">
        <f>147 / 86400</f>
        <v>1.7013888888888888E-3</v>
      </c>
      <c r="L95" s="5">
        <f>78 / 86400</f>
        <v>9.0277777777777774E-4</v>
      </c>
    </row>
    <row r="96" spans="1:12" x14ac:dyDescent="0.25">
      <c r="A96" s="3">
        <v>45692.785138888888</v>
      </c>
      <c r="B96" t="s">
        <v>129</v>
      </c>
      <c r="C96" s="3">
        <v>45692.903368055559</v>
      </c>
      <c r="D96" t="s">
        <v>131</v>
      </c>
      <c r="E96" s="4">
        <v>49.695999999999998</v>
      </c>
      <c r="F96" s="4">
        <v>512585.75599999999</v>
      </c>
      <c r="G96" s="4">
        <v>512635.45199999999</v>
      </c>
      <c r="H96" s="5">
        <f>3060 / 86400</f>
        <v>3.5416666666666666E-2</v>
      </c>
      <c r="I96" t="s">
        <v>67</v>
      </c>
      <c r="J96" t="s">
        <v>31</v>
      </c>
      <c r="K96" s="5">
        <f>10214 / 86400</f>
        <v>0.1182175925925926</v>
      </c>
      <c r="L96" s="5">
        <f>16 / 86400</f>
        <v>1.8518518518518518E-4</v>
      </c>
    </row>
    <row r="97" spans="1:12" x14ac:dyDescent="0.25">
      <c r="A97" s="3">
        <v>45692.903553240743</v>
      </c>
      <c r="B97" t="s">
        <v>131</v>
      </c>
      <c r="C97" s="3">
        <v>45692.904050925921</v>
      </c>
      <c r="D97" t="s">
        <v>132</v>
      </c>
      <c r="E97" s="4">
        <v>0.153</v>
      </c>
      <c r="F97" s="4">
        <v>512635.45199999999</v>
      </c>
      <c r="G97" s="4">
        <v>512635.60499999998</v>
      </c>
      <c r="H97" s="5">
        <f>0 / 86400</f>
        <v>0</v>
      </c>
      <c r="I97" t="s">
        <v>58</v>
      </c>
      <c r="J97" t="s">
        <v>58</v>
      </c>
      <c r="K97" s="5">
        <f>43 / 86400</f>
        <v>4.9768518518518521E-4</v>
      </c>
      <c r="L97" s="5">
        <f>706 / 86400</f>
        <v>8.1712962962962963E-3</v>
      </c>
    </row>
    <row r="98" spans="1:12" x14ac:dyDescent="0.25">
      <c r="A98" s="3">
        <v>45692.912222222221</v>
      </c>
      <c r="B98" t="s">
        <v>132</v>
      </c>
      <c r="C98" s="3">
        <v>45692.914768518516</v>
      </c>
      <c r="D98" t="s">
        <v>133</v>
      </c>
      <c r="E98" s="4">
        <v>0.46300000000000002</v>
      </c>
      <c r="F98" s="4">
        <v>512635.60499999998</v>
      </c>
      <c r="G98" s="4">
        <v>512636.06800000003</v>
      </c>
      <c r="H98" s="5">
        <f>100 / 86400</f>
        <v>1.1574074074074073E-3</v>
      </c>
      <c r="I98" t="s">
        <v>134</v>
      </c>
      <c r="J98" t="s">
        <v>135</v>
      </c>
      <c r="K98" s="5">
        <f>220 / 86400</f>
        <v>2.5462962962962965E-3</v>
      </c>
      <c r="L98" s="5">
        <f>783 / 86400</f>
        <v>9.0624999999999994E-3</v>
      </c>
    </row>
    <row r="99" spans="1:12" x14ac:dyDescent="0.25">
      <c r="A99" s="3">
        <v>45692.923831018517</v>
      </c>
      <c r="B99" t="s">
        <v>133</v>
      </c>
      <c r="C99" s="3">
        <v>45692.974675925929</v>
      </c>
      <c r="D99" t="s">
        <v>110</v>
      </c>
      <c r="E99" s="4">
        <v>20.673999999999999</v>
      </c>
      <c r="F99" s="4">
        <v>512636.06800000003</v>
      </c>
      <c r="G99" s="4">
        <v>512656.74200000003</v>
      </c>
      <c r="H99" s="5">
        <f>1321 / 86400</f>
        <v>1.5289351851851853E-2</v>
      </c>
      <c r="I99" t="s">
        <v>33</v>
      </c>
      <c r="J99" t="s">
        <v>25</v>
      </c>
      <c r="K99" s="5">
        <f>4393 / 86400</f>
        <v>5.0844907407407408E-2</v>
      </c>
      <c r="L99" s="5">
        <f>332 / 86400</f>
        <v>3.8425925925925928E-3</v>
      </c>
    </row>
    <row r="100" spans="1:12" x14ac:dyDescent="0.25">
      <c r="A100" s="3">
        <v>45692.978518518517</v>
      </c>
      <c r="B100" t="s">
        <v>110</v>
      </c>
      <c r="C100" s="3">
        <v>45692.982488425929</v>
      </c>
      <c r="D100" t="s">
        <v>18</v>
      </c>
      <c r="E100" s="4">
        <v>0.57999999999999996</v>
      </c>
      <c r="F100" s="4">
        <v>512656.74200000003</v>
      </c>
      <c r="G100" s="4">
        <v>512657.32199999999</v>
      </c>
      <c r="H100" s="5">
        <f>180 / 86400</f>
        <v>2.0833333333333333E-3</v>
      </c>
      <c r="I100" t="s">
        <v>136</v>
      </c>
      <c r="J100" t="s">
        <v>137</v>
      </c>
      <c r="K100" s="5">
        <f>342 / 86400</f>
        <v>3.9583333333333337E-3</v>
      </c>
      <c r="L100" s="5">
        <f>1512 / 86400</f>
        <v>1.7500000000000002E-2</v>
      </c>
    </row>
    <row r="101" spans="1:12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</row>
    <row r="102" spans="1:12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</row>
    <row r="103" spans="1:12" s="10" customFormat="1" ht="20.100000000000001" customHeight="1" x14ac:dyDescent="0.35">
      <c r="A103" s="15" t="s">
        <v>283</v>
      </c>
      <c r="B103" s="15"/>
      <c r="C103" s="15"/>
      <c r="D103" s="15"/>
      <c r="E103" s="15"/>
      <c r="F103" s="15"/>
      <c r="G103" s="15"/>
      <c r="H103" s="15"/>
      <c r="I103" s="15"/>
      <c r="J103" s="15"/>
    </row>
    <row r="104" spans="1:12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</row>
    <row r="105" spans="1:12" ht="30" x14ac:dyDescent="0.25">
      <c r="A105" s="2" t="s">
        <v>6</v>
      </c>
      <c r="B105" s="2" t="s">
        <v>7</v>
      </c>
      <c r="C105" s="2" t="s">
        <v>8</v>
      </c>
      <c r="D105" s="2" t="s">
        <v>9</v>
      </c>
      <c r="E105" s="2" t="s">
        <v>10</v>
      </c>
      <c r="F105" s="2" t="s">
        <v>11</v>
      </c>
      <c r="G105" s="2" t="s">
        <v>12</v>
      </c>
      <c r="H105" s="2" t="s">
        <v>13</v>
      </c>
      <c r="I105" s="2" t="s">
        <v>14</v>
      </c>
      <c r="J105" s="2" t="s">
        <v>15</v>
      </c>
      <c r="K105" s="2" t="s">
        <v>16</v>
      </c>
      <c r="L105" s="2" t="s">
        <v>17</v>
      </c>
    </row>
    <row r="106" spans="1:12" x14ac:dyDescent="0.25">
      <c r="A106" s="3">
        <v>45692.625335648147</v>
      </c>
      <c r="B106" t="s">
        <v>21</v>
      </c>
      <c r="C106" s="3">
        <v>45692.643831018519</v>
      </c>
      <c r="D106" t="s">
        <v>138</v>
      </c>
      <c r="E106" s="4">
        <v>3.202</v>
      </c>
      <c r="F106" s="4">
        <v>17682.356</v>
      </c>
      <c r="G106" s="4">
        <v>17685.558000000001</v>
      </c>
      <c r="H106" s="5">
        <f>839 / 86400</f>
        <v>9.7106481481481488E-3</v>
      </c>
      <c r="I106" t="s">
        <v>139</v>
      </c>
      <c r="J106" t="s">
        <v>43</v>
      </c>
      <c r="K106" s="5">
        <f>1598 / 86400</f>
        <v>1.849537037037037E-2</v>
      </c>
      <c r="L106" s="5">
        <f>54139 / 86400</f>
        <v>0.62660879629629629</v>
      </c>
    </row>
    <row r="107" spans="1:12" x14ac:dyDescent="0.25">
      <c r="A107" s="3">
        <v>45692.645104166666</v>
      </c>
      <c r="B107" t="s">
        <v>129</v>
      </c>
      <c r="C107" s="3">
        <v>45692.645451388889</v>
      </c>
      <c r="D107" t="s">
        <v>129</v>
      </c>
      <c r="E107" s="4">
        <v>0.01</v>
      </c>
      <c r="F107" s="4">
        <v>17685.558000000001</v>
      </c>
      <c r="G107" s="4">
        <v>17685.567999999999</v>
      </c>
      <c r="H107" s="5">
        <f>0 / 86400</f>
        <v>0</v>
      </c>
      <c r="I107" t="s">
        <v>119</v>
      </c>
      <c r="J107" t="s">
        <v>125</v>
      </c>
      <c r="K107" s="5">
        <f>29 / 86400</f>
        <v>3.3564814814814812E-4</v>
      </c>
      <c r="L107" s="5">
        <f>268 / 86400</f>
        <v>3.1018518518518517E-3</v>
      </c>
    </row>
    <row r="108" spans="1:12" x14ac:dyDescent="0.25">
      <c r="A108" s="3">
        <v>45692.648553240739</v>
      </c>
      <c r="B108" t="s">
        <v>138</v>
      </c>
      <c r="C108" s="3">
        <v>45692.648819444439</v>
      </c>
      <c r="D108" t="s">
        <v>129</v>
      </c>
      <c r="E108" s="4">
        <v>7.0000000000000001E-3</v>
      </c>
      <c r="F108" s="4">
        <v>17685.567999999999</v>
      </c>
      <c r="G108" s="4">
        <v>17685.575000000001</v>
      </c>
      <c r="H108" s="5">
        <f>19 / 86400</f>
        <v>2.199074074074074E-4</v>
      </c>
      <c r="I108" t="s">
        <v>55</v>
      </c>
      <c r="J108" t="s">
        <v>125</v>
      </c>
      <c r="K108" s="5">
        <f>22 / 86400</f>
        <v>2.5462962962962961E-4</v>
      </c>
      <c r="L108" s="5">
        <f>418 / 86400</f>
        <v>4.8379629629629632E-3</v>
      </c>
    </row>
    <row r="109" spans="1:12" x14ac:dyDescent="0.25">
      <c r="A109" s="3">
        <v>45692.653657407413</v>
      </c>
      <c r="B109" t="s">
        <v>129</v>
      </c>
      <c r="C109" s="3">
        <v>45692.653854166667</v>
      </c>
      <c r="D109" t="s">
        <v>129</v>
      </c>
      <c r="E109" s="4">
        <v>6.0000000000000001E-3</v>
      </c>
      <c r="F109" s="4">
        <v>17685.575000000001</v>
      </c>
      <c r="G109" s="4">
        <v>17685.580999999998</v>
      </c>
      <c r="H109" s="5">
        <f>0 / 86400</f>
        <v>0</v>
      </c>
      <c r="I109" t="s">
        <v>55</v>
      </c>
      <c r="J109" t="s">
        <v>125</v>
      </c>
      <c r="K109" s="5">
        <f>16 / 86400</f>
        <v>1.8518518518518518E-4</v>
      </c>
      <c r="L109" s="5">
        <f>425 / 86400</f>
        <v>4.9189814814814816E-3</v>
      </c>
    </row>
    <row r="110" spans="1:12" x14ac:dyDescent="0.25">
      <c r="A110" s="3">
        <v>45692.658773148149</v>
      </c>
      <c r="B110" t="s">
        <v>129</v>
      </c>
      <c r="C110" s="3">
        <v>45692.658958333333</v>
      </c>
      <c r="D110" t="s">
        <v>129</v>
      </c>
      <c r="E110" s="4">
        <v>1.0999999999999999E-2</v>
      </c>
      <c r="F110" s="4">
        <v>17685.580999999998</v>
      </c>
      <c r="G110" s="4">
        <v>17685.592000000001</v>
      </c>
      <c r="H110" s="5">
        <f>0 / 86400</f>
        <v>0</v>
      </c>
      <c r="I110" t="s">
        <v>119</v>
      </c>
      <c r="J110" t="s">
        <v>140</v>
      </c>
      <c r="K110" s="5">
        <f>15 / 86400</f>
        <v>1.7361111111111112E-4</v>
      </c>
      <c r="L110" s="5">
        <f>455 / 86400</f>
        <v>5.2662037037037035E-3</v>
      </c>
    </row>
    <row r="111" spans="1:12" x14ac:dyDescent="0.25">
      <c r="A111" s="3">
        <v>45692.664224537039</v>
      </c>
      <c r="B111" t="s">
        <v>129</v>
      </c>
      <c r="C111" s="3">
        <v>45692.904479166667</v>
      </c>
      <c r="D111" t="s">
        <v>121</v>
      </c>
      <c r="E111" s="4">
        <v>94.575000000000003</v>
      </c>
      <c r="F111" s="4">
        <v>17685.592000000001</v>
      </c>
      <c r="G111" s="4">
        <v>17780.167000000001</v>
      </c>
      <c r="H111" s="5">
        <f>6579 / 86400</f>
        <v>7.6145833333333329E-2</v>
      </c>
      <c r="I111" t="s">
        <v>22</v>
      </c>
      <c r="J111" t="s">
        <v>36</v>
      </c>
      <c r="K111" s="5">
        <f>20757 / 86400</f>
        <v>0.24024305555555556</v>
      </c>
      <c r="L111" s="5">
        <f>755 / 86400</f>
        <v>8.7384259259259255E-3</v>
      </c>
    </row>
    <row r="112" spans="1:12" x14ac:dyDescent="0.25">
      <c r="A112" s="3">
        <v>45692.913217592592</v>
      </c>
      <c r="B112" t="s">
        <v>121</v>
      </c>
      <c r="C112" s="3">
        <v>45692.917511574073</v>
      </c>
      <c r="D112" t="s">
        <v>141</v>
      </c>
      <c r="E112" s="4">
        <v>0.52400000000000002</v>
      </c>
      <c r="F112" s="4">
        <v>17780.167000000001</v>
      </c>
      <c r="G112" s="4">
        <v>17780.690999999999</v>
      </c>
      <c r="H112" s="5">
        <f>199 / 86400</f>
        <v>2.3032407407407407E-3</v>
      </c>
      <c r="I112" t="s">
        <v>142</v>
      </c>
      <c r="J112" t="s">
        <v>119</v>
      </c>
      <c r="K112" s="5">
        <f>371 / 86400</f>
        <v>4.2939814814814811E-3</v>
      </c>
      <c r="L112" s="5">
        <f>32 / 86400</f>
        <v>3.7037037037037035E-4</v>
      </c>
    </row>
    <row r="113" spans="1:12" x14ac:dyDescent="0.25">
      <c r="A113" s="3">
        <v>45692.91788194445</v>
      </c>
      <c r="B113" t="s">
        <v>141</v>
      </c>
      <c r="C113" s="3">
        <v>45692.918032407411</v>
      </c>
      <c r="D113" t="s">
        <v>141</v>
      </c>
      <c r="E113" s="4">
        <v>0</v>
      </c>
      <c r="F113" s="4">
        <v>17780.690999999999</v>
      </c>
      <c r="G113" s="4">
        <v>17780.690999999999</v>
      </c>
      <c r="H113" s="5">
        <f>0 / 86400</f>
        <v>0</v>
      </c>
      <c r="I113" t="s">
        <v>55</v>
      </c>
      <c r="J113" t="s">
        <v>55</v>
      </c>
      <c r="K113" s="5">
        <f>13 / 86400</f>
        <v>1.5046296296296297E-4</v>
      </c>
      <c r="L113" s="5">
        <f>501 / 86400</f>
        <v>5.7986111111111112E-3</v>
      </c>
    </row>
    <row r="114" spans="1:12" x14ac:dyDescent="0.25">
      <c r="A114" s="3">
        <v>45692.923831018517</v>
      </c>
      <c r="B114" t="s">
        <v>141</v>
      </c>
      <c r="C114" s="3">
        <v>45692.927222222221</v>
      </c>
      <c r="D114" t="s">
        <v>21</v>
      </c>
      <c r="E114" s="4">
        <v>0.26800000000000002</v>
      </c>
      <c r="F114" s="4">
        <v>17780.690999999999</v>
      </c>
      <c r="G114" s="4">
        <v>17780.958999999999</v>
      </c>
      <c r="H114" s="5">
        <f>179 / 86400</f>
        <v>2.0717592592592593E-3</v>
      </c>
      <c r="I114" t="s">
        <v>122</v>
      </c>
      <c r="J114" t="s">
        <v>140</v>
      </c>
      <c r="K114" s="5">
        <f>293 / 86400</f>
        <v>3.3912037037037036E-3</v>
      </c>
      <c r="L114" s="5">
        <f>6287 / 86400</f>
        <v>7.2766203703703708E-2</v>
      </c>
    </row>
    <row r="115" spans="1:12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</row>
    <row r="116" spans="1:12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</row>
    <row r="117" spans="1:12" s="10" customFormat="1" ht="20.100000000000001" customHeight="1" x14ac:dyDescent="0.35">
      <c r="A117" s="15" t="s">
        <v>284</v>
      </c>
      <c r="B117" s="15"/>
      <c r="C117" s="15"/>
      <c r="D117" s="15"/>
      <c r="E117" s="15"/>
      <c r="F117" s="15"/>
      <c r="G117" s="15"/>
      <c r="H117" s="15"/>
      <c r="I117" s="15"/>
      <c r="J117" s="15"/>
    </row>
    <row r="118" spans="1:12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</row>
    <row r="119" spans="1:12" ht="30" x14ac:dyDescent="0.25">
      <c r="A119" s="2" t="s">
        <v>6</v>
      </c>
      <c r="B119" s="2" t="s">
        <v>7</v>
      </c>
      <c r="C119" s="2" t="s">
        <v>8</v>
      </c>
      <c r="D119" s="2" t="s">
        <v>9</v>
      </c>
      <c r="E119" s="2" t="s">
        <v>10</v>
      </c>
      <c r="F119" s="2" t="s">
        <v>11</v>
      </c>
      <c r="G119" s="2" t="s">
        <v>12</v>
      </c>
      <c r="H119" s="2" t="s">
        <v>13</v>
      </c>
      <c r="I119" s="2" t="s">
        <v>14</v>
      </c>
      <c r="J119" s="2" t="s">
        <v>15</v>
      </c>
      <c r="K119" s="2" t="s">
        <v>16</v>
      </c>
      <c r="L119" s="2" t="s">
        <v>17</v>
      </c>
    </row>
    <row r="120" spans="1:12" x14ac:dyDescent="0.25">
      <c r="A120" s="3">
        <v>45692.197453703702</v>
      </c>
      <c r="B120" t="s">
        <v>23</v>
      </c>
      <c r="C120" s="3">
        <v>45692.198564814811</v>
      </c>
      <c r="D120" t="s">
        <v>84</v>
      </c>
      <c r="E120" s="4">
        <v>2.7E-2</v>
      </c>
      <c r="F120" s="4">
        <v>326799.84499999997</v>
      </c>
      <c r="G120" s="4">
        <v>326799.87199999997</v>
      </c>
      <c r="H120" s="5">
        <f>40 / 86400</f>
        <v>4.6296296296296298E-4</v>
      </c>
      <c r="I120" t="s">
        <v>125</v>
      </c>
      <c r="J120" t="s">
        <v>125</v>
      </c>
      <c r="K120" s="5">
        <f>96 / 86400</f>
        <v>1.1111111111111111E-3</v>
      </c>
      <c r="L120" s="5">
        <f>19142 / 86400</f>
        <v>0.22155092592592593</v>
      </c>
    </row>
    <row r="121" spans="1:12" x14ac:dyDescent="0.25">
      <c r="A121" s="3">
        <v>45692.222662037035</v>
      </c>
      <c r="B121" t="s">
        <v>23</v>
      </c>
      <c r="C121" s="3">
        <v>45692.222777777773</v>
      </c>
      <c r="D121" t="s">
        <v>23</v>
      </c>
      <c r="E121" s="4">
        <v>0</v>
      </c>
      <c r="F121" s="4">
        <v>326799.87199999997</v>
      </c>
      <c r="G121" s="4">
        <v>326799.87199999997</v>
      </c>
      <c r="H121" s="5">
        <f>0 / 86400</f>
        <v>0</v>
      </c>
      <c r="I121" t="s">
        <v>55</v>
      </c>
      <c r="J121" t="s">
        <v>55</v>
      </c>
      <c r="K121" s="5">
        <f>10 / 86400</f>
        <v>1.1574074074074075E-4</v>
      </c>
      <c r="L121" s="5">
        <f>7862 / 86400</f>
        <v>9.0995370370370365E-2</v>
      </c>
    </row>
    <row r="122" spans="1:12" x14ac:dyDescent="0.25">
      <c r="A122" s="3">
        <v>45692.313773148147</v>
      </c>
      <c r="B122" t="s">
        <v>23</v>
      </c>
      <c r="C122" s="3">
        <v>45692.320787037039</v>
      </c>
      <c r="D122" t="s">
        <v>143</v>
      </c>
      <c r="E122" s="4">
        <v>3.7149999999999999</v>
      </c>
      <c r="F122" s="4">
        <v>326799.87199999997</v>
      </c>
      <c r="G122" s="4">
        <v>326803.587</v>
      </c>
      <c r="H122" s="5">
        <f>179 / 86400</f>
        <v>2.0717592592592593E-3</v>
      </c>
      <c r="I122" t="s">
        <v>144</v>
      </c>
      <c r="J122" t="s">
        <v>122</v>
      </c>
      <c r="K122" s="5">
        <f>606 / 86400</f>
        <v>7.013888888888889E-3</v>
      </c>
      <c r="L122" s="5">
        <f>59 / 86400</f>
        <v>6.8287037037037036E-4</v>
      </c>
    </row>
    <row r="123" spans="1:12" x14ac:dyDescent="0.25">
      <c r="A123" s="3">
        <v>45692.321469907409</v>
      </c>
      <c r="B123" t="s">
        <v>143</v>
      </c>
      <c r="C123" s="3">
        <v>45692.321631944447</v>
      </c>
      <c r="D123" t="s">
        <v>143</v>
      </c>
      <c r="E123" s="4">
        <v>3.1E-2</v>
      </c>
      <c r="F123" s="4">
        <v>326803.587</v>
      </c>
      <c r="G123" s="4">
        <v>326803.61800000002</v>
      </c>
      <c r="H123" s="5">
        <f>0 / 86400</f>
        <v>0</v>
      </c>
      <c r="I123" t="s">
        <v>55</v>
      </c>
      <c r="J123" t="s">
        <v>54</v>
      </c>
      <c r="K123" s="5">
        <f>13 / 86400</f>
        <v>1.5046296296296297E-4</v>
      </c>
      <c r="L123" s="5">
        <f>819 / 86400</f>
        <v>9.479166666666667E-3</v>
      </c>
    </row>
    <row r="124" spans="1:12" x14ac:dyDescent="0.25">
      <c r="A124" s="3">
        <v>45692.331111111111</v>
      </c>
      <c r="B124" t="s">
        <v>143</v>
      </c>
      <c r="C124" s="3">
        <v>45692.39435185185</v>
      </c>
      <c r="D124" t="s">
        <v>145</v>
      </c>
      <c r="E124" s="4">
        <v>24.077000000000002</v>
      </c>
      <c r="F124" s="4">
        <v>326803.61800000002</v>
      </c>
      <c r="G124" s="4">
        <v>326827.69500000001</v>
      </c>
      <c r="H124" s="5">
        <f>2140 / 86400</f>
        <v>2.476851851851852E-2</v>
      </c>
      <c r="I124" t="s">
        <v>24</v>
      </c>
      <c r="J124" t="s">
        <v>36</v>
      </c>
      <c r="K124" s="5">
        <f>5464 / 86400</f>
        <v>6.3240740740740736E-2</v>
      </c>
      <c r="L124" s="5">
        <f>71 / 86400</f>
        <v>8.2175925925925927E-4</v>
      </c>
    </row>
    <row r="125" spans="1:12" x14ac:dyDescent="0.25">
      <c r="A125" s="3">
        <v>45692.395173611112</v>
      </c>
      <c r="B125" t="s">
        <v>145</v>
      </c>
      <c r="C125" s="3">
        <v>45692.427800925929</v>
      </c>
      <c r="D125" t="s">
        <v>74</v>
      </c>
      <c r="E125" s="4">
        <v>4.9589999999999996</v>
      </c>
      <c r="F125" s="4">
        <v>326827.69500000001</v>
      </c>
      <c r="G125" s="4">
        <v>326832.65399999998</v>
      </c>
      <c r="H125" s="5">
        <f>1719 / 86400</f>
        <v>1.9895833333333335E-2</v>
      </c>
      <c r="I125" t="s">
        <v>59</v>
      </c>
      <c r="J125" t="s">
        <v>137</v>
      </c>
      <c r="K125" s="5">
        <f>2818 / 86400</f>
        <v>3.2615740740740744E-2</v>
      </c>
      <c r="L125" s="5">
        <f>96 / 86400</f>
        <v>1.1111111111111111E-3</v>
      </c>
    </row>
    <row r="126" spans="1:12" x14ac:dyDescent="0.25">
      <c r="A126" s="3">
        <v>45692.428912037038</v>
      </c>
      <c r="B126" t="s">
        <v>74</v>
      </c>
      <c r="C126" s="3">
        <v>45692.538101851853</v>
      </c>
      <c r="D126" t="s">
        <v>146</v>
      </c>
      <c r="E126" s="4">
        <v>48.14</v>
      </c>
      <c r="F126" s="4">
        <v>326832.65399999998</v>
      </c>
      <c r="G126" s="4">
        <v>326880.79399999999</v>
      </c>
      <c r="H126" s="5">
        <f>2859 / 86400</f>
        <v>3.3090277777777781E-2</v>
      </c>
      <c r="I126" t="s">
        <v>80</v>
      </c>
      <c r="J126" t="s">
        <v>31</v>
      </c>
      <c r="K126" s="5">
        <f>9434 / 86400</f>
        <v>0.10918981481481481</v>
      </c>
      <c r="L126" s="5">
        <f>2624 / 86400</f>
        <v>3.037037037037037E-2</v>
      </c>
    </row>
    <row r="127" spans="1:12" x14ac:dyDescent="0.25">
      <c r="A127" s="3">
        <v>45692.568472222221</v>
      </c>
      <c r="B127" t="s">
        <v>146</v>
      </c>
      <c r="C127" s="3">
        <v>45692.569421296299</v>
      </c>
      <c r="D127" t="s">
        <v>129</v>
      </c>
      <c r="E127" s="4">
        <v>0.40600000000000003</v>
      </c>
      <c r="F127" s="4">
        <v>326880.79399999999</v>
      </c>
      <c r="G127" s="4">
        <v>326881.2</v>
      </c>
      <c r="H127" s="5">
        <f>19 / 86400</f>
        <v>2.199074074074074E-4</v>
      </c>
      <c r="I127" t="s">
        <v>147</v>
      </c>
      <c r="J127" t="s">
        <v>31</v>
      </c>
      <c r="K127" s="5">
        <f>82 / 86400</f>
        <v>9.4907407407407408E-4</v>
      </c>
      <c r="L127" s="5">
        <f>66 / 86400</f>
        <v>7.6388888888888893E-4</v>
      </c>
    </row>
    <row r="128" spans="1:12" x14ac:dyDescent="0.25">
      <c r="A128" s="3">
        <v>45692.570185185185</v>
      </c>
      <c r="B128" t="s">
        <v>129</v>
      </c>
      <c r="C128" s="3">
        <v>45692.572442129633</v>
      </c>
      <c r="D128" t="s">
        <v>148</v>
      </c>
      <c r="E128" s="4">
        <v>0.82799999999999996</v>
      </c>
      <c r="F128" s="4">
        <v>326881.2</v>
      </c>
      <c r="G128" s="4">
        <v>326882.02799999999</v>
      </c>
      <c r="H128" s="5">
        <f>0 / 86400</f>
        <v>0</v>
      </c>
      <c r="I128" t="s">
        <v>149</v>
      </c>
      <c r="J128" t="s">
        <v>20</v>
      </c>
      <c r="K128" s="5">
        <f>195 / 86400</f>
        <v>2.2569444444444442E-3</v>
      </c>
      <c r="L128" s="5">
        <f>3152 / 86400</f>
        <v>3.6481481481481483E-2</v>
      </c>
    </row>
    <row r="129" spans="1:12" x14ac:dyDescent="0.25">
      <c r="A129" s="3">
        <v>45692.608923611115</v>
      </c>
      <c r="B129" t="s">
        <v>148</v>
      </c>
      <c r="C129" s="3">
        <v>45692.612141203703</v>
      </c>
      <c r="D129" t="s">
        <v>146</v>
      </c>
      <c r="E129" s="4">
        <v>1.1339999999999999</v>
      </c>
      <c r="F129" s="4">
        <v>326882.02799999999</v>
      </c>
      <c r="G129" s="4">
        <v>326883.16200000001</v>
      </c>
      <c r="H129" s="5">
        <f>39 / 86400</f>
        <v>4.5138888888888887E-4</v>
      </c>
      <c r="I129" t="s">
        <v>150</v>
      </c>
      <c r="J129" t="s">
        <v>20</v>
      </c>
      <c r="K129" s="5">
        <f>278 / 86400</f>
        <v>3.2175925925925926E-3</v>
      </c>
      <c r="L129" s="5">
        <f>199 / 86400</f>
        <v>2.3032407407407407E-3</v>
      </c>
    </row>
    <row r="130" spans="1:12" x14ac:dyDescent="0.25">
      <c r="A130" s="3">
        <v>45692.614444444444</v>
      </c>
      <c r="B130" t="s">
        <v>146</v>
      </c>
      <c r="C130" s="3">
        <v>45692.703935185185</v>
      </c>
      <c r="D130" t="s">
        <v>151</v>
      </c>
      <c r="E130" s="4">
        <v>41.273000000000003</v>
      </c>
      <c r="F130" s="4">
        <v>326883.16200000001</v>
      </c>
      <c r="G130" s="4">
        <v>326924.435</v>
      </c>
      <c r="H130" s="5">
        <f>2840 / 86400</f>
        <v>3.2870370370370369E-2</v>
      </c>
      <c r="I130" t="s">
        <v>30</v>
      </c>
      <c r="J130" t="s">
        <v>70</v>
      </c>
      <c r="K130" s="5">
        <f>7732 / 86400</f>
        <v>8.9490740740740746E-2</v>
      </c>
      <c r="L130" s="5">
        <f>1370 / 86400</f>
        <v>1.5856481481481482E-2</v>
      </c>
    </row>
    <row r="131" spans="1:12" x14ac:dyDescent="0.25">
      <c r="A131" s="3">
        <v>45692.719791666663</v>
      </c>
      <c r="B131" t="s">
        <v>151</v>
      </c>
      <c r="C131" s="3">
        <v>45692.815937499996</v>
      </c>
      <c r="D131" t="s">
        <v>81</v>
      </c>
      <c r="E131" s="4">
        <v>37.494</v>
      </c>
      <c r="F131" s="4">
        <v>326924.435</v>
      </c>
      <c r="G131" s="4">
        <v>326961.929</v>
      </c>
      <c r="H131" s="5">
        <f>2726 / 86400</f>
        <v>3.1550925925925927E-2</v>
      </c>
      <c r="I131" t="s">
        <v>59</v>
      </c>
      <c r="J131" t="s">
        <v>36</v>
      </c>
      <c r="K131" s="5">
        <f>8307 / 86400</f>
        <v>9.6145833333333333E-2</v>
      </c>
      <c r="L131" s="5">
        <f>145 / 86400</f>
        <v>1.6782407407407408E-3</v>
      </c>
    </row>
    <row r="132" spans="1:12" x14ac:dyDescent="0.25">
      <c r="A132" s="3">
        <v>45692.817615740743</v>
      </c>
      <c r="B132" t="s">
        <v>81</v>
      </c>
      <c r="C132" s="3">
        <v>45692.848819444444</v>
      </c>
      <c r="D132" t="s">
        <v>111</v>
      </c>
      <c r="E132" s="4">
        <v>18.431999999999999</v>
      </c>
      <c r="F132" s="4">
        <v>326961.929</v>
      </c>
      <c r="G132" s="4">
        <v>326980.36099999998</v>
      </c>
      <c r="H132" s="5">
        <f>779 / 86400</f>
        <v>9.0162037037037034E-3</v>
      </c>
      <c r="I132" t="s">
        <v>57</v>
      </c>
      <c r="J132" t="s">
        <v>152</v>
      </c>
      <c r="K132" s="5">
        <f>2695 / 86400</f>
        <v>3.1192129629629629E-2</v>
      </c>
      <c r="L132" s="5">
        <f>111 / 86400</f>
        <v>1.2847222222222223E-3</v>
      </c>
    </row>
    <row r="133" spans="1:12" x14ac:dyDescent="0.25">
      <c r="A133" s="3">
        <v>45692.850104166668</v>
      </c>
      <c r="B133" t="s">
        <v>111</v>
      </c>
      <c r="C133" s="3">
        <v>45692.850393518514</v>
      </c>
      <c r="D133" t="s">
        <v>111</v>
      </c>
      <c r="E133" s="4">
        <v>5.0000000000000001E-3</v>
      </c>
      <c r="F133" s="4">
        <v>326980.36099999998</v>
      </c>
      <c r="G133" s="4">
        <v>326980.36599999998</v>
      </c>
      <c r="H133" s="5">
        <f>0 / 86400</f>
        <v>0</v>
      </c>
      <c r="I133" t="s">
        <v>137</v>
      </c>
      <c r="J133" t="s">
        <v>125</v>
      </c>
      <c r="K133" s="5">
        <f>24 / 86400</f>
        <v>2.7777777777777778E-4</v>
      </c>
      <c r="L133" s="5">
        <f>361 / 86400</f>
        <v>4.178240740740741E-3</v>
      </c>
    </row>
    <row r="134" spans="1:12" x14ac:dyDescent="0.25">
      <c r="A134" s="3">
        <v>45692.854571759264</v>
      </c>
      <c r="B134" t="s">
        <v>111</v>
      </c>
      <c r="C134" s="3">
        <v>45692.859212962961</v>
      </c>
      <c r="D134" t="s">
        <v>23</v>
      </c>
      <c r="E134" s="4">
        <v>1.377</v>
      </c>
      <c r="F134" s="4">
        <v>326980.36599999998</v>
      </c>
      <c r="G134" s="4">
        <v>326981.74300000002</v>
      </c>
      <c r="H134" s="5">
        <f>120 / 86400</f>
        <v>1.3888888888888889E-3</v>
      </c>
      <c r="I134" t="s">
        <v>153</v>
      </c>
      <c r="J134" t="s">
        <v>90</v>
      </c>
      <c r="K134" s="5">
        <f>401 / 86400</f>
        <v>4.6412037037037038E-3</v>
      </c>
      <c r="L134" s="5">
        <f>12163 / 86400</f>
        <v>0.14077546296296295</v>
      </c>
    </row>
    <row r="135" spans="1:12" x14ac:dyDescent="0.25">
      <c r="A135" s="12"/>
      <c r="B135" s="12"/>
      <c r="C135" s="12"/>
      <c r="D135" s="12"/>
      <c r="E135" s="12"/>
      <c r="F135" s="12"/>
      <c r="G135" s="12"/>
      <c r="H135" s="12"/>
      <c r="I135" s="12"/>
      <c r="J135" s="12"/>
    </row>
    <row r="136" spans="1:12" x14ac:dyDescent="0.25">
      <c r="A136" s="12"/>
      <c r="B136" s="12"/>
      <c r="C136" s="12"/>
      <c r="D136" s="12"/>
      <c r="E136" s="12"/>
      <c r="F136" s="12"/>
      <c r="G136" s="12"/>
      <c r="H136" s="12"/>
      <c r="I136" s="12"/>
      <c r="J136" s="12"/>
    </row>
    <row r="137" spans="1:12" s="10" customFormat="1" ht="20.100000000000001" customHeight="1" x14ac:dyDescent="0.35">
      <c r="A137" s="15" t="s">
        <v>285</v>
      </c>
      <c r="B137" s="15"/>
      <c r="C137" s="15"/>
      <c r="D137" s="15"/>
      <c r="E137" s="15"/>
      <c r="F137" s="15"/>
      <c r="G137" s="15"/>
      <c r="H137" s="15"/>
      <c r="I137" s="15"/>
      <c r="J137" s="15"/>
    </row>
    <row r="138" spans="1:12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s="12"/>
    </row>
    <row r="139" spans="1:12" ht="30" x14ac:dyDescent="0.25">
      <c r="A139" s="2" t="s">
        <v>6</v>
      </c>
      <c r="B139" s="2" t="s">
        <v>7</v>
      </c>
      <c r="C139" s="2" t="s">
        <v>8</v>
      </c>
      <c r="D139" s="2" t="s">
        <v>9</v>
      </c>
      <c r="E139" s="2" t="s">
        <v>10</v>
      </c>
      <c r="F139" s="2" t="s">
        <v>11</v>
      </c>
      <c r="G139" s="2" t="s">
        <v>12</v>
      </c>
      <c r="H139" s="2" t="s">
        <v>13</v>
      </c>
      <c r="I139" s="2" t="s">
        <v>14</v>
      </c>
      <c r="J139" s="2" t="s">
        <v>15</v>
      </c>
      <c r="K139" s="2" t="s">
        <v>16</v>
      </c>
      <c r="L139" s="2" t="s">
        <v>17</v>
      </c>
    </row>
    <row r="140" spans="1:12" x14ac:dyDescent="0.25">
      <c r="A140" s="3">
        <v>45692.343726851846</v>
      </c>
      <c r="B140" t="s">
        <v>26</v>
      </c>
      <c r="C140" s="3">
        <v>45692.355775462958</v>
      </c>
      <c r="D140" t="s">
        <v>154</v>
      </c>
      <c r="E140" s="4">
        <v>1.4710000000000001</v>
      </c>
      <c r="F140" s="4">
        <v>19873.965</v>
      </c>
      <c r="G140" s="4">
        <v>19875.436000000002</v>
      </c>
      <c r="H140" s="5">
        <f>519 / 86400</f>
        <v>6.0069444444444441E-3</v>
      </c>
      <c r="I140" t="s">
        <v>155</v>
      </c>
      <c r="J140" t="s">
        <v>119</v>
      </c>
      <c r="K140" s="5">
        <f>1041 / 86400</f>
        <v>1.2048611111111111E-2</v>
      </c>
      <c r="L140" s="5">
        <f>30234 / 86400</f>
        <v>0.34993055555555558</v>
      </c>
    </row>
    <row r="141" spans="1:12" x14ac:dyDescent="0.25">
      <c r="A141" s="3">
        <v>45692.361979166672</v>
      </c>
      <c r="B141" t="s">
        <v>154</v>
      </c>
      <c r="C141" s="3">
        <v>45692.473113425927</v>
      </c>
      <c r="D141" t="s">
        <v>156</v>
      </c>
      <c r="E141" s="4">
        <v>31.213999999999999</v>
      </c>
      <c r="F141" s="4">
        <v>19875.436000000002</v>
      </c>
      <c r="G141" s="4">
        <v>19906.650000000001</v>
      </c>
      <c r="H141" s="5">
        <f>3820 / 86400</f>
        <v>4.4212962962962961E-2</v>
      </c>
      <c r="I141" t="s">
        <v>157</v>
      </c>
      <c r="J141" t="s">
        <v>90</v>
      </c>
      <c r="K141" s="5">
        <f>9601 / 86400</f>
        <v>0.11112268518518519</v>
      </c>
      <c r="L141" s="5">
        <f>4843 / 86400</f>
        <v>5.6053240740740744E-2</v>
      </c>
    </row>
    <row r="142" spans="1:12" x14ac:dyDescent="0.25">
      <c r="A142" s="3">
        <v>45692.529166666667</v>
      </c>
      <c r="B142" t="s">
        <v>156</v>
      </c>
      <c r="C142" s="3">
        <v>45692.675474537042</v>
      </c>
      <c r="D142" t="s">
        <v>128</v>
      </c>
      <c r="E142" s="4">
        <v>50.22</v>
      </c>
      <c r="F142" s="4">
        <v>19906.650000000001</v>
      </c>
      <c r="G142" s="4">
        <v>19956.87</v>
      </c>
      <c r="H142" s="5">
        <f>4781 / 86400</f>
        <v>5.5335648148148148E-2</v>
      </c>
      <c r="I142" t="s">
        <v>53</v>
      </c>
      <c r="J142" t="s">
        <v>28</v>
      </c>
      <c r="K142" s="5">
        <f>12641 / 86400</f>
        <v>0.14630787037037038</v>
      </c>
      <c r="L142" s="5">
        <f>10 / 86400</f>
        <v>1.1574074074074075E-4</v>
      </c>
    </row>
    <row r="143" spans="1:12" x14ac:dyDescent="0.25">
      <c r="A143" s="3">
        <v>45692.67559027778</v>
      </c>
      <c r="B143" t="s">
        <v>128</v>
      </c>
      <c r="C143" s="3">
        <v>45692.675659722227</v>
      </c>
      <c r="D143" t="s">
        <v>146</v>
      </c>
      <c r="E143" s="4">
        <v>0</v>
      </c>
      <c r="F143" s="4">
        <v>19956.87</v>
      </c>
      <c r="G143" s="4">
        <v>19956.87</v>
      </c>
      <c r="H143" s="5">
        <f>0 / 86400</f>
        <v>0</v>
      </c>
      <c r="I143" t="s">
        <v>55</v>
      </c>
      <c r="J143" t="s">
        <v>55</v>
      </c>
      <c r="K143" s="5">
        <f>6 / 86400</f>
        <v>6.9444444444444444E-5</v>
      </c>
      <c r="L143" s="5">
        <f>453 / 86400</f>
        <v>5.2430555555555555E-3</v>
      </c>
    </row>
    <row r="144" spans="1:12" x14ac:dyDescent="0.25">
      <c r="A144" s="3">
        <v>45692.680902777778</v>
      </c>
      <c r="B144" t="s">
        <v>146</v>
      </c>
      <c r="C144" s="3">
        <v>45692.683668981481</v>
      </c>
      <c r="D144" t="s">
        <v>128</v>
      </c>
      <c r="E144" s="4">
        <v>7.0000000000000007E-2</v>
      </c>
      <c r="F144" s="4">
        <v>19956.87</v>
      </c>
      <c r="G144" s="4">
        <v>19956.939999999999</v>
      </c>
      <c r="H144" s="5">
        <f>179 / 86400</f>
        <v>2.0717592592592593E-3</v>
      </c>
      <c r="I144" t="s">
        <v>43</v>
      </c>
      <c r="J144" t="s">
        <v>125</v>
      </c>
      <c r="K144" s="5">
        <f>238 / 86400</f>
        <v>2.7546296296296294E-3</v>
      </c>
      <c r="L144" s="5">
        <f>294 / 86400</f>
        <v>3.4027777777777776E-3</v>
      </c>
    </row>
    <row r="145" spans="1:12" x14ac:dyDescent="0.25">
      <c r="A145" s="3">
        <v>45692.687071759261</v>
      </c>
      <c r="B145" t="s">
        <v>128</v>
      </c>
      <c r="C145" s="3">
        <v>45692.688946759255</v>
      </c>
      <c r="D145" t="s">
        <v>128</v>
      </c>
      <c r="E145" s="4">
        <v>2.5000000000000001E-2</v>
      </c>
      <c r="F145" s="4">
        <v>19956.939999999999</v>
      </c>
      <c r="G145" s="4">
        <v>19956.965</v>
      </c>
      <c r="H145" s="5">
        <f>120 / 86400</f>
        <v>1.3888888888888889E-3</v>
      </c>
      <c r="I145" t="s">
        <v>137</v>
      </c>
      <c r="J145" t="s">
        <v>125</v>
      </c>
      <c r="K145" s="5">
        <f>162 / 86400</f>
        <v>1.8749999999999999E-3</v>
      </c>
      <c r="L145" s="5">
        <f>1018 / 86400</f>
        <v>1.1782407407407408E-2</v>
      </c>
    </row>
    <row r="146" spans="1:12" x14ac:dyDescent="0.25">
      <c r="A146" s="3">
        <v>45692.700729166667</v>
      </c>
      <c r="B146" t="s">
        <v>128</v>
      </c>
      <c r="C146" s="3">
        <v>45692.703287037039</v>
      </c>
      <c r="D146" t="s">
        <v>146</v>
      </c>
      <c r="E146" s="4">
        <v>8.1000000000000003E-2</v>
      </c>
      <c r="F146" s="4">
        <v>19956.965</v>
      </c>
      <c r="G146" s="4">
        <v>19957.045999999998</v>
      </c>
      <c r="H146" s="5">
        <f>179 / 86400</f>
        <v>2.0717592592592593E-3</v>
      </c>
      <c r="I146" t="s">
        <v>158</v>
      </c>
      <c r="J146" t="s">
        <v>125</v>
      </c>
      <c r="K146" s="5">
        <f>220 / 86400</f>
        <v>2.5462962962962965E-3</v>
      </c>
      <c r="L146" s="5">
        <f>291 / 86400</f>
        <v>3.3680555555555556E-3</v>
      </c>
    </row>
    <row r="147" spans="1:12" x14ac:dyDescent="0.25">
      <c r="A147" s="3">
        <v>45692.706655092596</v>
      </c>
      <c r="B147" t="s">
        <v>146</v>
      </c>
      <c r="C147" s="3">
        <v>45692.709016203706</v>
      </c>
      <c r="D147" t="s">
        <v>129</v>
      </c>
      <c r="E147" s="4">
        <v>0.82099999999999995</v>
      </c>
      <c r="F147" s="4">
        <v>19957.045999999998</v>
      </c>
      <c r="G147" s="4">
        <v>19957.866999999998</v>
      </c>
      <c r="H147" s="5">
        <f>20 / 86400</f>
        <v>2.3148148148148149E-4</v>
      </c>
      <c r="I147" t="s">
        <v>159</v>
      </c>
      <c r="J147" t="s">
        <v>28</v>
      </c>
      <c r="K147" s="5">
        <f>204 / 86400</f>
        <v>2.3611111111111111E-3</v>
      </c>
      <c r="L147" s="5">
        <f>14 / 86400</f>
        <v>1.6203703703703703E-4</v>
      </c>
    </row>
    <row r="148" spans="1:12" x14ac:dyDescent="0.25">
      <c r="A148" s="3">
        <v>45692.709178240737</v>
      </c>
      <c r="B148" t="s">
        <v>129</v>
      </c>
      <c r="C148" s="3">
        <v>45692.709618055553</v>
      </c>
      <c r="D148" t="s">
        <v>129</v>
      </c>
      <c r="E148" s="4">
        <v>2.3E-2</v>
      </c>
      <c r="F148" s="4">
        <v>19957.866999999998</v>
      </c>
      <c r="G148" s="4">
        <v>19957.89</v>
      </c>
      <c r="H148" s="5">
        <f>5 / 86400</f>
        <v>5.7870370370370373E-5</v>
      </c>
      <c r="I148" t="s">
        <v>160</v>
      </c>
      <c r="J148" t="s">
        <v>161</v>
      </c>
      <c r="K148" s="5">
        <f>38 / 86400</f>
        <v>4.3981481481481481E-4</v>
      </c>
      <c r="L148" s="5">
        <f>189 / 86400</f>
        <v>2.1875000000000002E-3</v>
      </c>
    </row>
    <row r="149" spans="1:12" x14ac:dyDescent="0.25">
      <c r="A149" s="3">
        <v>45692.711805555555</v>
      </c>
      <c r="B149" t="s">
        <v>129</v>
      </c>
      <c r="C149" s="3">
        <v>45692.913090277776</v>
      </c>
      <c r="D149" t="s">
        <v>162</v>
      </c>
      <c r="E149" s="4">
        <v>75.180999999999997</v>
      </c>
      <c r="F149" s="4">
        <v>19957.89</v>
      </c>
      <c r="G149" s="4">
        <v>20033.071</v>
      </c>
      <c r="H149" s="5">
        <f>5740 / 86400</f>
        <v>6.643518518518518E-2</v>
      </c>
      <c r="I149" t="s">
        <v>27</v>
      </c>
      <c r="J149" t="s">
        <v>36</v>
      </c>
      <c r="K149" s="5">
        <f>17391 / 86400</f>
        <v>0.20128472222222221</v>
      </c>
      <c r="L149" s="5">
        <f>3130 / 86400</f>
        <v>3.622685185185185E-2</v>
      </c>
    </row>
    <row r="150" spans="1:12" x14ac:dyDescent="0.25">
      <c r="A150" s="3">
        <v>45692.949317129634</v>
      </c>
      <c r="B150" t="s">
        <v>162</v>
      </c>
      <c r="C150" s="3">
        <v>45692.96497685185</v>
      </c>
      <c r="D150" t="s">
        <v>26</v>
      </c>
      <c r="E150" s="4">
        <v>2.8279999999999998</v>
      </c>
      <c r="F150" s="4">
        <v>20033.071</v>
      </c>
      <c r="G150" s="4">
        <v>20035.899000000001</v>
      </c>
      <c r="H150" s="5">
        <f>399 / 86400</f>
        <v>4.6180555555555558E-3</v>
      </c>
      <c r="I150" t="s">
        <v>31</v>
      </c>
      <c r="J150" t="s">
        <v>135</v>
      </c>
      <c r="K150" s="5">
        <f>1352 / 86400</f>
        <v>1.5648148148148147E-2</v>
      </c>
      <c r="L150" s="5">
        <f>3025 / 86400</f>
        <v>3.5011574074074077E-2</v>
      </c>
    </row>
    <row r="151" spans="1:12" x14ac:dyDescent="0.25">
      <c r="A151" s="12"/>
      <c r="B151" s="12"/>
      <c r="C151" s="12"/>
      <c r="D151" s="12"/>
      <c r="E151" s="12"/>
      <c r="F151" s="12"/>
      <c r="G151" s="12"/>
      <c r="H151" s="12"/>
      <c r="I151" s="12"/>
      <c r="J151" s="12"/>
    </row>
    <row r="152" spans="1:12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s="12"/>
    </row>
    <row r="153" spans="1:12" s="10" customFormat="1" ht="20.100000000000001" customHeight="1" x14ac:dyDescent="0.35">
      <c r="A153" s="15" t="s">
        <v>286</v>
      </c>
      <c r="B153" s="15"/>
      <c r="C153" s="15"/>
      <c r="D153" s="15"/>
      <c r="E153" s="15"/>
      <c r="F153" s="15"/>
      <c r="G153" s="15"/>
      <c r="H153" s="15"/>
      <c r="I153" s="15"/>
      <c r="J153" s="15"/>
    </row>
    <row r="154" spans="1:12" x14ac:dyDescent="0.25">
      <c r="A154" s="12"/>
      <c r="B154" s="12"/>
      <c r="C154" s="12"/>
      <c r="D154" s="12"/>
      <c r="E154" s="12"/>
      <c r="F154" s="12"/>
      <c r="G154" s="12"/>
      <c r="H154" s="12"/>
      <c r="I154" s="12"/>
      <c r="J154" s="12"/>
    </row>
    <row r="155" spans="1:12" ht="30" x14ac:dyDescent="0.25">
      <c r="A155" s="2" t="s">
        <v>6</v>
      </c>
      <c r="B155" s="2" t="s">
        <v>7</v>
      </c>
      <c r="C155" s="2" t="s">
        <v>8</v>
      </c>
      <c r="D155" s="2" t="s">
        <v>9</v>
      </c>
      <c r="E155" s="2" t="s">
        <v>10</v>
      </c>
      <c r="F155" s="2" t="s">
        <v>11</v>
      </c>
      <c r="G155" s="2" t="s">
        <v>12</v>
      </c>
      <c r="H155" s="2" t="s">
        <v>13</v>
      </c>
      <c r="I155" s="2" t="s">
        <v>14</v>
      </c>
      <c r="J155" s="2" t="s">
        <v>15</v>
      </c>
      <c r="K155" s="2" t="s">
        <v>16</v>
      </c>
      <c r="L155" s="2" t="s">
        <v>17</v>
      </c>
    </row>
    <row r="156" spans="1:12" x14ac:dyDescent="0.25">
      <c r="A156" s="3">
        <v>45692.243877314817</v>
      </c>
      <c r="B156" t="s">
        <v>29</v>
      </c>
      <c r="C156" s="3">
        <v>45692.244212962964</v>
      </c>
      <c r="D156" t="s">
        <v>29</v>
      </c>
      <c r="E156" s="4">
        <v>0</v>
      </c>
      <c r="F156" s="4">
        <v>511654.54800000001</v>
      </c>
      <c r="G156" s="4">
        <v>511654.54800000001</v>
      </c>
      <c r="H156" s="5">
        <f>19 / 86400</f>
        <v>2.199074074074074E-4</v>
      </c>
      <c r="I156" t="s">
        <v>55</v>
      </c>
      <c r="J156" t="s">
        <v>55</v>
      </c>
      <c r="K156" s="5">
        <f>29 / 86400</f>
        <v>3.3564814814814812E-4</v>
      </c>
      <c r="L156" s="5">
        <f>21100 / 86400</f>
        <v>0.24421296296296297</v>
      </c>
    </row>
    <row r="157" spans="1:12" x14ac:dyDescent="0.25">
      <c r="A157" s="3">
        <v>45692.24454861111</v>
      </c>
      <c r="B157" t="s">
        <v>29</v>
      </c>
      <c r="C157" s="3">
        <v>45692.258148148147</v>
      </c>
      <c r="D157" t="s">
        <v>163</v>
      </c>
      <c r="E157" s="4">
        <v>4.117</v>
      </c>
      <c r="F157" s="4">
        <v>511654.54800000001</v>
      </c>
      <c r="G157" s="4">
        <v>511658.66499999998</v>
      </c>
      <c r="H157" s="5">
        <f>459 / 86400</f>
        <v>5.3125000000000004E-3</v>
      </c>
      <c r="I157" t="s">
        <v>164</v>
      </c>
      <c r="J157" t="s">
        <v>58</v>
      </c>
      <c r="K157" s="5">
        <f>1175 / 86400</f>
        <v>1.3599537037037037E-2</v>
      </c>
      <c r="L157" s="5">
        <f>602 / 86400</f>
        <v>6.9675925925925929E-3</v>
      </c>
    </row>
    <row r="158" spans="1:12" x14ac:dyDescent="0.25">
      <c r="A158" s="3">
        <v>45692.265115740738</v>
      </c>
      <c r="B158" t="s">
        <v>163</v>
      </c>
      <c r="C158" s="3">
        <v>45692.334247685183</v>
      </c>
      <c r="D158" t="s">
        <v>165</v>
      </c>
      <c r="E158" s="4">
        <v>29.745000000000001</v>
      </c>
      <c r="F158" s="4">
        <v>511658.66499999998</v>
      </c>
      <c r="G158" s="4">
        <v>511688.41</v>
      </c>
      <c r="H158" s="5">
        <f>2638 / 86400</f>
        <v>3.0532407407407407E-2</v>
      </c>
      <c r="I158" t="s">
        <v>35</v>
      </c>
      <c r="J158" t="s">
        <v>31</v>
      </c>
      <c r="K158" s="5">
        <f>5972 / 86400</f>
        <v>6.9120370370370374E-2</v>
      </c>
      <c r="L158" s="5">
        <f>24 / 86400</f>
        <v>2.7777777777777778E-4</v>
      </c>
    </row>
    <row r="159" spans="1:12" x14ac:dyDescent="0.25">
      <c r="A159" s="3">
        <v>45692.334525462968</v>
      </c>
      <c r="B159" t="s">
        <v>165</v>
      </c>
      <c r="C159" s="3">
        <v>45692.334629629629</v>
      </c>
      <c r="D159" t="s">
        <v>166</v>
      </c>
      <c r="E159" s="4">
        <v>1E-3</v>
      </c>
      <c r="F159" s="4">
        <v>511688.41</v>
      </c>
      <c r="G159" s="4">
        <v>511688.41100000002</v>
      </c>
      <c r="H159" s="5">
        <f>0 / 86400</f>
        <v>0</v>
      </c>
      <c r="I159" t="s">
        <v>55</v>
      </c>
      <c r="J159" t="s">
        <v>55</v>
      </c>
      <c r="K159" s="5">
        <f>9 / 86400</f>
        <v>1.0416666666666667E-4</v>
      </c>
      <c r="L159" s="5">
        <f>3160 / 86400</f>
        <v>3.6574074074074071E-2</v>
      </c>
    </row>
    <row r="160" spans="1:12" x14ac:dyDescent="0.25">
      <c r="A160" s="3">
        <v>45692.371203703704</v>
      </c>
      <c r="B160" t="s">
        <v>166</v>
      </c>
      <c r="C160" s="3">
        <v>45692.374907407408</v>
      </c>
      <c r="D160" t="s">
        <v>148</v>
      </c>
      <c r="E160" s="4">
        <v>0.90600000000000003</v>
      </c>
      <c r="F160" s="4">
        <v>511688.41100000002</v>
      </c>
      <c r="G160" s="4">
        <v>511689.31699999998</v>
      </c>
      <c r="H160" s="5">
        <f>40 / 86400</f>
        <v>4.6296296296296298E-4</v>
      </c>
      <c r="I160" t="s">
        <v>167</v>
      </c>
      <c r="J160" t="s">
        <v>158</v>
      </c>
      <c r="K160" s="5">
        <f>319 / 86400</f>
        <v>3.6921296296296298E-3</v>
      </c>
      <c r="L160" s="5">
        <f>11 / 86400</f>
        <v>1.273148148148148E-4</v>
      </c>
    </row>
    <row r="161" spans="1:12" x14ac:dyDescent="0.25">
      <c r="A161" s="3">
        <v>45692.375034722223</v>
      </c>
      <c r="B161" t="s">
        <v>148</v>
      </c>
      <c r="C161" s="3">
        <v>45692.375127314815</v>
      </c>
      <c r="D161" t="s">
        <v>148</v>
      </c>
      <c r="E161" s="4">
        <v>1E-3</v>
      </c>
      <c r="F161" s="4">
        <v>511689.31699999998</v>
      </c>
      <c r="G161" s="4">
        <v>511689.31800000003</v>
      </c>
      <c r="H161" s="5">
        <f>0 / 86400</f>
        <v>0</v>
      </c>
      <c r="I161" t="s">
        <v>55</v>
      </c>
      <c r="J161" t="s">
        <v>55</v>
      </c>
      <c r="K161" s="5">
        <f>8 / 86400</f>
        <v>9.2592592592592588E-5</v>
      </c>
      <c r="L161" s="5">
        <f>2113 / 86400</f>
        <v>2.4456018518518519E-2</v>
      </c>
    </row>
    <row r="162" spans="1:12" x14ac:dyDescent="0.25">
      <c r="A162" s="3">
        <v>45692.399583333332</v>
      </c>
      <c r="B162" t="s">
        <v>148</v>
      </c>
      <c r="C162" s="3">
        <v>45692.404050925921</v>
      </c>
      <c r="D162" t="s">
        <v>128</v>
      </c>
      <c r="E162" s="4">
        <v>1.3620000000000001</v>
      </c>
      <c r="F162" s="4">
        <v>511689.31800000003</v>
      </c>
      <c r="G162" s="4">
        <v>511690.68</v>
      </c>
      <c r="H162" s="5">
        <f>60 / 86400</f>
        <v>6.9444444444444447E-4</v>
      </c>
      <c r="I162" t="s">
        <v>152</v>
      </c>
      <c r="J162" t="s">
        <v>58</v>
      </c>
      <c r="K162" s="5">
        <f>386 / 86400</f>
        <v>4.4675925925925924E-3</v>
      </c>
      <c r="L162" s="5">
        <f>986 / 86400</f>
        <v>1.1412037037037037E-2</v>
      </c>
    </row>
    <row r="163" spans="1:12" x14ac:dyDescent="0.25">
      <c r="A163" s="3">
        <v>45692.415462962963</v>
      </c>
      <c r="B163" t="s">
        <v>128</v>
      </c>
      <c r="C163" s="3">
        <v>45692.524525462963</v>
      </c>
      <c r="D163" t="s">
        <v>168</v>
      </c>
      <c r="E163" s="4">
        <v>49.713000000000001</v>
      </c>
      <c r="F163" s="4">
        <v>511690.68</v>
      </c>
      <c r="G163" s="4">
        <v>511740.39299999998</v>
      </c>
      <c r="H163" s="5">
        <f>2420 / 86400</f>
        <v>2.8009259259259258E-2</v>
      </c>
      <c r="I163" t="s">
        <v>30</v>
      </c>
      <c r="J163" t="s">
        <v>70</v>
      </c>
      <c r="K163" s="5">
        <f>9423 / 86400</f>
        <v>0.10906250000000001</v>
      </c>
      <c r="L163" s="5">
        <f>943 / 86400</f>
        <v>1.0914351851851852E-2</v>
      </c>
    </row>
    <row r="164" spans="1:12" x14ac:dyDescent="0.25">
      <c r="A164" s="3">
        <v>45692.535439814819</v>
      </c>
      <c r="B164" t="s">
        <v>169</v>
      </c>
      <c r="C164" s="3">
        <v>45692.672592592593</v>
      </c>
      <c r="D164" t="s">
        <v>165</v>
      </c>
      <c r="E164" s="4">
        <v>51.435000000000002</v>
      </c>
      <c r="F164" s="4">
        <v>511740.39299999998</v>
      </c>
      <c r="G164" s="4">
        <v>511791.82799999998</v>
      </c>
      <c r="H164" s="5">
        <f>4320 / 86400</f>
        <v>0.05</v>
      </c>
      <c r="I164" t="s">
        <v>109</v>
      </c>
      <c r="J164" t="s">
        <v>36</v>
      </c>
      <c r="K164" s="5">
        <f>11850 / 86400</f>
        <v>0.13715277777777779</v>
      </c>
      <c r="L164" s="5">
        <f>2918 / 86400</f>
        <v>3.3773148148148149E-2</v>
      </c>
    </row>
    <row r="165" spans="1:12" x14ac:dyDescent="0.25">
      <c r="A165" s="3">
        <v>45692.706365740742</v>
      </c>
      <c r="B165" t="s">
        <v>165</v>
      </c>
      <c r="C165" s="3">
        <v>45692.709004629629</v>
      </c>
      <c r="D165" t="s">
        <v>128</v>
      </c>
      <c r="E165" s="4">
        <v>0.91300000000000003</v>
      </c>
      <c r="F165" s="4">
        <v>511791.82799999998</v>
      </c>
      <c r="G165" s="4">
        <v>511792.74099999998</v>
      </c>
      <c r="H165" s="5">
        <f>0 / 86400</f>
        <v>0</v>
      </c>
      <c r="I165" t="s">
        <v>167</v>
      </c>
      <c r="J165" t="s">
        <v>28</v>
      </c>
      <c r="K165" s="5">
        <f>228 / 86400</f>
        <v>2.638888888888889E-3</v>
      </c>
      <c r="L165" s="5">
        <f>255 / 86400</f>
        <v>2.9513888888888888E-3</v>
      </c>
    </row>
    <row r="166" spans="1:12" x14ac:dyDescent="0.25">
      <c r="A166" s="3">
        <v>45692.711956018524</v>
      </c>
      <c r="B166" t="s">
        <v>128</v>
      </c>
      <c r="C166" s="3">
        <v>45692.712372685186</v>
      </c>
      <c r="D166" t="s">
        <v>128</v>
      </c>
      <c r="E166" s="4">
        <v>3.5000000000000003E-2</v>
      </c>
      <c r="F166" s="4">
        <v>511792.74099999998</v>
      </c>
      <c r="G166" s="4">
        <v>511792.77600000001</v>
      </c>
      <c r="H166" s="5">
        <f>20 / 86400</f>
        <v>2.3148148148148149E-4</v>
      </c>
      <c r="I166" t="s">
        <v>54</v>
      </c>
      <c r="J166" t="s">
        <v>160</v>
      </c>
      <c r="K166" s="5">
        <f>36 / 86400</f>
        <v>4.1666666666666669E-4</v>
      </c>
      <c r="L166" s="5">
        <f>1136 / 86400</f>
        <v>1.3148148148148148E-2</v>
      </c>
    </row>
    <row r="167" spans="1:12" x14ac:dyDescent="0.25">
      <c r="A167" s="3">
        <v>45692.725520833337</v>
      </c>
      <c r="B167" t="s">
        <v>128</v>
      </c>
      <c r="C167" s="3">
        <v>45692.879236111112</v>
      </c>
      <c r="D167" t="s">
        <v>170</v>
      </c>
      <c r="E167" s="4">
        <v>66.933000000000007</v>
      </c>
      <c r="F167" s="4">
        <v>511792.77600000001</v>
      </c>
      <c r="G167" s="4">
        <v>511859.70899999997</v>
      </c>
      <c r="H167" s="5">
        <f>3702 / 86400</f>
        <v>4.2847222222222224E-2</v>
      </c>
      <c r="I167" t="s">
        <v>30</v>
      </c>
      <c r="J167" t="s">
        <v>31</v>
      </c>
      <c r="K167" s="5">
        <f>13281 / 86400</f>
        <v>0.15371527777777777</v>
      </c>
      <c r="L167" s="5">
        <f>124 / 86400</f>
        <v>1.4351851851851852E-3</v>
      </c>
    </row>
    <row r="168" spans="1:12" x14ac:dyDescent="0.25">
      <c r="A168" s="3">
        <v>45692.880671296298</v>
      </c>
      <c r="B168" t="s">
        <v>170</v>
      </c>
      <c r="C168" s="3">
        <v>45692.88113425926</v>
      </c>
      <c r="D168" t="s">
        <v>170</v>
      </c>
      <c r="E168" s="4">
        <v>0.04</v>
      </c>
      <c r="F168" s="4">
        <v>511859.70899999997</v>
      </c>
      <c r="G168" s="4">
        <v>511859.74900000001</v>
      </c>
      <c r="H168" s="5">
        <f>0 / 86400</f>
        <v>0</v>
      </c>
      <c r="I168" t="s">
        <v>43</v>
      </c>
      <c r="J168" t="s">
        <v>160</v>
      </c>
      <c r="K168" s="5">
        <f>40 / 86400</f>
        <v>4.6296296296296298E-4</v>
      </c>
      <c r="L168" s="5">
        <f>390 / 86400</f>
        <v>4.5138888888888885E-3</v>
      </c>
    </row>
    <row r="169" spans="1:12" x14ac:dyDescent="0.25">
      <c r="A169" s="3">
        <v>45692.885648148149</v>
      </c>
      <c r="B169" t="s">
        <v>104</v>
      </c>
      <c r="C169" s="3">
        <v>45692.886863425927</v>
      </c>
      <c r="D169" t="s">
        <v>171</v>
      </c>
      <c r="E169" s="4">
        <v>0.40699999999999997</v>
      </c>
      <c r="F169" s="4">
        <v>511859.74900000001</v>
      </c>
      <c r="G169" s="4">
        <v>511860.15600000002</v>
      </c>
      <c r="H169" s="5">
        <f>20 / 86400</f>
        <v>2.3148148148148149E-4</v>
      </c>
      <c r="I169" t="s">
        <v>114</v>
      </c>
      <c r="J169" t="s">
        <v>28</v>
      </c>
      <c r="K169" s="5">
        <f>105 / 86400</f>
        <v>1.2152777777777778E-3</v>
      </c>
      <c r="L169" s="5">
        <f>86 / 86400</f>
        <v>9.9537037037037042E-4</v>
      </c>
    </row>
    <row r="170" spans="1:12" x14ac:dyDescent="0.25">
      <c r="A170" s="3">
        <v>45692.887858796297</v>
      </c>
      <c r="B170" t="s">
        <v>171</v>
      </c>
      <c r="C170" s="3">
        <v>45692.906782407408</v>
      </c>
      <c r="D170" t="s">
        <v>172</v>
      </c>
      <c r="E170" s="4">
        <v>14.157</v>
      </c>
      <c r="F170" s="4">
        <v>511860.15600000002</v>
      </c>
      <c r="G170" s="4">
        <v>511874.31300000002</v>
      </c>
      <c r="H170" s="5">
        <f>340 / 86400</f>
        <v>3.9351851851851848E-3</v>
      </c>
      <c r="I170" t="s">
        <v>33</v>
      </c>
      <c r="J170" t="s">
        <v>173</v>
      </c>
      <c r="K170" s="5">
        <f>1635 / 86400</f>
        <v>1.892361111111111E-2</v>
      </c>
      <c r="L170" s="5">
        <f>94 / 86400</f>
        <v>1.0879629629629629E-3</v>
      </c>
    </row>
    <row r="171" spans="1:12" x14ac:dyDescent="0.25">
      <c r="A171" s="3">
        <v>45692.907870370371</v>
      </c>
      <c r="B171" t="s">
        <v>172</v>
      </c>
      <c r="C171" s="3">
        <v>45692.908020833333</v>
      </c>
      <c r="D171" t="s">
        <v>172</v>
      </c>
      <c r="E171" s="4">
        <v>4.0000000000000001E-3</v>
      </c>
      <c r="F171" s="4">
        <v>511874.31300000002</v>
      </c>
      <c r="G171" s="4">
        <v>511874.31699999998</v>
      </c>
      <c r="H171" s="5">
        <f>0 / 86400</f>
        <v>0</v>
      </c>
      <c r="I171" t="s">
        <v>55</v>
      </c>
      <c r="J171" t="s">
        <v>125</v>
      </c>
      <c r="K171" s="5">
        <f>12 / 86400</f>
        <v>1.3888888888888889E-4</v>
      </c>
      <c r="L171" s="5">
        <f>1521 / 86400</f>
        <v>1.7604166666666667E-2</v>
      </c>
    </row>
    <row r="172" spans="1:12" x14ac:dyDescent="0.25">
      <c r="A172" s="3">
        <v>45692.925625000003</v>
      </c>
      <c r="B172" t="s">
        <v>172</v>
      </c>
      <c r="C172" s="3">
        <v>45692.933240740742</v>
      </c>
      <c r="D172" t="s">
        <v>29</v>
      </c>
      <c r="E172" s="4">
        <v>1.6439999999999999</v>
      </c>
      <c r="F172" s="4">
        <v>511874.31699999998</v>
      </c>
      <c r="G172" s="4">
        <v>511875.96100000001</v>
      </c>
      <c r="H172" s="5">
        <f>279 / 86400</f>
        <v>3.2291666666666666E-3</v>
      </c>
      <c r="I172" t="s">
        <v>147</v>
      </c>
      <c r="J172" t="s">
        <v>54</v>
      </c>
      <c r="K172" s="5">
        <f>658 / 86400</f>
        <v>7.6157407407407406E-3</v>
      </c>
      <c r="L172" s="5">
        <f>5767 / 86400</f>
        <v>6.6747685185185188E-2</v>
      </c>
    </row>
    <row r="173" spans="1:12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s="12"/>
    </row>
    <row r="174" spans="1:12" x14ac:dyDescent="0.25">
      <c r="A174" s="12"/>
      <c r="B174" s="12"/>
      <c r="C174" s="12"/>
      <c r="D174" s="12"/>
      <c r="E174" s="12"/>
      <c r="F174" s="12"/>
      <c r="G174" s="12"/>
      <c r="H174" s="12"/>
      <c r="I174" s="12"/>
      <c r="J174" s="12"/>
    </row>
    <row r="175" spans="1:12" s="10" customFormat="1" ht="20.100000000000001" customHeight="1" x14ac:dyDescent="0.35">
      <c r="A175" s="15" t="s">
        <v>287</v>
      </c>
      <c r="B175" s="15"/>
      <c r="C175" s="15"/>
      <c r="D175" s="15"/>
      <c r="E175" s="15"/>
      <c r="F175" s="15"/>
      <c r="G175" s="15"/>
      <c r="H175" s="15"/>
      <c r="I175" s="15"/>
      <c r="J175" s="15"/>
    </row>
    <row r="176" spans="1:12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</row>
    <row r="177" spans="1:12" ht="30" x14ac:dyDescent="0.25">
      <c r="A177" s="2" t="s">
        <v>6</v>
      </c>
      <c r="B177" s="2" t="s">
        <v>7</v>
      </c>
      <c r="C177" s="2" t="s">
        <v>8</v>
      </c>
      <c r="D177" s="2" t="s">
        <v>9</v>
      </c>
      <c r="E177" s="2" t="s">
        <v>10</v>
      </c>
      <c r="F177" s="2" t="s">
        <v>11</v>
      </c>
      <c r="G177" s="2" t="s">
        <v>12</v>
      </c>
      <c r="H177" s="2" t="s">
        <v>13</v>
      </c>
      <c r="I177" s="2" t="s">
        <v>14</v>
      </c>
      <c r="J177" s="2" t="s">
        <v>15</v>
      </c>
      <c r="K177" s="2" t="s">
        <v>16</v>
      </c>
      <c r="L177" s="2" t="s">
        <v>17</v>
      </c>
    </row>
    <row r="178" spans="1:12" x14ac:dyDescent="0.25">
      <c r="A178" s="3">
        <v>45692.225474537037</v>
      </c>
      <c r="B178" t="s">
        <v>26</v>
      </c>
      <c r="C178" s="3">
        <v>45692.453703703708</v>
      </c>
      <c r="D178" t="s">
        <v>128</v>
      </c>
      <c r="E178" s="4">
        <v>83.338999999999999</v>
      </c>
      <c r="F178" s="4">
        <v>90885.899000000005</v>
      </c>
      <c r="G178" s="4">
        <v>90969.237999999998</v>
      </c>
      <c r="H178" s="5">
        <f>6239 / 86400</f>
        <v>7.2210648148148149E-2</v>
      </c>
      <c r="I178" t="s">
        <v>32</v>
      </c>
      <c r="J178" t="s">
        <v>20</v>
      </c>
      <c r="K178" s="5">
        <f>19718 / 86400</f>
        <v>0.22821759259259258</v>
      </c>
      <c r="L178" s="5">
        <f>19963 / 86400</f>
        <v>0.23105324074074074</v>
      </c>
    </row>
    <row r="179" spans="1:12" x14ac:dyDescent="0.25">
      <c r="A179" s="3">
        <v>45692.459282407406</v>
      </c>
      <c r="B179" t="s">
        <v>128</v>
      </c>
      <c r="C179" s="3">
        <v>45692.46030092593</v>
      </c>
      <c r="D179" t="s">
        <v>128</v>
      </c>
      <c r="E179" s="4">
        <v>0.109</v>
      </c>
      <c r="F179" s="4">
        <v>90969.237999999998</v>
      </c>
      <c r="G179" s="4">
        <v>90969.346999999994</v>
      </c>
      <c r="H179" s="5">
        <f>0 / 86400</f>
        <v>0</v>
      </c>
      <c r="I179" t="s">
        <v>54</v>
      </c>
      <c r="J179" t="s">
        <v>160</v>
      </c>
      <c r="K179" s="5">
        <f>88 / 86400</f>
        <v>1.0185185185185184E-3</v>
      </c>
      <c r="L179" s="5">
        <f>14 / 86400</f>
        <v>1.6203703703703703E-4</v>
      </c>
    </row>
    <row r="180" spans="1:12" x14ac:dyDescent="0.25">
      <c r="A180" s="3">
        <v>45692.460462962961</v>
      </c>
      <c r="B180" t="s">
        <v>128</v>
      </c>
      <c r="C180" s="3">
        <v>45692.4605787037</v>
      </c>
      <c r="D180" t="s">
        <v>128</v>
      </c>
      <c r="E180" s="4">
        <v>0</v>
      </c>
      <c r="F180" s="4">
        <v>90969.346999999994</v>
      </c>
      <c r="G180" s="4">
        <v>90969.346999999994</v>
      </c>
      <c r="H180" s="5">
        <f>0 / 86400</f>
        <v>0</v>
      </c>
      <c r="I180" t="s">
        <v>55</v>
      </c>
      <c r="J180" t="s">
        <v>55</v>
      </c>
      <c r="K180" s="5">
        <f>10 / 86400</f>
        <v>1.1574074074074075E-4</v>
      </c>
      <c r="L180" s="5">
        <f>758 / 86400</f>
        <v>8.773148148148148E-3</v>
      </c>
    </row>
    <row r="181" spans="1:12" x14ac:dyDescent="0.25">
      <c r="A181" s="3">
        <v>45692.469351851847</v>
      </c>
      <c r="B181" t="s">
        <v>128</v>
      </c>
      <c r="C181" s="3">
        <v>45692.471354166672</v>
      </c>
      <c r="D181" t="s">
        <v>44</v>
      </c>
      <c r="E181" s="4">
        <v>0.54300000000000004</v>
      </c>
      <c r="F181" s="4">
        <v>90969.346999999994</v>
      </c>
      <c r="G181" s="4">
        <v>90969.89</v>
      </c>
      <c r="H181" s="5">
        <f>0 / 86400</f>
        <v>0</v>
      </c>
      <c r="I181" t="s">
        <v>150</v>
      </c>
      <c r="J181" t="s">
        <v>174</v>
      </c>
      <c r="K181" s="5">
        <f>173 / 86400</f>
        <v>2.0023148148148148E-3</v>
      </c>
      <c r="L181" s="5">
        <f>736 / 86400</f>
        <v>8.518518518518519E-3</v>
      </c>
    </row>
    <row r="182" spans="1:12" x14ac:dyDescent="0.25">
      <c r="A182" s="3">
        <v>45692.479872685188</v>
      </c>
      <c r="B182" t="s">
        <v>44</v>
      </c>
      <c r="C182" s="3">
        <v>45692.494386574079</v>
      </c>
      <c r="D182" t="s">
        <v>44</v>
      </c>
      <c r="E182" s="4">
        <v>0.17100000000000001</v>
      </c>
      <c r="F182" s="4">
        <v>90969.89</v>
      </c>
      <c r="G182" s="4">
        <v>90970.061000000002</v>
      </c>
      <c r="H182" s="5">
        <f>1099 / 86400</f>
        <v>1.2719907407407407E-2</v>
      </c>
      <c r="I182" t="s">
        <v>135</v>
      </c>
      <c r="J182" t="s">
        <v>55</v>
      </c>
      <c r="K182" s="5">
        <f>1254 / 86400</f>
        <v>1.4513888888888889E-2</v>
      </c>
      <c r="L182" s="5">
        <f>928 / 86400</f>
        <v>1.074074074074074E-2</v>
      </c>
    </row>
    <row r="183" spans="1:12" x14ac:dyDescent="0.25">
      <c r="A183" s="3">
        <v>45692.505127314813</v>
      </c>
      <c r="B183" t="s">
        <v>44</v>
      </c>
      <c r="C183" s="3">
        <v>45692.507557870369</v>
      </c>
      <c r="D183" t="s">
        <v>175</v>
      </c>
      <c r="E183" s="4">
        <v>1.0569999999999999</v>
      </c>
      <c r="F183" s="4">
        <v>90970.061000000002</v>
      </c>
      <c r="G183" s="4">
        <v>90971.118000000002</v>
      </c>
      <c r="H183" s="5">
        <f>0 / 86400</f>
        <v>0</v>
      </c>
      <c r="I183" t="s">
        <v>173</v>
      </c>
      <c r="J183" t="s">
        <v>31</v>
      </c>
      <c r="K183" s="5">
        <f>210 / 86400</f>
        <v>2.4305555555555556E-3</v>
      </c>
      <c r="L183" s="5">
        <f>1538 / 86400</f>
        <v>1.7800925925925925E-2</v>
      </c>
    </row>
    <row r="184" spans="1:12" x14ac:dyDescent="0.25">
      <c r="A184" s="3">
        <v>45692.525358796294</v>
      </c>
      <c r="B184" t="s">
        <v>175</v>
      </c>
      <c r="C184" s="3">
        <v>45692.527604166666</v>
      </c>
      <c r="D184" t="s">
        <v>148</v>
      </c>
      <c r="E184" s="4">
        <v>0.67</v>
      </c>
      <c r="F184" s="4">
        <v>90971.118000000002</v>
      </c>
      <c r="G184" s="4">
        <v>90971.788</v>
      </c>
      <c r="H184" s="5">
        <f>0 / 86400</f>
        <v>0</v>
      </c>
      <c r="I184" t="s">
        <v>136</v>
      </c>
      <c r="J184" t="s">
        <v>90</v>
      </c>
      <c r="K184" s="5">
        <f>193 / 86400</f>
        <v>2.2337962962962962E-3</v>
      </c>
      <c r="L184" s="5">
        <f>385 / 86400</f>
        <v>4.4560185185185189E-3</v>
      </c>
    </row>
    <row r="185" spans="1:12" x14ac:dyDescent="0.25">
      <c r="A185" s="3">
        <v>45692.532060185185</v>
      </c>
      <c r="B185" t="s">
        <v>148</v>
      </c>
      <c r="C185" s="3">
        <v>45692.793171296296</v>
      </c>
      <c r="D185" t="s">
        <v>154</v>
      </c>
      <c r="E185" s="4">
        <v>84.347999999999999</v>
      </c>
      <c r="F185" s="4">
        <v>90971.788</v>
      </c>
      <c r="G185" s="4">
        <v>91056.135999999999</v>
      </c>
      <c r="H185" s="5">
        <f>7541 / 86400</f>
        <v>8.728009259259259E-2</v>
      </c>
      <c r="I185" t="s">
        <v>65</v>
      </c>
      <c r="J185" t="s">
        <v>58</v>
      </c>
      <c r="K185" s="5">
        <f>22559 / 86400</f>
        <v>0.26109953703703703</v>
      </c>
      <c r="L185" s="5">
        <f>412 / 86400</f>
        <v>4.7685185185185183E-3</v>
      </c>
    </row>
    <row r="186" spans="1:12" x14ac:dyDescent="0.25">
      <c r="A186" s="3">
        <v>45692.797939814816</v>
      </c>
      <c r="B186" t="s">
        <v>154</v>
      </c>
      <c r="C186" s="3">
        <v>45692.798518518517</v>
      </c>
      <c r="D186" t="s">
        <v>154</v>
      </c>
      <c r="E186" s="4">
        <v>0.13200000000000001</v>
      </c>
      <c r="F186" s="4">
        <v>91056.135999999999</v>
      </c>
      <c r="G186" s="4">
        <v>91056.267999999996</v>
      </c>
      <c r="H186" s="5">
        <f>0 / 86400</f>
        <v>0</v>
      </c>
      <c r="I186" t="s">
        <v>20</v>
      </c>
      <c r="J186" t="s">
        <v>158</v>
      </c>
      <c r="K186" s="5">
        <f>50 / 86400</f>
        <v>5.7870370370370367E-4</v>
      </c>
      <c r="L186" s="5">
        <f>208 / 86400</f>
        <v>2.4074074074074076E-3</v>
      </c>
    </row>
    <row r="187" spans="1:12" x14ac:dyDescent="0.25">
      <c r="A187" s="3">
        <v>45692.800925925927</v>
      </c>
      <c r="B187" t="s">
        <v>154</v>
      </c>
      <c r="C187" s="3">
        <v>45692.803252314814</v>
      </c>
      <c r="D187" t="s">
        <v>26</v>
      </c>
      <c r="E187" s="4">
        <v>0.48699999999999999</v>
      </c>
      <c r="F187" s="4">
        <v>91056.267999999996</v>
      </c>
      <c r="G187" s="4">
        <v>91056.755000000005</v>
      </c>
      <c r="H187" s="5">
        <f>20 / 86400</f>
        <v>2.3148148148148149E-4</v>
      </c>
      <c r="I187" t="s">
        <v>136</v>
      </c>
      <c r="J187" t="s">
        <v>54</v>
      </c>
      <c r="K187" s="5">
        <f>201 / 86400</f>
        <v>2.3263888888888887E-3</v>
      </c>
      <c r="L187" s="5">
        <f>16998 / 86400</f>
        <v>0.19673611111111111</v>
      </c>
    </row>
    <row r="188" spans="1:12" x14ac:dyDescent="0.25">
      <c r="A188" s="12"/>
      <c r="B188" s="12"/>
      <c r="C188" s="12"/>
      <c r="D188" s="12"/>
      <c r="E188" s="12"/>
      <c r="F188" s="12"/>
      <c r="G188" s="12"/>
      <c r="H188" s="12"/>
      <c r="I188" s="12"/>
      <c r="J188" s="12"/>
    </row>
    <row r="189" spans="1:12" x14ac:dyDescent="0.25">
      <c r="A189" s="12"/>
      <c r="B189" s="12"/>
      <c r="C189" s="12"/>
      <c r="D189" s="12"/>
      <c r="E189" s="12"/>
      <c r="F189" s="12"/>
      <c r="G189" s="12"/>
      <c r="H189" s="12"/>
      <c r="I189" s="12"/>
      <c r="J189" s="12"/>
    </row>
    <row r="190" spans="1:12" s="10" customFormat="1" ht="20.100000000000001" customHeight="1" x14ac:dyDescent="0.35">
      <c r="A190" s="15" t="s">
        <v>288</v>
      </c>
      <c r="B190" s="15"/>
      <c r="C190" s="15"/>
      <c r="D190" s="15"/>
      <c r="E190" s="15"/>
      <c r="F190" s="15"/>
      <c r="G190" s="15"/>
      <c r="H190" s="15"/>
      <c r="I190" s="15"/>
      <c r="J190" s="15"/>
    </row>
    <row r="191" spans="1:12" x14ac:dyDescent="0.25">
      <c r="A191" s="12"/>
      <c r="B191" s="12"/>
      <c r="C191" s="12"/>
      <c r="D191" s="12"/>
      <c r="E191" s="12"/>
      <c r="F191" s="12"/>
      <c r="G191" s="12"/>
      <c r="H191" s="12"/>
      <c r="I191" s="12"/>
      <c r="J191" s="12"/>
    </row>
    <row r="192" spans="1:12" ht="30" x14ac:dyDescent="0.25">
      <c r="A192" s="2" t="s">
        <v>6</v>
      </c>
      <c r="B192" s="2" t="s">
        <v>7</v>
      </c>
      <c r="C192" s="2" t="s">
        <v>8</v>
      </c>
      <c r="D192" s="2" t="s">
        <v>9</v>
      </c>
      <c r="E192" s="2" t="s">
        <v>10</v>
      </c>
      <c r="F192" s="2" t="s">
        <v>11</v>
      </c>
      <c r="G192" s="2" t="s">
        <v>12</v>
      </c>
      <c r="H192" s="2" t="s">
        <v>13</v>
      </c>
      <c r="I192" s="2" t="s">
        <v>14</v>
      </c>
      <c r="J192" s="2" t="s">
        <v>15</v>
      </c>
      <c r="K192" s="2" t="s">
        <v>16</v>
      </c>
      <c r="L192" s="2" t="s">
        <v>17</v>
      </c>
    </row>
    <row r="193" spans="1:12" x14ac:dyDescent="0.25">
      <c r="A193" s="3">
        <v>45692.173935185187</v>
      </c>
      <c r="B193" t="s">
        <v>18</v>
      </c>
      <c r="C193" s="3">
        <v>45692.268518518518</v>
      </c>
      <c r="D193" t="s">
        <v>176</v>
      </c>
      <c r="E193" s="4">
        <v>49.487000000000002</v>
      </c>
      <c r="F193" s="4">
        <v>135663.432</v>
      </c>
      <c r="G193" s="4">
        <v>135712.91899999999</v>
      </c>
      <c r="H193" s="5">
        <f>2100 / 86400</f>
        <v>2.4305555555555556E-2</v>
      </c>
      <c r="I193" t="s">
        <v>177</v>
      </c>
      <c r="J193" t="s">
        <v>122</v>
      </c>
      <c r="K193" s="5">
        <f>8172 / 86400</f>
        <v>9.4583333333333339E-2</v>
      </c>
      <c r="L193" s="5">
        <f>15244 / 86400</f>
        <v>0.17643518518518519</v>
      </c>
    </row>
    <row r="194" spans="1:12" x14ac:dyDescent="0.25">
      <c r="A194" s="3">
        <v>45692.271018518513</v>
      </c>
      <c r="B194" t="s">
        <v>176</v>
      </c>
      <c r="C194" s="3">
        <v>45692.272534722222</v>
      </c>
      <c r="D194" t="s">
        <v>148</v>
      </c>
      <c r="E194" s="4">
        <v>0.44600000000000001</v>
      </c>
      <c r="F194" s="4">
        <v>135712.91899999999</v>
      </c>
      <c r="G194" s="4">
        <v>135713.36499999999</v>
      </c>
      <c r="H194" s="5">
        <f>0 / 86400</f>
        <v>0</v>
      </c>
      <c r="I194" t="s">
        <v>122</v>
      </c>
      <c r="J194" t="s">
        <v>90</v>
      </c>
      <c r="K194" s="5">
        <f>131 / 86400</f>
        <v>1.5162037037037036E-3</v>
      </c>
      <c r="L194" s="5">
        <f>938 / 86400</f>
        <v>1.0856481481481481E-2</v>
      </c>
    </row>
    <row r="195" spans="1:12" x14ac:dyDescent="0.25">
      <c r="A195" s="3">
        <v>45692.283391203702</v>
      </c>
      <c r="B195" t="s">
        <v>148</v>
      </c>
      <c r="C195" s="3">
        <v>45692.289085648154</v>
      </c>
      <c r="D195" t="s">
        <v>128</v>
      </c>
      <c r="E195" s="4">
        <v>1.3480000000000001</v>
      </c>
      <c r="F195" s="4">
        <v>135713.36499999999</v>
      </c>
      <c r="G195" s="4">
        <v>135714.71299999999</v>
      </c>
      <c r="H195" s="5">
        <f>200 / 86400</f>
        <v>2.3148148148148147E-3</v>
      </c>
      <c r="I195" t="s">
        <v>159</v>
      </c>
      <c r="J195" t="s">
        <v>158</v>
      </c>
      <c r="K195" s="5">
        <f>492 / 86400</f>
        <v>5.6944444444444447E-3</v>
      </c>
      <c r="L195" s="5">
        <f>657 / 86400</f>
        <v>7.6041666666666671E-3</v>
      </c>
    </row>
    <row r="196" spans="1:12" x14ac:dyDescent="0.25">
      <c r="A196" s="3">
        <v>45692.296689814815</v>
      </c>
      <c r="B196" t="s">
        <v>128</v>
      </c>
      <c r="C196" s="3">
        <v>45692.466851851852</v>
      </c>
      <c r="D196" t="s">
        <v>128</v>
      </c>
      <c r="E196" s="4">
        <v>78.132000000000005</v>
      </c>
      <c r="F196" s="4">
        <v>135714.71299999999</v>
      </c>
      <c r="G196" s="4">
        <v>135792.845</v>
      </c>
      <c r="H196" s="5">
        <f>4498 / 86400</f>
        <v>5.2060185185185189E-2</v>
      </c>
      <c r="I196" t="s">
        <v>33</v>
      </c>
      <c r="J196" t="s">
        <v>70</v>
      </c>
      <c r="K196" s="5">
        <f>14701 / 86400</f>
        <v>0.17015046296296296</v>
      </c>
      <c r="L196" s="5">
        <f>541 / 86400</f>
        <v>6.2615740740740739E-3</v>
      </c>
    </row>
    <row r="197" spans="1:12" x14ac:dyDescent="0.25">
      <c r="A197" s="3">
        <v>45692.473113425927</v>
      </c>
      <c r="B197" t="s">
        <v>128</v>
      </c>
      <c r="C197" s="3">
        <v>45692.474351851852</v>
      </c>
      <c r="D197" t="s">
        <v>128</v>
      </c>
      <c r="E197" s="4">
        <v>4.5999999999999999E-2</v>
      </c>
      <c r="F197" s="4">
        <v>135792.845</v>
      </c>
      <c r="G197" s="4">
        <v>135792.891</v>
      </c>
      <c r="H197" s="5">
        <f>39 / 86400</f>
        <v>4.5138888888888887E-4</v>
      </c>
      <c r="I197" t="s">
        <v>119</v>
      </c>
      <c r="J197" t="s">
        <v>161</v>
      </c>
      <c r="K197" s="5">
        <f>106 / 86400</f>
        <v>1.2268518518518518E-3</v>
      </c>
      <c r="L197" s="5">
        <f>1854 / 86400</f>
        <v>2.1458333333333333E-2</v>
      </c>
    </row>
    <row r="198" spans="1:12" x14ac:dyDescent="0.25">
      <c r="A198" s="3">
        <v>45692.495810185181</v>
      </c>
      <c r="B198" t="s">
        <v>128</v>
      </c>
      <c r="C198" s="3">
        <v>45692.657129629632</v>
      </c>
      <c r="D198" t="s">
        <v>178</v>
      </c>
      <c r="E198" s="4">
        <v>73.843999999999994</v>
      </c>
      <c r="F198" s="4">
        <v>135792.891</v>
      </c>
      <c r="G198" s="4">
        <v>135866.73499999999</v>
      </c>
      <c r="H198" s="5">
        <f>4359 / 86400</f>
        <v>5.0451388888888886E-2</v>
      </c>
      <c r="I198" t="s">
        <v>35</v>
      </c>
      <c r="J198" t="s">
        <v>70</v>
      </c>
      <c r="K198" s="5">
        <f>13938 / 86400</f>
        <v>0.16131944444444443</v>
      </c>
      <c r="L198" s="5">
        <f>273 / 86400</f>
        <v>3.1597222222222222E-3</v>
      </c>
    </row>
    <row r="199" spans="1:12" x14ac:dyDescent="0.25">
      <c r="A199" s="3">
        <v>45692.66028935185</v>
      </c>
      <c r="B199" t="s">
        <v>178</v>
      </c>
      <c r="C199" s="3">
        <v>45692.79650462963</v>
      </c>
      <c r="D199" t="s">
        <v>179</v>
      </c>
      <c r="E199" s="4">
        <v>43.357999999999997</v>
      </c>
      <c r="F199" s="4">
        <v>135866.73499999999</v>
      </c>
      <c r="G199" s="4">
        <v>135910.09299999999</v>
      </c>
      <c r="H199" s="5">
        <f>4898 / 86400</f>
        <v>5.6689814814814818E-2</v>
      </c>
      <c r="I199" t="s">
        <v>157</v>
      </c>
      <c r="J199" t="s">
        <v>58</v>
      </c>
      <c r="K199" s="5">
        <f>11769 / 86400</f>
        <v>0.13621527777777778</v>
      </c>
      <c r="L199" s="5">
        <f>637 / 86400</f>
        <v>7.3726851851851852E-3</v>
      </c>
    </row>
    <row r="200" spans="1:12" x14ac:dyDescent="0.25">
      <c r="A200" s="3">
        <v>45692.803877314815</v>
      </c>
      <c r="B200" t="s">
        <v>179</v>
      </c>
      <c r="C200" s="3">
        <v>45692.81186342593</v>
      </c>
      <c r="D200" t="s">
        <v>180</v>
      </c>
      <c r="E200" s="4">
        <v>0.82599999999999996</v>
      </c>
      <c r="F200" s="4">
        <v>135910.09299999999</v>
      </c>
      <c r="G200" s="4">
        <v>135910.91899999999</v>
      </c>
      <c r="H200" s="5">
        <f>459 / 86400</f>
        <v>5.3125000000000004E-3</v>
      </c>
      <c r="I200" t="s">
        <v>150</v>
      </c>
      <c r="J200" t="s">
        <v>160</v>
      </c>
      <c r="K200" s="5">
        <f>689 / 86400</f>
        <v>7.9745370370370369E-3</v>
      </c>
      <c r="L200" s="5">
        <f>176 / 86400</f>
        <v>2.0370370370370369E-3</v>
      </c>
    </row>
    <row r="201" spans="1:12" x14ac:dyDescent="0.25">
      <c r="A201" s="3">
        <v>45692.813900462963</v>
      </c>
      <c r="B201" t="s">
        <v>180</v>
      </c>
      <c r="C201" s="3">
        <v>45692.817349537036</v>
      </c>
      <c r="D201" t="s">
        <v>18</v>
      </c>
      <c r="E201" s="4">
        <v>0.45400000000000001</v>
      </c>
      <c r="F201" s="4">
        <v>135910.91899999999</v>
      </c>
      <c r="G201" s="4">
        <v>135911.37299999999</v>
      </c>
      <c r="H201" s="5">
        <f>160 / 86400</f>
        <v>1.8518518518518519E-3</v>
      </c>
      <c r="I201" t="s">
        <v>122</v>
      </c>
      <c r="J201" t="s">
        <v>137</v>
      </c>
      <c r="K201" s="5">
        <f>297 / 86400</f>
        <v>3.4375E-3</v>
      </c>
      <c r="L201" s="5">
        <f>47 / 86400</f>
        <v>5.4398148148148144E-4</v>
      </c>
    </row>
    <row r="202" spans="1:12" x14ac:dyDescent="0.25">
      <c r="A202" s="3">
        <v>45692.817893518513</v>
      </c>
      <c r="B202" t="s">
        <v>18</v>
      </c>
      <c r="C202" s="3">
        <v>45692.821076388893</v>
      </c>
      <c r="D202" t="s">
        <v>18</v>
      </c>
      <c r="E202" s="4">
        <v>5.0999999999999997E-2</v>
      </c>
      <c r="F202" s="4">
        <v>135911.37299999999</v>
      </c>
      <c r="G202" s="4">
        <v>135911.424</v>
      </c>
      <c r="H202" s="5">
        <f>240 / 86400</f>
        <v>2.7777777777777779E-3</v>
      </c>
      <c r="I202" t="s">
        <v>43</v>
      </c>
      <c r="J202" t="s">
        <v>125</v>
      </c>
      <c r="K202" s="5">
        <f>274 / 86400</f>
        <v>3.1712962962962962E-3</v>
      </c>
      <c r="L202" s="5">
        <f>4339 / 86400</f>
        <v>5.0219907407407408E-2</v>
      </c>
    </row>
    <row r="203" spans="1:12" x14ac:dyDescent="0.25">
      <c r="A203" s="3">
        <v>45692.871296296296</v>
      </c>
      <c r="B203" t="s">
        <v>18</v>
      </c>
      <c r="C203" s="3">
        <v>45692.871365740742</v>
      </c>
      <c r="D203" t="s">
        <v>18</v>
      </c>
      <c r="E203" s="4">
        <v>0</v>
      </c>
      <c r="F203" s="4">
        <v>135911.424</v>
      </c>
      <c r="G203" s="4">
        <v>135911.424</v>
      </c>
      <c r="H203" s="5">
        <f>0 / 86400</f>
        <v>0</v>
      </c>
      <c r="I203" t="s">
        <v>55</v>
      </c>
      <c r="J203" t="s">
        <v>55</v>
      </c>
      <c r="K203" s="5">
        <f>6 / 86400</f>
        <v>6.9444444444444444E-5</v>
      </c>
      <c r="L203" s="5">
        <f>11113 / 86400</f>
        <v>0.12862268518518519</v>
      </c>
    </row>
    <row r="204" spans="1:12" x14ac:dyDescent="0.25">
      <c r="A204" s="12"/>
      <c r="B204" s="12"/>
      <c r="C204" s="12"/>
      <c r="D204" s="12"/>
      <c r="E204" s="12"/>
      <c r="F204" s="12"/>
      <c r="G204" s="12"/>
      <c r="H204" s="12"/>
      <c r="I204" s="12"/>
      <c r="J204" s="12"/>
    </row>
    <row r="205" spans="1:12" x14ac:dyDescent="0.25">
      <c r="A205" s="12"/>
      <c r="B205" s="12"/>
      <c r="C205" s="12"/>
      <c r="D205" s="12"/>
      <c r="E205" s="12"/>
      <c r="F205" s="12"/>
      <c r="G205" s="12"/>
      <c r="H205" s="12"/>
      <c r="I205" s="12"/>
      <c r="J205" s="12"/>
    </row>
    <row r="206" spans="1:12" s="10" customFormat="1" ht="20.100000000000001" customHeight="1" x14ac:dyDescent="0.35">
      <c r="A206" s="15" t="s">
        <v>289</v>
      </c>
      <c r="B206" s="15"/>
      <c r="C206" s="15"/>
      <c r="D206" s="15"/>
      <c r="E206" s="15"/>
      <c r="F206" s="15"/>
      <c r="G206" s="15"/>
      <c r="H206" s="15"/>
      <c r="I206" s="15"/>
      <c r="J206" s="15"/>
    </row>
    <row r="207" spans="1:12" x14ac:dyDescent="0.25">
      <c r="A207" s="12"/>
      <c r="B207" s="12"/>
      <c r="C207" s="12"/>
      <c r="D207" s="12"/>
      <c r="E207" s="12"/>
      <c r="F207" s="12"/>
      <c r="G207" s="12"/>
      <c r="H207" s="12"/>
      <c r="I207" s="12"/>
      <c r="J207" s="12"/>
    </row>
    <row r="208" spans="1:12" ht="30" x14ac:dyDescent="0.25">
      <c r="A208" s="2" t="s">
        <v>6</v>
      </c>
      <c r="B208" s="2" t="s">
        <v>7</v>
      </c>
      <c r="C208" s="2" t="s">
        <v>8</v>
      </c>
      <c r="D208" s="2" t="s">
        <v>9</v>
      </c>
      <c r="E208" s="2" t="s">
        <v>10</v>
      </c>
      <c r="F208" s="2" t="s">
        <v>11</v>
      </c>
      <c r="G208" s="2" t="s">
        <v>12</v>
      </c>
      <c r="H208" s="2" t="s">
        <v>13</v>
      </c>
      <c r="I208" s="2" t="s">
        <v>14</v>
      </c>
      <c r="J208" s="2" t="s">
        <v>15</v>
      </c>
      <c r="K208" s="2" t="s">
        <v>16</v>
      </c>
      <c r="L208" s="2" t="s">
        <v>17</v>
      </c>
    </row>
    <row r="209" spans="1:12" x14ac:dyDescent="0.25">
      <c r="A209" s="3">
        <v>45692.171909722223</v>
      </c>
      <c r="B209" t="s">
        <v>34</v>
      </c>
      <c r="C209" s="3">
        <v>45692.363645833335</v>
      </c>
      <c r="D209" t="s">
        <v>148</v>
      </c>
      <c r="E209" s="4">
        <v>84.082999999999998</v>
      </c>
      <c r="F209" s="4">
        <v>482961.11900000001</v>
      </c>
      <c r="G209" s="4">
        <v>483045.20199999999</v>
      </c>
      <c r="H209" s="5">
        <f>5061 / 86400</f>
        <v>5.8576388888888886E-2</v>
      </c>
      <c r="I209" t="s">
        <v>177</v>
      </c>
      <c r="J209" t="s">
        <v>31</v>
      </c>
      <c r="K209" s="5">
        <f>16566 / 86400</f>
        <v>0.19173611111111111</v>
      </c>
      <c r="L209" s="5">
        <f>16220 / 86400</f>
        <v>0.18773148148148147</v>
      </c>
    </row>
    <row r="210" spans="1:12" x14ac:dyDescent="0.25">
      <c r="A210" s="3">
        <v>45692.379467592589</v>
      </c>
      <c r="B210" t="s">
        <v>148</v>
      </c>
      <c r="C210" s="3">
        <v>45692.634780092594</v>
      </c>
      <c r="D210" t="s">
        <v>34</v>
      </c>
      <c r="E210" s="4">
        <v>85.936000000000007</v>
      </c>
      <c r="F210" s="4">
        <v>483045.20199999999</v>
      </c>
      <c r="G210" s="4">
        <v>483131.13799999998</v>
      </c>
      <c r="H210" s="5">
        <f>8141 / 86400</f>
        <v>9.4224537037037037E-2</v>
      </c>
      <c r="I210" t="s">
        <v>35</v>
      </c>
      <c r="J210" t="s">
        <v>28</v>
      </c>
      <c r="K210" s="5">
        <f>22058 / 86400</f>
        <v>0.2553009259259259</v>
      </c>
      <c r="L210" s="5">
        <f>31554 / 86400</f>
        <v>0.36520833333333336</v>
      </c>
    </row>
    <row r="211" spans="1:12" x14ac:dyDescent="0.25">
      <c r="A211" s="12"/>
      <c r="B211" s="12"/>
      <c r="C211" s="12"/>
      <c r="D211" s="12"/>
      <c r="E211" s="12"/>
      <c r="F211" s="12"/>
      <c r="G211" s="12"/>
      <c r="H211" s="12"/>
      <c r="I211" s="12"/>
      <c r="J211" s="12"/>
    </row>
    <row r="212" spans="1:12" x14ac:dyDescent="0.25">
      <c r="A212" s="12"/>
      <c r="B212" s="12"/>
      <c r="C212" s="12"/>
      <c r="D212" s="12"/>
      <c r="E212" s="12"/>
      <c r="F212" s="12"/>
      <c r="G212" s="12"/>
      <c r="H212" s="12"/>
      <c r="I212" s="12"/>
      <c r="J212" s="12"/>
    </row>
    <row r="213" spans="1:12" s="10" customFormat="1" ht="20.100000000000001" customHeight="1" x14ac:dyDescent="0.35">
      <c r="A213" s="15" t="s">
        <v>290</v>
      </c>
      <c r="B213" s="15"/>
      <c r="C213" s="15"/>
      <c r="D213" s="15"/>
      <c r="E213" s="15"/>
      <c r="F213" s="15"/>
      <c r="G213" s="15"/>
      <c r="H213" s="15"/>
      <c r="I213" s="15"/>
      <c r="J213" s="15"/>
    </row>
    <row r="214" spans="1:12" x14ac:dyDescent="0.25">
      <c r="A214" s="12"/>
      <c r="B214" s="12"/>
      <c r="C214" s="12"/>
      <c r="D214" s="12"/>
      <c r="E214" s="12"/>
      <c r="F214" s="12"/>
      <c r="G214" s="12"/>
      <c r="H214" s="12"/>
      <c r="I214" s="12"/>
      <c r="J214" s="12"/>
    </row>
    <row r="215" spans="1:12" ht="30" x14ac:dyDescent="0.25">
      <c r="A215" s="2" t="s">
        <v>6</v>
      </c>
      <c r="B215" s="2" t="s">
        <v>7</v>
      </c>
      <c r="C215" s="2" t="s">
        <v>8</v>
      </c>
      <c r="D215" s="2" t="s">
        <v>9</v>
      </c>
      <c r="E215" s="2" t="s">
        <v>10</v>
      </c>
      <c r="F215" s="2" t="s">
        <v>11</v>
      </c>
      <c r="G215" s="2" t="s">
        <v>12</v>
      </c>
      <c r="H215" s="2" t="s">
        <v>13</v>
      </c>
      <c r="I215" s="2" t="s">
        <v>14</v>
      </c>
      <c r="J215" s="2" t="s">
        <v>15</v>
      </c>
      <c r="K215" s="2" t="s">
        <v>16</v>
      </c>
      <c r="L215" s="2" t="s">
        <v>17</v>
      </c>
    </row>
    <row r="216" spans="1:12" x14ac:dyDescent="0.25">
      <c r="A216" s="3">
        <v>45692.130046296297</v>
      </c>
      <c r="B216" t="s">
        <v>37</v>
      </c>
      <c r="C216" s="3">
        <v>45692.866145833337</v>
      </c>
      <c r="D216" t="s">
        <v>121</v>
      </c>
      <c r="E216" s="4">
        <v>299.75099999999998</v>
      </c>
      <c r="F216" s="4">
        <v>506312.53399999999</v>
      </c>
      <c r="G216" s="4">
        <v>506612.28499999997</v>
      </c>
      <c r="H216" s="5">
        <f>22184 / 86400</f>
        <v>0.25675925925925924</v>
      </c>
      <c r="I216" t="s">
        <v>38</v>
      </c>
      <c r="J216" t="s">
        <v>25</v>
      </c>
      <c r="K216" s="5">
        <f>63599 / 86400</f>
        <v>0.73609953703703701</v>
      </c>
      <c r="L216" s="5">
        <f>11795 / 86400</f>
        <v>0.13651620370370371</v>
      </c>
    </row>
    <row r="217" spans="1:12" x14ac:dyDescent="0.25">
      <c r="A217" s="3">
        <v>45692.872615740736</v>
      </c>
      <c r="B217" t="s">
        <v>121</v>
      </c>
      <c r="C217" s="3">
        <v>45692.882974537039</v>
      </c>
      <c r="D217" t="s">
        <v>37</v>
      </c>
      <c r="E217" s="4">
        <v>3.3180000000000001</v>
      </c>
      <c r="F217" s="4">
        <v>506612.28499999997</v>
      </c>
      <c r="G217" s="4">
        <v>506615.603</v>
      </c>
      <c r="H217" s="5">
        <f>139 / 86400</f>
        <v>1.6087962962962963E-3</v>
      </c>
      <c r="I217" t="s">
        <v>150</v>
      </c>
      <c r="J217" t="s">
        <v>58</v>
      </c>
      <c r="K217" s="5">
        <f>894 / 86400</f>
        <v>1.0347222222222223E-2</v>
      </c>
      <c r="L217" s="5">
        <f>10110 / 86400</f>
        <v>0.11701388888888889</v>
      </c>
    </row>
    <row r="218" spans="1:12" x14ac:dyDescent="0.25">
      <c r="A218" s="12"/>
      <c r="B218" s="12"/>
      <c r="C218" s="12"/>
      <c r="D218" s="12"/>
      <c r="E218" s="12"/>
      <c r="F218" s="12"/>
      <c r="G218" s="12"/>
      <c r="H218" s="12"/>
      <c r="I218" s="12"/>
      <c r="J218" s="12"/>
    </row>
    <row r="219" spans="1:12" x14ac:dyDescent="0.25">
      <c r="A219" s="12"/>
      <c r="B219" s="12"/>
      <c r="C219" s="12"/>
      <c r="D219" s="12"/>
      <c r="E219" s="12"/>
      <c r="F219" s="12"/>
      <c r="G219" s="12"/>
      <c r="H219" s="12"/>
      <c r="I219" s="12"/>
      <c r="J219" s="12"/>
    </row>
    <row r="220" spans="1:12" s="10" customFormat="1" ht="20.100000000000001" customHeight="1" x14ac:dyDescent="0.35">
      <c r="A220" s="15" t="s">
        <v>291</v>
      </c>
      <c r="B220" s="15"/>
      <c r="C220" s="15"/>
      <c r="D220" s="15"/>
      <c r="E220" s="15"/>
      <c r="F220" s="15"/>
      <c r="G220" s="15"/>
      <c r="H220" s="15"/>
      <c r="I220" s="15"/>
      <c r="J220" s="15"/>
    </row>
    <row r="221" spans="1:12" x14ac:dyDescent="0.25">
      <c r="A221" s="12"/>
      <c r="B221" s="12"/>
      <c r="C221" s="12"/>
      <c r="D221" s="12"/>
      <c r="E221" s="12"/>
      <c r="F221" s="12"/>
      <c r="G221" s="12"/>
      <c r="H221" s="12"/>
      <c r="I221" s="12"/>
      <c r="J221" s="12"/>
    </row>
    <row r="222" spans="1:12" ht="30" x14ac:dyDescent="0.25">
      <c r="A222" s="2" t="s">
        <v>6</v>
      </c>
      <c r="B222" s="2" t="s">
        <v>7</v>
      </c>
      <c r="C222" s="2" t="s">
        <v>8</v>
      </c>
      <c r="D222" s="2" t="s">
        <v>9</v>
      </c>
      <c r="E222" s="2" t="s">
        <v>10</v>
      </c>
      <c r="F222" s="2" t="s">
        <v>11</v>
      </c>
      <c r="G222" s="2" t="s">
        <v>12</v>
      </c>
      <c r="H222" s="2" t="s">
        <v>13</v>
      </c>
      <c r="I222" s="2" t="s">
        <v>14</v>
      </c>
      <c r="J222" s="2" t="s">
        <v>15</v>
      </c>
      <c r="K222" s="2" t="s">
        <v>16</v>
      </c>
      <c r="L222" s="2" t="s">
        <v>17</v>
      </c>
    </row>
    <row r="223" spans="1:12" x14ac:dyDescent="0.25">
      <c r="A223" s="3">
        <v>45692.240405092598</v>
      </c>
      <c r="B223" t="s">
        <v>39</v>
      </c>
      <c r="C223" s="3">
        <v>45692.249120370368</v>
      </c>
      <c r="D223" t="s">
        <v>148</v>
      </c>
      <c r="E223" s="4">
        <v>1.64</v>
      </c>
      <c r="F223" s="4">
        <v>406668.386</v>
      </c>
      <c r="G223" s="4">
        <v>406670.02600000001</v>
      </c>
      <c r="H223" s="5">
        <f>319 / 86400</f>
        <v>3.6921296296296298E-3</v>
      </c>
      <c r="I223" t="s">
        <v>155</v>
      </c>
      <c r="J223" t="s">
        <v>135</v>
      </c>
      <c r="K223" s="5">
        <f>752 / 86400</f>
        <v>8.7037037037037031E-3</v>
      </c>
      <c r="L223" s="5">
        <f>21698 / 86400</f>
        <v>0.25113425925925925</v>
      </c>
    </row>
    <row r="224" spans="1:12" x14ac:dyDescent="0.25">
      <c r="A224" s="3">
        <v>45692.259849537033</v>
      </c>
      <c r="B224" t="s">
        <v>148</v>
      </c>
      <c r="C224" s="3">
        <v>45692.408715277779</v>
      </c>
      <c r="D224" t="s">
        <v>181</v>
      </c>
      <c r="E224" s="4">
        <v>51.984999999999999</v>
      </c>
      <c r="F224" s="4">
        <v>406670.02600000001</v>
      </c>
      <c r="G224" s="4">
        <v>406722.011</v>
      </c>
      <c r="H224" s="5">
        <f>4840 / 86400</f>
        <v>5.6018518518518516E-2</v>
      </c>
      <c r="I224" t="s">
        <v>33</v>
      </c>
      <c r="J224" t="s">
        <v>20</v>
      </c>
      <c r="K224" s="5">
        <f>12862 / 86400</f>
        <v>0.14886574074074074</v>
      </c>
      <c r="L224" s="5">
        <f>2846 / 86400</f>
        <v>3.2939814814814818E-2</v>
      </c>
    </row>
    <row r="225" spans="1:12" x14ac:dyDescent="0.25">
      <c r="A225" s="3">
        <v>45692.441655092596</v>
      </c>
      <c r="B225" t="s">
        <v>181</v>
      </c>
      <c r="C225" s="3">
        <v>45692.441863425927</v>
      </c>
      <c r="D225" t="s">
        <v>181</v>
      </c>
      <c r="E225" s="4">
        <v>5.0000000000000001E-3</v>
      </c>
      <c r="F225" s="4">
        <v>406722.011</v>
      </c>
      <c r="G225" s="4">
        <v>406722.016</v>
      </c>
      <c r="H225" s="5">
        <f>0 / 86400</f>
        <v>0</v>
      </c>
      <c r="I225" t="s">
        <v>55</v>
      </c>
      <c r="J225" t="s">
        <v>125</v>
      </c>
      <c r="K225" s="5">
        <f>18 / 86400</f>
        <v>2.0833333333333335E-4</v>
      </c>
      <c r="L225" s="5">
        <f>1515 / 86400</f>
        <v>1.7534722222222222E-2</v>
      </c>
    </row>
    <row r="226" spans="1:12" x14ac:dyDescent="0.25">
      <c r="A226" s="3">
        <v>45692.459398148145</v>
      </c>
      <c r="B226" t="s">
        <v>181</v>
      </c>
      <c r="C226" s="3">
        <v>45692.562349537038</v>
      </c>
      <c r="D226" t="s">
        <v>71</v>
      </c>
      <c r="E226" s="4">
        <v>22.027999999999999</v>
      </c>
      <c r="F226" s="4">
        <v>406722.016</v>
      </c>
      <c r="G226" s="4">
        <v>406744.04399999999</v>
      </c>
      <c r="H226" s="5">
        <f>4178 / 86400</f>
        <v>4.8356481481481479E-2</v>
      </c>
      <c r="I226" t="s">
        <v>182</v>
      </c>
      <c r="J226" t="s">
        <v>54</v>
      </c>
      <c r="K226" s="5">
        <f>8894 / 86400</f>
        <v>0.10293981481481482</v>
      </c>
      <c r="L226" s="5">
        <f>3 / 86400</f>
        <v>3.4722222222222222E-5</v>
      </c>
    </row>
    <row r="227" spans="1:12" x14ac:dyDescent="0.25">
      <c r="A227" s="3">
        <v>45692.562384259261</v>
      </c>
      <c r="B227" t="s">
        <v>183</v>
      </c>
      <c r="C227" s="3">
        <v>45692.586331018523</v>
      </c>
      <c r="D227" t="s">
        <v>184</v>
      </c>
      <c r="E227" s="4">
        <v>13.657</v>
      </c>
      <c r="F227" s="4">
        <v>406744.05499999999</v>
      </c>
      <c r="G227" s="4">
        <v>406757.712</v>
      </c>
      <c r="H227" s="5">
        <f>480 / 86400</f>
        <v>5.5555555555555558E-3</v>
      </c>
      <c r="I227" t="s">
        <v>185</v>
      </c>
      <c r="J227" t="s">
        <v>150</v>
      </c>
      <c r="K227" s="5">
        <f>2069 / 86400</f>
        <v>2.3946759259259258E-2</v>
      </c>
      <c r="L227" s="5">
        <f>2 / 86400</f>
        <v>2.3148148148148147E-5</v>
      </c>
    </row>
    <row r="228" spans="1:12" x14ac:dyDescent="0.25">
      <c r="A228" s="3">
        <v>45692.586354166662</v>
      </c>
      <c r="B228" t="s">
        <v>184</v>
      </c>
      <c r="C228" s="3">
        <v>45692.612685185188</v>
      </c>
      <c r="D228" t="s">
        <v>128</v>
      </c>
      <c r="E228" s="4">
        <v>14.135999999999999</v>
      </c>
      <c r="F228" s="4">
        <v>406757.71799999999</v>
      </c>
      <c r="G228" s="4">
        <v>406771.85399999999</v>
      </c>
      <c r="H228" s="5">
        <f>380 / 86400</f>
        <v>4.3981481481481484E-3</v>
      </c>
      <c r="I228" t="s">
        <v>185</v>
      </c>
      <c r="J228" t="s">
        <v>122</v>
      </c>
      <c r="K228" s="5">
        <f>2275 / 86400</f>
        <v>2.6331018518518517E-2</v>
      </c>
      <c r="L228" s="5">
        <f>3026 / 86400</f>
        <v>3.502314814814815E-2</v>
      </c>
    </row>
    <row r="229" spans="1:12" x14ac:dyDescent="0.25">
      <c r="A229" s="3">
        <v>45692.64770833333</v>
      </c>
      <c r="B229" t="s">
        <v>128</v>
      </c>
      <c r="C229" s="3">
        <v>45692.650416666671</v>
      </c>
      <c r="D229" t="s">
        <v>128</v>
      </c>
      <c r="E229" s="4">
        <v>0.188</v>
      </c>
      <c r="F229" s="4">
        <v>406771.85399999999</v>
      </c>
      <c r="G229" s="4">
        <v>406772.04200000002</v>
      </c>
      <c r="H229" s="5">
        <f>99 / 86400</f>
        <v>1.1458333333333333E-3</v>
      </c>
      <c r="I229" t="s">
        <v>36</v>
      </c>
      <c r="J229" t="s">
        <v>140</v>
      </c>
      <c r="K229" s="5">
        <f>233 / 86400</f>
        <v>2.6967592592592594E-3</v>
      </c>
      <c r="L229" s="5">
        <f>159 / 86400</f>
        <v>1.8402777777777777E-3</v>
      </c>
    </row>
    <row r="230" spans="1:12" x14ac:dyDescent="0.25">
      <c r="A230" s="3">
        <v>45692.65225694445</v>
      </c>
      <c r="B230" t="s">
        <v>128</v>
      </c>
      <c r="C230" s="3">
        <v>45692.652627314819</v>
      </c>
      <c r="D230" t="s">
        <v>128</v>
      </c>
      <c r="E230" s="4">
        <v>7.0000000000000001E-3</v>
      </c>
      <c r="F230" s="4">
        <v>406772.04200000002</v>
      </c>
      <c r="G230" s="4">
        <v>406772.049</v>
      </c>
      <c r="H230" s="5">
        <f>0 / 86400</f>
        <v>0</v>
      </c>
      <c r="I230" t="s">
        <v>125</v>
      </c>
      <c r="J230" t="s">
        <v>125</v>
      </c>
      <c r="K230" s="5">
        <f>32 / 86400</f>
        <v>3.7037037037037035E-4</v>
      </c>
      <c r="L230" s="5">
        <f>197 / 86400</f>
        <v>2.2800925925925927E-3</v>
      </c>
    </row>
    <row r="231" spans="1:12" x14ac:dyDescent="0.25">
      <c r="A231" s="3">
        <v>45692.654907407406</v>
      </c>
      <c r="B231" t="s">
        <v>128</v>
      </c>
      <c r="C231" s="3">
        <v>45692.656076388885</v>
      </c>
      <c r="D231" t="s">
        <v>128</v>
      </c>
      <c r="E231" s="4">
        <v>1.4E-2</v>
      </c>
      <c r="F231" s="4">
        <v>406772.049</v>
      </c>
      <c r="G231" s="4">
        <v>406772.06300000002</v>
      </c>
      <c r="H231" s="5">
        <f>80 / 86400</f>
        <v>9.2592592592592596E-4</v>
      </c>
      <c r="I231" t="s">
        <v>161</v>
      </c>
      <c r="J231" t="s">
        <v>55</v>
      </c>
      <c r="K231" s="5">
        <f>101 / 86400</f>
        <v>1.1689814814814816E-3</v>
      </c>
      <c r="L231" s="5">
        <f>888 / 86400</f>
        <v>1.0277777777777778E-2</v>
      </c>
    </row>
    <row r="232" spans="1:12" x14ac:dyDescent="0.25">
      <c r="A232" s="3">
        <v>45692.666354166664</v>
      </c>
      <c r="B232" t="s">
        <v>128</v>
      </c>
      <c r="C232" s="3">
        <v>45692.667384259257</v>
      </c>
      <c r="D232" t="s">
        <v>121</v>
      </c>
      <c r="E232" s="4">
        <v>0.249</v>
      </c>
      <c r="F232" s="4">
        <v>406772.06300000002</v>
      </c>
      <c r="G232" s="4">
        <v>406772.31199999998</v>
      </c>
      <c r="H232" s="5">
        <f>0 / 86400</f>
        <v>0</v>
      </c>
      <c r="I232" t="s">
        <v>150</v>
      </c>
      <c r="J232" t="s">
        <v>158</v>
      </c>
      <c r="K232" s="5">
        <f>88 / 86400</f>
        <v>1.0185185185185184E-3</v>
      </c>
      <c r="L232" s="5">
        <f>670 / 86400</f>
        <v>7.7546296296296295E-3</v>
      </c>
    </row>
    <row r="233" spans="1:12" x14ac:dyDescent="0.25">
      <c r="A233" s="3">
        <v>45692.675138888888</v>
      </c>
      <c r="B233" t="s">
        <v>121</v>
      </c>
      <c r="C233" s="3">
        <v>45692.684039351851</v>
      </c>
      <c r="D233" t="s">
        <v>186</v>
      </c>
      <c r="E233" s="4">
        <v>2.7519999999999998</v>
      </c>
      <c r="F233" s="4">
        <v>406772.31199999998</v>
      </c>
      <c r="G233" s="4">
        <v>406775.06400000001</v>
      </c>
      <c r="H233" s="5">
        <f>260 / 86400</f>
        <v>3.0092592592592593E-3</v>
      </c>
      <c r="I233" t="s">
        <v>187</v>
      </c>
      <c r="J233" t="s">
        <v>58</v>
      </c>
      <c r="K233" s="5">
        <f>768 / 86400</f>
        <v>8.8888888888888889E-3</v>
      </c>
      <c r="L233" s="5">
        <f>3 / 86400</f>
        <v>3.4722222222222222E-5</v>
      </c>
    </row>
    <row r="234" spans="1:12" x14ac:dyDescent="0.25">
      <c r="A234" s="3">
        <v>45692.684074074074</v>
      </c>
      <c r="B234" t="s">
        <v>186</v>
      </c>
      <c r="C234" s="3">
        <v>45692.684340277774</v>
      </c>
      <c r="D234" t="s">
        <v>186</v>
      </c>
      <c r="E234" s="4">
        <v>0.13100000000000001</v>
      </c>
      <c r="F234" s="4">
        <v>406775.06400000001</v>
      </c>
      <c r="G234" s="4">
        <v>406775.19500000001</v>
      </c>
      <c r="H234" s="5">
        <f>0 / 86400</f>
        <v>0</v>
      </c>
      <c r="I234" t="s">
        <v>42</v>
      </c>
      <c r="J234" t="s">
        <v>142</v>
      </c>
      <c r="K234" s="5">
        <f>23 / 86400</f>
        <v>2.6620370370370372E-4</v>
      </c>
      <c r="L234" s="5">
        <f>6 / 86400</f>
        <v>6.9444444444444444E-5</v>
      </c>
    </row>
    <row r="235" spans="1:12" x14ac:dyDescent="0.25">
      <c r="A235" s="3">
        <v>45692.68440972222</v>
      </c>
      <c r="B235" t="s">
        <v>186</v>
      </c>
      <c r="C235" s="3">
        <v>45692.685347222221</v>
      </c>
      <c r="D235" t="s">
        <v>188</v>
      </c>
      <c r="E235" s="4">
        <v>0.39</v>
      </c>
      <c r="F235" s="4">
        <v>406775.19500000001</v>
      </c>
      <c r="G235" s="4">
        <v>406775.58500000002</v>
      </c>
      <c r="H235" s="5">
        <f>5 / 86400</f>
        <v>5.7870370370370373E-5</v>
      </c>
      <c r="I235" t="s">
        <v>189</v>
      </c>
      <c r="J235" t="s">
        <v>25</v>
      </c>
      <c r="K235" s="5">
        <f>81 / 86400</f>
        <v>9.3749999999999997E-4</v>
      </c>
      <c r="L235" s="5">
        <f>4 / 86400</f>
        <v>4.6296296296296294E-5</v>
      </c>
    </row>
    <row r="236" spans="1:12" x14ac:dyDescent="0.25">
      <c r="A236" s="3">
        <v>45692.685393518521</v>
      </c>
      <c r="B236" t="s">
        <v>188</v>
      </c>
      <c r="C236" s="3">
        <v>45692.685590277775</v>
      </c>
      <c r="D236" t="s">
        <v>186</v>
      </c>
      <c r="E236" s="4">
        <v>6.9000000000000006E-2</v>
      </c>
      <c r="F236" s="4">
        <v>406775.58500000002</v>
      </c>
      <c r="G236" s="4">
        <v>406775.65399999998</v>
      </c>
      <c r="H236" s="5">
        <f>0 / 86400</f>
        <v>0</v>
      </c>
      <c r="I236" t="s">
        <v>134</v>
      </c>
      <c r="J236" t="s">
        <v>20</v>
      </c>
      <c r="K236" s="5">
        <f>17 / 86400</f>
        <v>1.9675925925925926E-4</v>
      </c>
      <c r="L236" s="5">
        <f>20 / 86400</f>
        <v>2.3148148148148149E-4</v>
      </c>
    </row>
    <row r="237" spans="1:12" x14ac:dyDescent="0.25">
      <c r="A237" s="3">
        <v>45692.68582175926</v>
      </c>
      <c r="B237" t="s">
        <v>186</v>
      </c>
      <c r="C237" s="3">
        <v>45692.686018518521</v>
      </c>
      <c r="D237" t="s">
        <v>190</v>
      </c>
      <c r="E237" s="4">
        <v>9.6000000000000002E-2</v>
      </c>
      <c r="F237" s="4">
        <v>406775.728</v>
      </c>
      <c r="G237" s="4">
        <v>406775.82400000002</v>
      </c>
      <c r="H237" s="5">
        <f>0 / 86400</f>
        <v>0</v>
      </c>
      <c r="I237" t="s">
        <v>25</v>
      </c>
      <c r="J237" t="s">
        <v>114</v>
      </c>
      <c r="K237" s="5">
        <f>17 / 86400</f>
        <v>1.9675925925925926E-4</v>
      </c>
      <c r="L237" s="5">
        <f>4 / 86400</f>
        <v>4.6296296296296294E-5</v>
      </c>
    </row>
    <row r="238" spans="1:12" x14ac:dyDescent="0.25">
      <c r="A238" s="3">
        <v>45692.686064814814</v>
      </c>
      <c r="B238" t="s">
        <v>190</v>
      </c>
      <c r="C238" s="3">
        <v>45692.686307870375</v>
      </c>
      <c r="D238" t="s">
        <v>191</v>
      </c>
      <c r="E238" s="4">
        <v>6.4000000000000001E-2</v>
      </c>
      <c r="F238" s="4">
        <v>406775.82400000002</v>
      </c>
      <c r="G238" s="4">
        <v>406775.88799999998</v>
      </c>
      <c r="H238" s="5">
        <f>3 / 86400</f>
        <v>3.4722222222222222E-5</v>
      </c>
      <c r="I238" t="s">
        <v>54</v>
      </c>
      <c r="J238" t="s">
        <v>174</v>
      </c>
      <c r="K238" s="5">
        <f>21 / 86400</f>
        <v>2.4305555555555555E-4</v>
      </c>
      <c r="L238" s="5">
        <f>2 / 86400</f>
        <v>2.3148148148148147E-5</v>
      </c>
    </row>
    <row r="239" spans="1:12" x14ac:dyDescent="0.25">
      <c r="A239" s="3">
        <v>45692.686331018514</v>
      </c>
      <c r="B239" t="s">
        <v>191</v>
      </c>
      <c r="C239" s="3">
        <v>45692.686759259261</v>
      </c>
      <c r="D239" t="s">
        <v>178</v>
      </c>
      <c r="E239" s="4">
        <v>0.122</v>
      </c>
      <c r="F239" s="4">
        <v>406775.89299999998</v>
      </c>
      <c r="G239" s="4">
        <v>406776.01500000001</v>
      </c>
      <c r="H239" s="5">
        <f>0 / 86400</f>
        <v>0</v>
      </c>
      <c r="I239" t="s">
        <v>31</v>
      </c>
      <c r="J239" t="s">
        <v>90</v>
      </c>
      <c r="K239" s="5">
        <f>37 / 86400</f>
        <v>4.2824074074074075E-4</v>
      </c>
      <c r="L239" s="5">
        <f>4 / 86400</f>
        <v>4.6296296296296294E-5</v>
      </c>
    </row>
    <row r="240" spans="1:12" x14ac:dyDescent="0.25">
      <c r="A240" s="3">
        <v>45692.686805555553</v>
      </c>
      <c r="B240" t="s">
        <v>178</v>
      </c>
      <c r="C240" s="3">
        <v>45692.687071759261</v>
      </c>
      <c r="D240" t="s">
        <v>178</v>
      </c>
      <c r="E240" s="4">
        <v>8.6999999999999994E-2</v>
      </c>
      <c r="F240" s="4">
        <v>406776.02799999999</v>
      </c>
      <c r="G240" s="4">
        <v>406776.11499999999</v>
      </c>
      <c r="H240" s="5">
        <f>0 / 86400</f>
        <v>0</v>
      </c>
      <c r="I240" t="s">
        <v>152</v>
      </c>
      <c r="J240" t="s">
        <v>28</v>
      </c>
      <c r="K240" s="5">
        <f>23 / 86400</f>
        <v>2.6620370370370372E-4</v>
      </c>
      <c r="L240" s="5">
        <f>3 / 86400</f>
        <v>3.4722222222222222E-5</v>
      </c>
    </row>
    <row r="241" spans="1:12" x14ac:dyDescent="0.25">
      <c r="A241" s="3">
        <v>45692.687106481477</v>
      </c>
      <c r="B241" t="s">
        <v>178</v>
      </c>
      <c r="C241" s="3">
        <v>45692.687210648146</v>
      </c>
      <c r="D241" t="s">
        <v>178</v>
      </c>
      <c r="E241" s="4">
        <v>4.7E-2</v>
      </c>
      <c r="F241" s="4">
        <v>406776.12099999998</v>
      </c>
      <c r="G241" s="4">
        <v>406776.16800000001</v>
      </c>
      <c r="H241" s="5">
        <f>0 / 86400</f>
        <v>0</v>
      </c>
      <c r="I241" t="s">
        <v>152</v>
      </c>
      <c r="J241" t="s">
        <v>70</v>
      </c>
      <c r="K241" s="5">
        <f>9 / 86400</f>
        <v>1.0416666666666667E-4</v>
      </c>
      <c r="L241" s="5">
        <f>5 / 86400</f>
        <v>5.7870370370370373E-5</v>
      </c>
    </row>
    <row r="242" spans="1:12" x14ac:dyDescent="0.25">
      <c r="A242" s="3">
        <v>45692.687268518523</v>
      </c>
      <c r="B242" t="s">
        <v>192</v>
      </c>
      <c r="C242" s="3">
        <v>45692.687546296293</v>
      </c>
      <c r="D242" t="s">
        <v>193</v>
      </c>
      <c r="E242" s="4">
        <v>8.3000000000000004E-2</v>
      </c>
      <c r="F242" s="4">
        <v>406776.17599999998</v>
      </c>
      <c r="G242" s="4">
        <v>406776.25900000002</v>
      </c>
      <c r="H242" s="5">
        <f>0 / 86400</f>
        <v>0</v>
      </c>
      <c r="I242" t="s">
        <v>136</v>
      </c>
      <c r="J242" t="s">
        <v>90</v>
      </c>
      <c r="K242" s="5">
        <f>24 / 86400</f>
        <v>2.7777777777777778E-4</v>
      </c>
      <c r="L242" s="5">
        <f>2 / 86400</f>
        <v>2.3148148148148147E-5</v>
      </c>
    </row>
    <row r="243" spans="1:12" x14ac:dyDescent="0.25">
      <c r="A243" s="3">
        <v>45692.687569444446</v>
      </c>
      <c r="B243" t="s">
        <v>193</v>
      </c>
      <c r="C243" s="3">
        <v>45692.801655092597</v>
      </c>
      <c r="D243" t="s">
        <v>194</v>
      </c>
      <c r="E243" s="4">
        <v>42.232999999999997</v>
      </c>
      <c r="F243" s="4">
        <v>406776.26400000002</v>
      </c>
      <c r="G243" s="4">
        <v>406818.49699999997</v>
      </c>
      <c r="H243" s="5">
        <f>3600 / 86400</f>
        <v>4.1666666666666664E-2</v>
      </c>
      <c r="I243" t="s">
        <v>30</v>
      </c>
      <c r="J243" t="s">
        <v>20</v>
      </c>
      <c r="K243" s="5">
        <f>9857 / 86400</f>
        <v>0.11408564814814814</v>
      </c>
      <c r="L243" s="5">
        <f>2 / 86400</f>
        <v>2.3148148148148147E-5</v>
      </c>
    </row>
    <row r="244" spans="1:12" x14ac:dyDescent="0.25">
      <c r="A244" s="3">
        <v>45692.801678240736</v>
      </c>
      <c r="B244" t="s">
        <v>194</v>
      </c>
      <c r="C244" s="3">
        <v>45692.933645833335</v>
      </c>
      <c r="D244" t="s">
        <v>121</v>
      </c>
      <c r="E244" s="4">
        <v>46.521999999999998</v>
      </c>
      <c r="F244" s="4">
        <v>406818.49800000002</v>
      </c>
      <c r="G244" s="4">
        <v>406865.02</v>
      </c>
      <c r="H244" s="5">
        <f>4240 / 86400</f>
        <v>4.9074074074074076E-2</v>
      </c>
      <c r="I244" t="s">
        <v>195</v>
      </c>
      <c r="J244" t="s">
        <v>20</v>
      </c>
      <c r="K244" s="5">
        <f>11402 / 86400</f>
        <v>0.13196759259259258</v>
      </c>
      <c r="L244" s="5">
        <f>500 / 86400</f>
        <v>5.7870370370370367E-3</v>
      </c>
    </row>
    <row r="245" spans="1:12" x14ac:dyDescent="0.25">
      <c r="A245" s="3">
        <v>45692.939432870371</v>
      </c>
      <c r="B245" t="s">
        <v>121</v>
      </c>
      <c r="C245" s="3">
        <v>45692.940682870365</v>
      </c>
      <c r="D245" t="s">
        <v>123</v>
      </c>
      <c r="E245" s="4">
        <v>0.06</v>
      </c>
      <c r="F245" s="4">
        <v>406865.02</v>
      </c>
      <c r="G245" s="4">
        <v>406865.08</v>
      </c>
      <c r="H245" s="5">
        <f>60 / 86400</f>
        <v>6.9444444444444447E-4</v>
      </c>
      <c r="I245" t="s">
        <v>90</v>
      </c>
      <c r="J245" t="s">
        <v>161</v>
      </c>
      <c r="K245" s="5">
        <f>108 / 86400</f>
        <v>1.25E-3</v>
      </c>
      <c r="L245" s="5">
        <f>462 / 86400</f>
        <v>5.347222222222222E-3</v>
      </c>
    </row>
    <row r="246" spans="1:12" x14ac:dyDescent="0.25">
      <c r="A246" s="3">
        <v>45692.946030092593</v>
      </c>
      <c r="B246" t="s">
        <v>123</v>
      </c>
      <c r="C246" s="3">
        <v>45692.947280092594</v>
      </c>
      <c r="D246" t="s">
        <v>146</v>
      </c>
      <c r="E246" s="4">
        <v>9.9000000000000005E-2</v>
      </c>
      <c r="F246" s="4">
        <v>406865.08</v>
      </c>
      <c r="G246" s="4">
        <v>406865.179</v>
      </c>
      <c r="H246" s="5">
        <f>40 / 86400</f>
        <v>4.6296296296296298E-4</v>
      </c>
      <c r="I246" t="s">
        <v>54</v>
      </c>
      <c r="J246" t="s">
        <v>140</v>
      </c>
      <c r="K246" s="5">
        <f>108 / 86400</f>
        <v>1.25E-3</v>
      </c>
      <c r="L246" s="5">
        <f>247 / 86400</f>
        <v>2.8587962962962963E-3</v>
      </c>
    </row>
    <row r="247" spans="1:12" x14ac:dyDescent="0.25">
      <c r="A247" s="3">
        <v>45692.950138888889</v>
      </c>
      <c r="B247" t="s">
        <v>146</v>
      </c>
      <c r="C247" s="3">
        <v>45692.950636574074</v>
      </c>
      <c r="D247" t="s">
        <v>146</v>
      </c>
      <c r="E247" s="4">
        <v>3.0000000000000001E-3</v>
      </c>
      <c r="F247" s="4">
        <v>406865.179</v>
      </c>
      <c r="G247" s="4">
        <v>406865.18199999997</v>
      </c>
      <c r="H247" s="5">
        <f>20 / 86400</f>
        <v>2.3148148148148149E-4</v>
      </c>
      <c r="I247" t="s">
        <v>161</v>
      </c>
      <c r="J247" t="s">
        <v>55</v>
      </c>
      <c r="K247" s="5">
        <f>43 / 86400</f>
        <v>4.9768518518518521E-4</v>
      </c>
      <c r="L247" s="5">
        <f>1737 / 86400</f>
        <v>2.0104166666666666E-2</v>
      </c>
    </row>
    <row r="248" spans="1:12" x14ac:dyDescent="0.25">
      <c r="A248" s="3">
        <v>45692.97074074074</v>
      </c>
      <c r="B248" t="s">
        <v>146</v>
      </c>
      <c r="C248" s="3">
        <v>45692.9762962963</v>
      </c>
      <c r="D248" t="s">
        <v>39</v>
      </c>
      <c r="E248" s="4">
        <v>1.3620000000000001</v>
      </c>
      <c r="F248" s="4">
        <v>406865.18199999997</v>
      </c>
      <c r="G248" s="4">
        <v>406866.54399999999</v>
      </c>
      <c r="H248" s="5">
        <f>79 / 86400</f>
        <v>9.1435185185185185E-4</v>
      </c>
      <c r="I248" t="s">
        <v>187</v>
      </c>
      <c r="J248" t="s">
        <v>158</v>
      </c>
      <c r="K248" s="5">
        <f>480 / 86400</f>
        <v>5.5555555555555558E-3</v>
      </c>
      <c r="L248" s="5">
        <f>2047 / 86400</f>
        <v>2.3692129629629629E-2</v>
      </c>
    </row>
    <row r="249" spans="1:12" x14ac:dyDescent="0.25">
      <c r="A249" s="12"/>
      <c r="B249" s="12"/>
      <c r="C249" s="12"/>
      <c r="D249" s="12"/>
      <c r="E249" s="12"/>
      <c r="F249" s="12"/>
      <c r="G249" s="12"/>
      <c r="H249" s="12"/>
      <c r="I249" s="12"/>
      <c r="J249" s="12"/>
    </row>
    <row r="250" spans="1:12" x14ac:dyDescent="0.25">
      <c r="A250" s="12"/>
      <c r="B250" s="12"/>
      <c r="C250" s="12"/>
      <c r="D250" s="12"/>
      <c r="E250" s="12"/>
      <c r="F250" s="12"/>
      <c r="G250" s="12"/>
      <c r="H250" s="12"/>
      <c r="I250" s="12"/>
      <c r="J250" s="12"/>
    </row>
    <row r="251" spans="1:12" s="10" customFormat="1" ht="20.100000000000001" customHeight="1" x14ac:dyDescent="0.35">
      <c r="A251" s="15" t="s">
        <v>292</v>
      </c>
      <c r="B251" s="15"/>
      <c r="C251" s="15"/>
      <c r="D251" s="15"/>
      <c r="E251" s="15"/>
      <c r="F251" s="15"/>
      <c r="G251" s="15"/>
      <c r="H251" s="15"/>
      <c r="I251" s="15"/>
      <c r="J251" s="15"/>
    </row>
    <row r="252" spans="1:12" x14ac:dyDescent="0.25">
      <c r="A252" s="12"/>
      <c r="B252" s="12"/>
      <c r="C252" s="12"/>
      <c r="D252" s="12"/>
      <c r="E252" s="12"/>
      <c r="F252" s="12"/>
      <c r="G252" s="12"/>
      <c r="H252" s="12"/>
      <c r="I252" s="12"/>
      <c r="J252" s="12"/>
    </row>
    <row r="253" spans="1:12" ht="30" x14ac:dyDescent="0.25">
      <c r="A253" s="2" t="s">
        <v>6</v>
      </c>
      <c r="B253" s="2" t="s">
        <v>7</v>
      </c>
      <c r="C253" s="2" t="s">
        <v>8</v>
      </c>
      <c r="D253" s="2" t="s">
        <v>9</v>
      </c>
      <c r="E253" s="2" t="s">
        <v>10</v>
      </c>
      <c r="F253" s="2" t="s">
        <v>11</v>
      </c>
      <c r="G253" s="2" t="s">
        <v>12</v>
      </c>
      <c r="H253" s="2" t="s">
        <v>13</v>
      </c>
      <c r="I253" s="2" t="s">
        <v>14</v>
      </c>
      <c r="J253" s="2" t="s">
        <v>15</v>
      </c>
      <c r="K253" s="2" t="s">
        <v>16</v>
      </c>
      <c r="L253" s="2" t="s">
        <v>17</v>
      </c>
    </row>
    <row r="254" spans="1:12" x14ac:dyDescent="0.25">
      <c r="A254" s="3">
        <v>45692.27516203704</v>
      </c>
      <c r="B254" t="s">
        <v>40</v>
      </c>
      <c r="C254" s="3">
        <v>45692.282951388886</v>
      </c>
      <c r="D254" t="s">
        <v>41</v>
      </c>
      <c r="E254" s="4">
        <v>0.94</v>
      </c>
      <c r="F254" s="4">
        <v>436393.18199999997</v>
      </c>
      <c r="G254" s="4">
        <v>436394.12199999997</v>
      </c>
      <c r="H254" s="5">
        <f>439 / 86400</f>
        <v>5.0810185185185186E-3</v>
      </c>
      <c r="I254" t="s">
        <v>173</v>
      </c>
      <c r="J254" t="s">
        <v>119</v>
      </c>
      <c r="K254" s="5">
        <f>673 / 86400</f>
        <v>7.789351851851852E-3</v>
      </c>
      <c r="L254" s="5">
        <f>25247 / 86400</f>
        <v>0.29221064814814812</v>
      </c>
    </row>
    <row r="255" spans="1:12" x14ac:dyDescent="0.25">
      <c r="A255" s="3">
        <v>45692.3</v>
      </c>
      <c r="B255" t="s">
        <v>41</v>
      </c>
      <c r="C255" s="3">
        <v>45692.301493055551</v>
      </c>
      <c r="D255" t="s">
        <v>41</v>
      </c>
      <c r="E255" s="4">
        <v>1.7000000000000001E-2</v>
      </c>
      <c r="F255" s="4">
        <v>436394.12199999997</v>
      </c>
      <c r="G255" s="4">
        <v>436394.13900000002</v>
      </c>
      <c r="H255" s="5">
        <f>100 / 86400</f>
        <v>1.1574074074074073E-3</v>
      </c>
      <c r="I255" t="s">
        <v>161</v>
      </c>
      <c r="J255" t="s">
        <v>55</v>
      </c>
      <c r="K255" s="5">
        <f>129 / 86400</f>
        <v>1.4930555555555556E-3</v>
      </c>
      <c r="L255" s="5">
        <f>29853 / 86400</f>
        <v>0.34552083333333333</v>
      </c>
    </row>
    <row r="256" spans="1:12" x14ac:dyDescent="0.25">
      <c r="A256" s="3">
        <v>45692.647013888884</v>
      </c>
      <c r="B256" t="s">
        <v>41</v>
      </c>
      <c r="C256" s="3">
        <v>45692.649872685186</v>
      </c>
      <c r="D256" t="s">
        <v>196</v>
      </c>
      <c r="E256" s="4">
        <v>0.92</v>
      </c>
      <c r="F256" s="4">
        <v>436394.13900000002</v>
      </c>
      <c r="G256" s="4">
        <v>436395.05900000001</v>
      </c>
      <c r="H256" s="5">
        <f>59 / 86400</f>
        <v>6.8287037037037036E-4</v>
      </c>
      <c r="I256" t="s">
        <v>42</v>
      </c>
      <c r="J256" t="s">
        <v>58</v>
      </c>
      <c r="K256" s="5">
        <f>247 / 86400</f>
        <v>2.8587962962962963E-3</v>
      </c>
      <c r="L256" s="5">
        <f>1482 / 86400</f>
        <v>1.7152777777777777E-2</v>
      </c>
    </row>
    <row r="257" spans="1:12" x14ac:dyDescent="0.25">
      <c r="A257" s="3">
        <v>45692.667025462964</v>
      </c>
      <c r="B257" t="s">
        <v>196</v>
      </c>
      <c r="C257" s="3">
        <v>45692.67224537037</v>
      </c>
      <c r="D257" t="s">
        <v>41</v>
      </c>
      <c r="E257" s="4">
        <v>0.98399999999999999</v>
      </c>
      <c r="F257" s="4">
        <v>436395.05900000001</v>
      </c>
      <c r="G257" s="4">
        <v>436396.04300000001</v>
      </c>
      <c r="H257" s="5">
        <f>139 / 86400</f>
        <v>1.6087962962962963E-3</v>
      </c>
      <c r="I257" t="s">
        <v>134</v>
      </c>
      <c r="J257" t="s">
        <v>135</v>
      </c>
      <c r="K257" s="5">
        <f>451 / 86400</f>
        <v>5.2199074074074075E-3</v>
      </c>
      <c r="L257" s="5">
        <f>28317 / 86400</f>
        <v>0.32774305555555555</v>
      </c>
    </row>
    <row r="258" spans="1:12" x14ac:dyDescent="0.25">
      <c r="A258" s="12"/>
      <c r="B258" s="12"/>
      <c r="C258" s="12"/>
      <c r="D258" s="12"/>
      <c r="E258" s="12"/>
      <c r="F258" s="12"/>
      <c r="G258" s="12"/>
      <c r="H258" s="12"/>
      <c r="I258" s="12"/>
      <c r="J258" s="12"/>
    </row>
    <row r="259" spans="1:12" x14ac:dyDescent="0.25">
      <c r="A259" s="12"/>
      <c r="B259" s="12"/>
      <c r="C259" s="12"/>
      <c r="D259" s="12"/>
      <c r="E259" s="12"/>
      <c r="F259" s="12"/>
      <c r="G259" s="12"/>
      <c r="H259" s="12"/>
      <c r="I259" s="12"/>
      <c r="J259" s="12"/>
    </row>
    <row r="260" spans="1:12" s="10" customFormat="1" ht="20.100000000000001" customHeight="1" x14ac:dyDescent="0.35">
      <c r="A260" s="15" t="s">
        <v>293</v>
      </c>
      <c r="B260" s="15"/>
      <c r="C260" s="15"/>
      <c r="D260" s="15"/>
      <c r="E260" s="15"/>
      <c r="F260" s="15"/>
      <c r="G260" s="15"/>
      <c r="H260" s="15"/>
      <c r="I260" s="15"/>
      <c r="J260" s="15"/>
    </row>
    <row r="261" spans="1:12" x14ac:dyDescent="0.25">
      <c r="A261" s="12"/>
      <c r="B261" s="12"/>
      <c r="C261" s="12"/>
      <c r="D261" s="12"/>
      <c r="E261" s="12"/>
      <c r="F261" s="12"/>
      <c r="G261" s="12"/>
      <c r="H261" s="12"/>
      <c r="I261" s="12"/>
      <c r="J261" s="12"/>
    </row>
    <row r="262" spans="1:12" ht="30" x14ac:dyDescent="0.25">
      <c r="A262" s="2" t="s">
        <v>6</v>
      </c>
      <c r="B262" s="2" t="s">
        <v>7</v>
      </c>
      <c r="C262" s="2" t="s">
        <v>8</v>
      </c>
      <c r="D262" s="2" t="s">
        <v>9</v>
      </c>
      <c r="E262" s="2" t="s">
        <v>10</v>
      </c>
      <c r="F262" s="2" t="s">
        <v>11</v>
      </c>
      <c r="G262" s="2" t="s">
        <v>12</v>
      </c>
      <c r="H262" s="2" t="s">
        <v>13</v>
      </c>
      <c r="I262" s="2" t="s">
        <v>14</v>
      </c>
      <c r="J262" s="2" t="s">
        <v>15</v>
      </c>
      <c r="K262" s="2" t="s">
        <v>16</v>
      </c>
      <c r="L262" s="2" t="s">
        <v>17</v>
      </c>
    </row>
    <row r="263" spans="1:12" x14ac:dyDescent="0.25">
      <c r="A263" s="3">
        <v>45692.133229166662</v>
      </c>
      <c r="B263" t="s">
        <v>44</v>
      </c>
      <c r="C263" s="3">
        <v>45692.312361111108</v>
      </c>
      <c r="D263" t="s">
        <v>176</v>
      </c>
      <c r="E263" s="4">
        <v>104.83499999999999</v>
      </c>
      <c r="F263" s="4">
        <v>52280.595000000001</v>
      </c>
      <c r="G263" s="4">
        <v>52385.43</v>
      </c>
      <c r="H263" s="5">
        <f>4240 / 86400</f>
        <v>4.9074074074074076E-2</v>
      </c>
      <c r="I263" t="s">
        <v>92</v>
      </c>
      <c r="J263" t="s">
        <v>150</v>
      </c>
      <c r="K263" s="5">
        <f>15477 / 86400</f>
        <v>0.17913194444444444</v>
      </c>
      <c r="L263" s="5">
        <f>12175 / 86400</f>
        <v>0.14091435185185186</v>
      </c>
    </row>
    <row r="264" spans="1:12" x14ac:dyDescent="0.25">
      <c r="A264" s="3">
        <v>45692.3200462963</v>
      </c>
      <c r="B264" t="s">
        <v>176</v>
      </c>
      <c r="C264" s="3">
        <v>45692.321076388893</v>
      </c>
      <c r="D264" t="s">
        <v>148</v>
      </c>
      <c r="E264" s="4">
        <v>0.36899999999999999</v>
      </c>
      <c r="F264" s="4">
        <v>52385.43</v>
      </c>
      <c r="G264" s="4">
        <v>52385.798999999999</v>
      </c>
      <c r="H264" s="5">
        <f>0 / 86400</f>
        <v>0</v>
      </c>
      <c r="I264" t="s">
        <v>152</v>
      </c>
      <c r="J264" t="s">
        <v>20</v>
      </c>
      <c r="K264" s="5">
        <f>88 / 86400</f>
        <v>1.0185185185185184E-3</v>
      </c>
      <c r="L264" s="5">
        <f>181 / 86400</f>
        <v>2.0949074074074073E-3</v>
      </c>
    </row>
    <row r="265" spans="1:12" x14ac:dyDescent="0.25">
      <c r="A265" s="3">
        <v>45692.323171296295</v>
      </c>
      <c r="B265" t="s">
        <v>148</v>
      </c>
      <c r="C265" s="3">
        <v>45692.570405092592</v>
      </c>
      <c r="D265" t="s">
        <v>128</v>
      </c>
      <c r="E265" s="4">
        <v>101.247</v>
      </c>
      <c r="F265" s="4">
        <v>52385.798999999999</v>
      </c>
      <c r="G265" s="4">
        <v>52487.046000000002</v>
      </c>
      <c r="H265" s="5">
        <f>7436 / 86400</f>
        <v>8.6064814814814816E-2</v>
      </c>
      <c r="I265" t="s">
        <v>45</v>
      </c>
      <c r="J265" t="s">
        <v>25</v>
      </c>
      <c r="K265" s="5">
        <f>21361 / 86400</f>
        <v>0.2472337962962963</v>
      </c>
      <c r="L265" s="5">
        <f>241 / 86400</f>
        <v>2.7893518518518519E-3</v>
      </c>
    </row>
    <row r="266" spans="1:12" x14ac:dyDescent="0.25">
      <c r="A266" s="3">
        <v>45692.573194444441</v>
      </c>
      <c r="B266" t="s">
        <v>128</v>
      </c>
      <c r="C266" s="3">
        <v>45692.574224537035</v>
      </c>
      <c r="D266" t="s">
        <v>121</v>
      </c>
      <c r="E266" s="4">
        <v>0.191</v>
      </c>
      <c r="F266" s="4">
        <v>52487.046000000002</v>
      </c>
      <c r="G266" s="4">
        <v>52487.237000000001</v>
      </c>
      <c r="H266" s="5">
        <f>19 / 86400</f>
        <v>2.199074074074074E-4</v>
      </c>
      <c r="I266" t="s">
        <v>114</v>
      </c>
      <c r="J266" t="s">
        <v>135</v>
      </c>
      <c r="K266" s="5">
        <f>89 / 86400</f>
        <v>1.0300925925925926E-3</v>
      </c>
      <c r="L266" s="5">
        <f>257 / 86400</f>
        <v>2.9745370370370373E-3</v>
      </c>
    </row>
    <row r="267" spans="1:12" x14ac:dyDescent="0.25">
      <c r="A267" s="3">
        <v>45692.577199074076</v>
      </c>
      <c r="B267" t="s">
        <v>121</v>
      </c>
      <c r="C267" s="3">
        <v>45692.578067129631</v>
      </c>
      <c r="D267" t="s">
        <v>146</v>
      </c>
      <c r="E267" s="4">
        <v>0.219</v>
      </c>
      <c r="F267" s="4">
        <v>52487.237000000001</v>
      </c>
      <c r="G267" s="4">
        <v>52487.455999999998</v>
      </c>
      <c r="H267" s="5">
        <f>0 / 86400</f>
        <v>0</v>
      </c>
      <c r="I267" t="s">
        <v>58</v>
      </c>
      <c r="J267" t="s">
        <v>174</v>
      </c>
      <c r="K267" s="5">
        <f>75 / 86400</f>
        <v>8.6805555555555551E-4</v>
      </c>
      <c r="L267" s="5">
        <f>730 / 86400</f>
        <v>8.4490740740740741E-3</v>
      </c>
    </row>
    <row r="268" spans="1:12" x14ac:dyDescent="0.25">
      <c r="A268" s="3">
        <v>45692.586516203708</v>
      </c>
      <c r="B268" t="s">
        <v>146</v>
      </c>
      <c r="C268" s="3">
        <v>45692.58756944444</v>
      </c>
      <c r="D268" t="s">
        <v>141</v>
      </c>
      <c r="E268" s="4">
        <v>0.26400000000000001</v>
      </c>
      <c r="F268" s="4">
        <v>52487.455999999998</v>
      </c>
      <c r="G268" s="4">
        <v>52487.72</v>
      </c>
      <c r="H268" s="5">
        <f>0 / 86400</f>
        <v>0</v>
      </c>
      <c r="I268" t="s">
        <v>122</v>
      </c>
      <c r="J268" t="s">
        <v>158</v>
      </c>
      <c r="K268" s="5">
        <f>91 / 86400</f>
        <v>1.0532407407407407E-3</v>
      </c>
      <c r="L268" s="5">
        <f>139 / 86400</f>
        <v>1.6087962962962963E-3</v>
      </c>
    </row>
    <row r="269" spans="1:12" x14ac:dyDescent="0.25">
      <c r="A269" s="3">
        <v>45692.589178240742</v>
      </c>
      <c r="B269" t="s">
        <v>141</v>
      </c>
      <c r="C269" s="3">
        <v>45692.590636574074</v>
      </c>
      <c r="D269" t="s">
        <v>197</v>
      </c>
      <c r="E269" s="4">
        <v>7.2999999999999995E-2</v>
      </c>
      <c r="F269" s="4">
        <v>52487.72</v>
      </c>
      <c r="G269" s="4">
        <v>52487.792999999998</v>
      </c>
      <c r="H269" s="5">
        <f>80 / 86400</f>
        <v>9.2592592592592596E-4</v>
      </c>
      <c r="I269" t="s">
        <v>43</v>
      </c>
      <c r="J269" t="s">
        <v>161</v>
      </c>
      <c r="K269" s="5">
        <f>125 / 86400</f>
        <v>1.4467592592592592E-3</v>
      </c>
      <c r="L269" s="5">
        <f>194 / 86400</f>
        <v>2.2453703703703702E-3</v>
      </c>
    </row>
    <row r="270" spans="1:12" x14ac:dyDescent="0.25">
      <c r="A270" s="3">
        <v>45692.592881944445</v>
      </c>
      <c r="B270" t="s">
        <v>197</v>
      </c>
      <c r="C270" s="3">
        <v>45692.699895833328</v>
      </c>
      <c r="D270" t="s">
        <v>198</v>
      </c>
      <c r="E270" s="4">
        <v>46.857999999999997</v>
      </c>
      <c r="F270" s="4">
        <v>52487.792999999998</v>
      </c>
      <c r="G270" s="4">
        <v>52534.650999999998</v>
      </c>
      <c r="H270" s="5">
        <f>3121 / 86400</f>
        <v>3.6122685185185188E-2</v>
      </c>
      <c r="I270" t="s">
        <v>65</v>
      </c>
      <c r="J270" t="s">
        <v>31</v>
      </c>
      <c r="K270" s="5">
        <f>9245 / 86400</f>
        <v>0.10700231481481481</v>
      </c>
      <c r="L270" s="5">
        <f>75 / 86400</f>
        <v>8.6805555555555551E-4</v>
      </c>
    </row>
    <row r="271" spans="1:12" x14ac:dyDescent="0.25">
      <c r="A271" s="3">
        <v>45692.70076388889</v>
      </c>
      <c r="B271" t="s">
        <v>198</v>
      </c>
      <c r="C271" s="3">
        <v>45692.701608796298</v>
      </c>
      <c r="D271" t="s">
        <v>199</v>
      </c>
      <c r="E271" s="4">
        <v>4.5999999999999999E-2</v>
      </c>
      <c r="F271" s="4">
        <v>52534.650999999998</v>
      </c>
      <c r="G271" s="4">
        <v>52534.697</v>
      </c>
      <c r="H271" s="5">
        <f>40 / 86400</f>
        <v>4.6296296296296298E-4</v>
      </c>
      <c r="I271" t="s">
        <v>137</v>
      </c>
      <c r="J271" t="s">
        <v>161</v>
      </c>
      <c r="K271" s="5">
        <f>73 / 86400</f>
        <v>8.4490740740740739E-4</v>
      </c>
      <c r="L271" s="5">
        <f>252 / 86400</f>
        <v>2.9166666666666668E-3</v>
      </c>
    </row>
    <row r="272" spans="1:12" x14ac:dyDescent="0.25">
      <c r="A272" s="3">
        <v>45692.704525462963</v>
      </c>
      <c r="B272" t="s">
        <v>200</v>
      </c>
      <c r="C272" s="3">
        <v>45692.852592592593</v>
      </c>
      <c r="D272" t="s">
        <v>141</v>
      </c>
      <c r="E272" s="4">
        <v>46.048000000000002</v>
      </c>
      <c r="F272" s="4">
        <v>52534.697</v>
      </c>
      <c r="G272" s="4">
        <v>52580.745000000003</v>
      </c>
      <c r="H272" s="5">
        <f>5982 / 86400</f>
        <v>6.9236111111111109E-2</v>
      </c>
      <c r="I272" t="s">
        <v>108</v>
      </c>
      <c r="J272" t="s">
        <v>58</v>
      </c>
      <c r="K272" s="5">
        <f>12792 / 86400</f>
        <v>0.14805555555555555</v>
      </c>
      <c r="L272" s="5">
        <f>745 / 86400</f>
        <v>8.6226851851851846E-3</v>
      </c>
    </row>
    <row r="273" spans="1:12" x14ac:dyDescent="0.25">
      <c r="A273" s="3">
        <v>45692.861215277779</v>
      </c>
      <c r="B273" t="s">
        <v>197</v>
      </c>
      <c r="C273" s="3">
        <v>45692.863912037035</v>
      </c>
      <c r="D273" t="s">
        <v>44</v>
      </c>
      <c r="E273" s="4">
        <v>0.26800000000000002</v>
      </c>
      <c r="F273" s="4">
        <v>52580.745000000003</v>
      </c>
      <c r="G273" s="4">
        <v>52581.012999999999</v>
      </c>
      <c r="H273" s="5">
        <f>139 / 86400</f>
        <v>1.6087962962962963E-3</v>
      </c>
      <c r="I273" t="s">
        <v>159</v>
      </c>
      <c r="J273" t="s">
        <v>160</v>
      </c>
      <c r="K273" s="5">
        <f>233 / 86400</f>
        <v>2.6967592592592594E-3</v>
      </c>
      <c r="L273" s="5">
        <f>7081 / 86400</f>
        <v>8.1956018518518525E-2</v>
      </c>
    </row>
    <row r="274" spans="1:12" x14ac:dyDescent="0.25">
      <c r="A274" s="3">
        <v>45692.945868055554</v>
      </c>
      <c r="B274" t="s">
        <v>44</v>
      </c>
      <c r="C274" s="3">
        <v>45692.946180555555</v>
      </c>
      <c r="D274" t="s">
        <v>44</v>
      </c>
      <c r="E274" s="4">
        <v>8.0000000000000002E-3</v>
      </c>
      <c r="F274" s="4">
        <v>52581.012999999999</v>
      </c>
      <c r="G274" s="4">
        <v>52581.021000000001</v>
      </c>
      <c r="H274" s="5">
        <f>0 / 86400</f>
        <v>0</v>
      </c>
      <c r="I274" t="s">
        <v>161</v>
      </c>
      <c r="J274" t="s">
        <v>125</v>
      </c>
      <c r="K274" s="5">
        <f>27 / 86400</f>
        <v>3.1250000000000001E-4</v>
      </c>
      <c r="L274" s="5">
        <f>4649 / 86400</f>
        <v>5.3807870370370367E-2</v>
      </c>
    </row>
    <row r="275" spans="1:12" x14ac:dyDescent="0.25">
      <c r="A275" s="12"/>
      <c r="B275" s="12"/>
      <c r="C275" s="12"/>
      <c r="D275" s="12"/>
      <c r="E275" s="12"/>
      <c r="F275" s="12"/>
      <c r="G275" s="12"/>
      <c r="H275" s="12"/>
      <c r="I275" s="12"/>
      <c r="J275" s="12"/>
    </row>
    <row r="276" spans="1:12" x14ac:dyDescent="0.25">
      <c r="A276" s="12"/>
      <c r="B276" s="12"/>
      <c r="C276" s="12"/>
      <c r="D276" s="12"/>
      <c r="E276" s="12"/>
      <c r="F276" s="12"/>
      <c r="G276" s="12"/>
      <c r="H276" s="12"/>
      <c r="I276" s="12"/>
      <c r="J276" s="12"/>
    </row>
    <row r="277" spans="1:12" s="10" customFormat="1" ht="20.100000000000001" customHeight="1" x14ac:dyDescent="0.35">
      <c r="A277" s="15" t="s">
        <v>294</v>
      </c>
      <c r="B277" s="15"/>
      <c r="C277" s="15"/>
      <c r="D277" s="15"/>
      <c r="E277" s="15"/>
      <c r="F277" s="15"/>
      <c r="G277" s="15"/>
      <c r="H277" s="15"/>
      <c r="I277" s="15"/>
      <c r="J277" s="15"/>
    </row>
    <row r="278" spans="1:12" x14ac:dyDescent="0.25">
      <c r="A278" s="12"/>
      <c r="B278" s="12"/>
      <c r="C278" s="12"/>
      <c r="D278" s="12"/>
      <c r="E278" s="12"/>
      <c r="F278" s="12"/>
      <c r="G278" s="12"/>
      <c r="H278" s="12"/>
      <c r="I278" s="12"/>
      <c r="J278" s="12"/>
    </row>
    <row r="279" spans="1:12" ht="30" x14ac:dyDescent="0.25">
      <c r="A279" s="2" t="s">
        <v>6</v>
      </c>
      <c r="B279" s="2" t="s">
        <v>7</v>
      </c>
      <c r="C279" s="2" t="s">
        <v>8</v>
      </c>
      <c r="D279" s="2" t="s">
        <v>9</v>
      </c>
      <c r="E279" s="2" t="s">
        <v>10</v>
      </c>
      <c r="F279" s="2" t="s">
        <v>11</v>
      </c>
      <c r="G279" s="2" t="s">
        <v>12</v>
      </c>
      <c r="H279" s="2" t="s">
        <v>13</v>
      </c>
      <c r="I279" s="2" t="s">
        <v>14</v>
      </c>
      <c r="J279" s="2" t="s">
        <v>15</v>
      </c>
      <c r="K279" s="2" t="s">
        <v>16</v>
      </c>
      <c r="L279" s="2" t="s">
        <v>17</v>
      </c>
    </row>
    <row r="280" spans="1:12" x14ac:dyDescent="0.25">
      <c r="A280" s="3">
        <v>45692.322083333333</v>
      </c>
      <c r="B280" t="s">
        <v>46</v>
      </c>
      <c r="C280" s="3">
        <v>45692.327696759261</v>
      </c>
      <c r="D280" t="s">
        <v>148</v>
      </c>
      <c r="E280" s="4">
        <v>0.94599999999999995</v>
      </c>
      <c r="F280" s="4">
        <v>214234.655</v>
      </c>
      <c r="G280" s="4">
        <v>214235.601</v>
      </c>
      <c r="H280" s="5">
        <f>179 / 86400</f>
        <v>2.0717592592592593E-3</v>
      </c>
      <c r="I280" t="s">
        <v>155</v>
      </c>
      <c r="J280" t="s">
        <v>43</v>
      </c>
      <c r="K280" s="5">
        <f>485 / 86400</f>
        <v>5.6134259259259262E-3</v>
      </c>
      <c r="L280" s="5">
        <f>28096 / 86400</f>
        <v>0.32518518518518519</v>
      </c>
    </row>
    <row r="281" spans="1:12" x14ac:dyDescent="0.25">
      <c r="A281" s="3">
        <v>45692.33079861111</v>
      </c>
      <c r="B281" t="s">
        <v>148</v>
      </c>
      <c r="C281" s="3">
        <v>45692.33458333333</v>
      </c>
      <c r="D281" t="s">
        <v>201</v>
      </c>
      <c r="E281" s="4">
        <v>0.96399999999999997</v>
      </c>
      <c r="F281" s="4">
        <v>214235.601</v>
      </c>
      <c r="G281" s="4">
        <v>214236.565</v>
      </c>
      <c r="H281" s="5">
        <f>40 / 86400</f>
        <v>4.6296296296296298E-4</v>
      </c>
      <c r="I281" t="s">
        <v>152</v>
      </c>
      <c r="J281" t="s">
        <v>174</v>
      </c>
      <c r="K281" s="5">
        <f>327 / 86400</f>
        <v>3.7847222222222223E-3</v>
      </c>
      <c r="L281" s="5">
        <f>1161 / 86400</f>
        <v>1.34375E-2</v>
      </c>
    </row>
    <row r="282" spans="1:12" x14ac:dyDescent="0.25">
      <c r="A282" s="3">
        <v>45692.348020833335</v>
      </c>
      <c r="B282" t="s">
        <v>201</v>
      </c>
      <c r="C282" s="3">
        <v>45692.352743055555</v>
      </c>
      <c r="D282" t="s">
        <v>40</v>
      </c>
      <c r="E282" s="4">
        <v>0.56399999999999995</v>
      </c>
      <c r="F282" s="4">
        <v>214236.565</v>
      </c>
      <c r="G282" s="4">
        <v>214237.12899999999</v>
      </c>
      <c r="H282" s="5">
        <f>200 / 86400</f>
        <v>2.3148148148148147E-3</v>
      </c>
      <c r="I282" t="s">
        <v>167</v>
      </c>
      <c r="J282" t="s">
        <v>119</v>
      </c>
      <c r="K282" s="5">
        <f>408 / 86400</f>
        <v>4.7222222222222223E-3</v>
      </c>
      <c r="L282" s="5">
        <f>51 / 86400</f>
        <v>5.9027777777777778E-4</v>
      </c>
    </row>
    <row r="283" spans="1:12" x14ac:dyDescent="0.25">
      <c r="A283" s="3">
        <v>45692.353333333333</v>
      </c>
      <c r="B283" t="s">
        <v>40</v>
      </c>
      <c r="C283" s="3">
        <v>45692.355532407411</v>
      </c>
      <c r="D283" t="s">
        <v>146</v>
      </c>
      <c r="E283" s="4">
        <v>0.88300000000000001</v>
      </c>
      <c r="F283" s="4">
        <v>214237.12899999999</v>
      </c>
      <c r="G283" s="4">
        <v>214238.01199999999</v>
      </c>
      <c r="H283" s="5">
        <f>0 / 86400</f>
        <v>0</v>
      </c>
      <c r="I283" t="s">
        <v>189</v>
      </c>
      <c r="J283" t="s">
        <v>25</v>
      </c>
      <c r="K283" s="5">
        <f>190 / 86400</f>
        <v>2.1990740740740742E-3</v>
      </c>
      <c r="L283" s="5">
        <f>249 / 86400</f>
        <v>2.8819444444444444E-3</v>
      </c>
    </row>
    <row r="284" spans="1:12" x14ac:dyDescent="0.25">
      <c r="A284" s="3">
        <v>45692.358414351853</v>
      </c>
      <c r="B284" t="s">
        <v>146</v>
      </c>
      <c r="C284" s="3">
        <v>45692.358576388884</v>
      </c>
      <c r="D284" t="s">
        <v>146</v>
      </c>
      <c r="E284" s="4">
        <v>2E-3</v>
      </c>
      <c r="F284" s="4">
        <v>214238.01199999999</v>
      </c>
      <c r="G284" s="4">
        <v>214238.014</v>
      </c>
      <c r="H284" s="5">
        <f>0 / 86400</f>
        <v>0</v>
      </c>
      <c r="I284" t="s">
        <v>55</v>
      </c>
      <c r="J284" t="s">
        <v>125</v>
      </c>
      <c r="K284" s="5">
        <f>14 / 86400</f>
        <v>1.6203703703703703E-4</v>
      </c>
      <c r="L284" s="5">
        <f>1024 / 86400</f>
        <v>1.1851851851851851E-2</v>
      </c>
    </row>
    <row r="285" spans="1:12" x14ac:dyDescent="0.25">
      <c r="A285" s="3">
        <v>45692.370428240742</v>
      </c>
      <c r="B285" t="s">
        <v>128</v>
      </c>
      <c r="C285" s="3">
        <v>45692.372523148151</v>
      </c>
      <c r="D285" t="s">
        <v>129</v>
      </c>
      <c r="E285" s="4">
        <v>0.76500000000000001</v>
      </c>
      <c r="F285" s="4">
        <v>214238.014</v>
      </c>
      <c r="G285" s="4">
        <v>214238.77900000001</v>
      </c>
      <c r="H285" s="5">
        <f>14 / 86400</f>
        <v>1.6203703703703703E-4</v>
      </c>
      <c r="I285" t="s">
        <v>173</v>
      </c>
      <c r="J285" t="s">
        <v>20</v>
      </c>
      <c r="K285" s="5">
        <f>181 / 86400</f>
        <v>2.0949074074074073E-3</v>
      </c>
      <c r="L285" s="5">
        <f>45 / 86400</f>
        <v>5.2083333333333333E-4</v>
      </c>
    </row>
    <row r="286" spans="1:12" x14ac:dyDescent="0.25">
      <c r="A286" s="3">
        <v>45692.373043981483</v>
      </c>
      <c r="B286" t="s">
        <v>138</v>
      </c>
      <c r="C286" s="3">
        <v>45692.373171296298</v>
      </c>
      <c r="D286" t="s">
        <v>129</v>
      </c>
      <c r="E286" s="4">
        <v>3.0000000000000001E-3</v>
      </c>
      <c r="F286" s="4">
        <v>214238.77900000001</v>
      </c>
      <c r="G286" s="4">
        <v>214238.78200000001</v>
      </c>
      <c r="H286" s="5">
        <f>0 / 86400</f>
        <v>0</v>
      </c>
      <c r="I286" t="s">
        <v>55</v>
      </c>
      <c r="J286" t="s">
        <v>125</v>
      </c>
      <c r="K286" s="5">
        <f>10 / 86400</f>
        <v>1.1574074074074075E-4</v>
      </c>
      <c r="L286" s="5">
        <f>153 / 86400</f>
        <v>1.7708333333333332E-3</v>
      </c>
    </row>
    <row r="287" spans="1:12" x14ac:dyDescent="0.25">
      <c r="A287" s="3">
        <v>45692.374942129631</v>
      </c>
      <c r="B287" t="s">
        <v>129</v>
      </c>
      <c r="C287" s="3">
        <v>45692.375115740739</v>
      </c>
      <c r="D287" t="s">
        <v>129</v>
      </c>
      <c r="E287" s="4">
        <v>4.0000000000000001E-3</v>
      </c>
      <c r="F287" s="4">
        <v>214238.78200000001</v>
      </c>
      <c r="G287" s="4">
        <v>214238.78599999999</v>
      </c>
      <c r="H287" s="5">
        <f>0 / 86400</f>
        <v>0</v>
      </c>
      <c r="I287" t="s">
        <v>119</v>
      </c>
      <c r="J287" t="s">
        <v>125</v>
      </c>
      <c r="K287" s="5">
        <f>14 / 86400</f>
        <v>1.6203703703703703E-4</v>
      </c>
      <c r="L287" s="5">
        <f>300 / 86400</f>
        <v>3.472222222222222E-3</v>
      </c>
    </row>
    <row r="288" spans="1:12" x14ac:dyDescent="0.25">
      <c r="A288" s="3">
        <v>45692.378587962958</v>
      </c>
      <c r="B288" t="s">
        <v>129</v>
      </c>
      <c r="C288" s="3">
        <v>45692.638726851852</v>
      </c>
      <c r="D288" t="s">
        <v>202</v>
      </c>
      <c r="E288" s="4">
        <v>101.057</v>
      </c>
      <c r="F288" s="4">
        <v>214238.78599999999</v>
      </c>
      <c r="G288" s="4">
        <v>214339.84299999999</v>
      </c>
      <c r="H288" s="5">
        <f>7852 / 86400</f>
        <v>9.087962962962963E-2</v>
      </c>
      <c r="I288" t="s">
        <v>30</v>
      </c>
      <c r="J288" t="s">
        <v>36</v>
      </c>
      <c r="K288" s="5">
        <f>22475 / 86400</f>
        <v>0.26012731481481483</v>
      </c>
      <c r="L288" s="5">
        <f>109 / 86400</f>
        <v>1.261574074074074E-3</v>
      </c>
    </row>
    <row r="289" spans="1:12" x14ac:dyDescent="0.25">
      <c r="A289" s="3">
        <v>45692.63998842593</v>
      </c>
      <c r="B289" t="s">
        <v>202</v>
      </c>
      <c r="C289" s="3">
        <v>45692.642222222217</v>
      </c>
      <c r="D289" t="s">
        <v>46</v>
      </c>
      <c r="E289" s="4">
        <v>0.58099999999999996</v>
      </c>
      <c r="F289" s="4">
        <v>214339.84299999999</v>
      </c>
      <c r="G289" s="4">
        <v>214340.424</v>
      </c>
      <c r="H289" s="5">
        <f>20 / 86400</f>
        <v>2.3148148148148149E-4</v>
      </c>
      <c r="I289" t="s">
        <v>155</v>
      </c>
      <c r="J289" t="s">
        <v>174</v>
      </c>
      <c r="K289" s="5">
        <f>193 / 86400</f>
        <v>2.2337962962962962E-3</v>
      </c>
      <c r="L289" s="5">
        <f>230 / 86400</f>
        <v>2.662037037037037E-3</v>
      </c>
    </row>
    <row r="290" spans="1:12" x14ac:dyDescent="0.25">
      <c r="A290" s="3">
        <v>45692.644884259258</v>
      </c>
      <c r="B290" t="s">
        <v>46</v>
      </c>
      <c r="C290" s="3">
        <v>45692.645104166666</v>
      </c>
      <c r="D290" t="s">
        <v>46</v>
      </c>
      <c r="E290" s="4">
        <v>2E-3</v>
      </c>
      <c r="F290" s="4">
        <v>214340.424</v>
      </c>
      <c r="G290" s="4">
        <v>214340.42600000001</v>
      </c>
      <c r="H290" s="5">
        <f>0 / 86400</f>
        <v>0</v>
      </c>
      <c r="I290" t="s">
        <v>55</v>
      </c>
      <c r="J290" t="s">
        <v>55</v>
      </c>
      <c r="K290" s="5">
        <f>19 / 86400</f>
        <v>2.199074074074074E-4</v>
      </c>
      <c r="L290" s="5">
        <f>598 / 86400</f>
        <v>6.9212962962962961E-3</v>
      </c>
    </row>
    <row r="291" spans="1:12" x14ac:dyDescent="0.25">
      <c r="A291" s="3">
        <v>45692.652025462958</v>
      </c>
      <c r="B291" t="s">
        <v>46</v>
      </c>
      <c r="C291" s="3">
        <v>45692.656215277777</v>
      </c>
      <c r="D291" t="s">
        <v>46</v>
      </c>
      <c r="E291" s="4">
        <v>0</v>
      </c>
      <c r="F291" s="4">
        <v>214340.42600000001</v>
      </c>
      <c r="G291" s="4">
        <v>214340.42600000001</v>
      </c>
      <c r="H291" s="5">
        <f>359 / 86400</f>
        <v>4.1550925925925922E-3</v>
      </c>
      <c r="I291" t="s">
        <v>55</v>
      </c>
      <c r="J291" t="s">
        <v>55</v>
      </c>
      <c r="K291" s="5">
        <f>362 / 86400</f>
        <v>4.1898148148148146E-3</v>
      </c>
      <c r="L291" s="5">
        <f>3 / 86400</f>
        <v>3.4722222222222222E-5</v>
      </c>
    </row>
    <row r="292" spans="1:12" x14ac:dyDescent="0.25">
      <c r="A292" s="3">
        <v>45692.65625</v>
      </c>
      <c r="B292" t="s">
        <v>46</v>
      </c>
      <c r="C292" s="3">
        <v>45692.667326388888</v>
      </c>
      <c r="D292" t="s">
        <v>46</v>
      </c>
      <c r="E292" s="4">
        <v>1E-3</v>
      </c>
      <c r="F292" s="4">
        <v>214340.42600000001</v>
      </c>
      <c r="G292" s="4">
        <v>214340.427</v>
      </c>
      <c r="H292" s="5">
        <f>954 / 86400</f>
        <v>1.1041666666666667E-2</v>
      </c>
      <c r="I292" t="s">
        <v>55</v>
      </c>
      <c r="J292" t="s">
        <v>55</v>
      </c>
      <c r="K292" s="5">
        <f>957 / 86400</f>
        <v>1.1076388888888889E-2</v>
      </c>
      <c r="L292" s="5">
        <f>5838 / 86400</f>
        <v>6.7569444444444446E-2</v>
      </c>
    </row>
    <row r="293" spans="1:12" x14ac:dyDescent="0.25">
      <c r="A293" s="3">
        <v>45692.734895833331</v>
      </c>
      <c r="B293" t="s">
        <v>46</v>
      </c>
      <c r="C293" s="3">
        <v>45692.73501157407</v>
      </c>
      <c r="D293" t="s">
        <v>46</v>
      </c>
      <c r="E293" s="4">
        <v>0</v>
      </c>
      <c r="F293" s="4">
        <v>214340.427</v>
      </c>
      <c r="G293" s="4">
        <v>214340.427</v>
      </c>
      <c r="H293" s="5">
        <f>0 / 86400</f>
        <v>0</v>
      </c>
      <c r="I293" t="s">
        <v>55</v>
      </c>
      <c r="J293" t="s">
        <v>55</v>
      </c>
      <c r="K293" s="5">
        <f>9 / 86400</f>
        <v>1.0416666666666667E-4</v>
      </c>
      <c r="L293" s="5">
        <f>517 / 86400</f>
        <v>5.9837962962962961E-3</v>
      </c>
    </row>
    <row r="294" spans="1:12" x14ac:dyDescent="0.25">
      <c r="A294" s="3">
        <v>45692.740995370375</v>
      </c>
      <c r="B294" t="s">
        <v>46</v>
      </c>
      <c r="C294" s="3">
        <v>45692.7496875</v>
      </c>
      <c r="D294" t="s">
        <v>128</v>
      </c>
      <c r="E294" s="4">
        <v>0.97599999999999998</v>
      </c>
      <c r="F294" s="4">
        <v>214340.427</v>
      </c>
      <c r="G294" s="4">
        <v>214341.40299999999</v>
      </c>
      <c r="H294" s="5">
        <f>539 / 86400</f>
        <v>6.2384259259259259E-3</v>
      </c>
      <c r="I294" t="s">
        <v>159</v>
      </c>
      <c r="J294" t="s">
        <v>119</v>
      </c>
      <c r="K294" s="5">
        <f>751 / 86400</f>
        <v>8.6921296296296295E-3</v>
      </c>
      <c r="L294" s="5">
        <f>287 / 86400</f>
        <v>3.3217592592592591E-3</v>
      </c>
    </row>
    <row r="295" spans="1:12" x14ac:dyDescent="0.25">
      <c r="A295" s="3">
        <v>45692.753009259264</v>
      </c>
      <c r="B295" t="s">
        <v>128</v>
      </c>
      <c r="C295" s="3">
        <v>45692.756203703699</v>
      </c>
      <c r="D295" t="s">
        <v>128</v>
      </c>
      <c r="E295" s="4">
        <v>0</v>
      </c>
      <c r="F295" s="4">
        <v>214341.40299999999</v>
      </c>
      <c r="G295" s="4">
        <v>214341.40299999999</v>
      </c>
      <c r="H295" s="5">
        <f>259 / 86400</f>
        <v>2.9976851851851853E-3</v>
      </c>
      <c r="I295" t="s">
        <v>55</v>
      </c>
      <c r="J295" t="s">
        <v>55</v>
      </c>
      <c r="K295" s="5">
        <f>275 / 86400</f>
        <v>3.1828703703703702E-3</v>
      </c>
      <c r="L295" s="5">
        <f>1235 / 86400</f>
        <v>1.4293981481481482E-2</v>
      </c>
    </row>
    <row r="296" spans="1:12" x14ac:dyDescent="0.25">
      <c r="A296" s="3">
        <v>45692.770497685182</v>
      </c>
      <c r="B296" t="s">
        <v>128</v>
      </c>
      <c r="C296" s="3">
        <v>45692.77270833333</v>
      </c>
      <c r="D296" t="s">
        <v>146</v>
      </c>
      <c r="E296" s="4">
        <v>3.4000000000000002E-2</v>
      </c>
      <c r="F296" s="4">
        <v>214341.40299999999</v>
      </c>
      <c r="G296" s="4">
        <v>214341.43700000001</v>
      </c>
      <c r="H296" s="5">
        <f>160 / 86400</f>
        <v>1.8518518518518519E-3</v>
      </c>
      <c r="I296" t="s">
        <v>137</v>
      </c>
      <c r="J296" t="s">
        <v>125</v>
      </c>
      <c r="K296" s="5">
        <f>191 / 86400</f>
        <v>2.2106481481481482E-3</v>
      </c>
      <c r="L296" s="5">
        <f>2939 / 86400</f>
        <v>3.4016203703703701E-2</v>
      </c>
    </row>
    <row r="297" spans="1:12" x14ac:dyDescent="0.25">
      <c r="A297" s="3">
        <v>45692.806724537033</v>
      </c>
      <c r="B297" t="s">
        <v>146</v>
      </c>
      <c r="C297" s="3">
        <v>45692.811701388884</v>
      </c>
      <c r="D297" t="s">
        <v>46</v>
      </c>
      <c r="E297" s="4">
        <v>0.79300000000000004</v>
      </c>
      <c r="F297" s="4">
        <v>214341.43700000001</v>
      </c>
      <c r="G297" s="4">
        <v>214342.23</v>
      </c>
      <c r="H297" s="5">
        <f>260 / 86400</f>
        <v>3.0092592592592593E-3</v>
      </c>
      <c r="I297" t="s">
        <v>134</v>
      </c>
      <c r="J297" t="s">
        <v>43</v>
      </c>
      <c r="K297" s="5">
        <f>430 / 86400</f>
        <v>4.9768518518518521E-3</v>
      </c>
      <c r="L297" s="5">
        <f>1873 / 86400</f>
        <v>2.1678240740740741E-2</v>
      </c>
    </row>
    <row r="298" spans="1:12" x14ac:dyDescent="0.25">
      <c r="A298" s="3">
        <v>45692.833379629628</v>
      </c>
      <c r="B298" t="s">
        <v>46</v>
      </c>
      <c r="C298" s="3">
        <v>45692.835266203707</v>
      </c>
      <c r="D298" t="s">
        <v>46</v>
      </c>
      <c r="E298" s="4">
        <v>0.129</v>
      </c>
      <c r="F298" s="4">
        <v>214342.23</v>
      </c>
      <c r="G298" s="4">
        <v>214342.359</v>
      </c>
      <c r="H298" s="5">
        <f>40 / 86400</f>
        <v>4.6296296296296298E-4</v>
      </c>
      <c r="I298" t="s">
        <v>43</v>
      </c>
      <c r="J298" t="s">
        <v>140</v>
      </c>
      <c r="K298" s="5">
        <f>162 / 86400</f>
        <v>1.8749999999999999E-3</v>
      </c>
      <c r="L298" s="5">
        <f>3096 / 86400</f>
        <v>3.5833333333333335E-2</v>
      </c>
    </row>
    <row r="299" spans="1:12" x14ac:dyDescent="0.25">
      <c r="A299" s="3">
        <v>45692.871099537035</v>
      </c>
      <c r="B299" t="s">
        <v>46</v>
      </c>
      <c r="C299" s="3">
        <v>45692.871238425927</v>
      </c>
      <c r="D299" t="s">
        <v>46</v>
      </c>
      <c r="E299" s="4">
        <v>0</v>
      </c>
      <c r="F299" s="4">
        <v>214342.359</v>
      </c>
      <c r="G299" s="4">
        <v>214342.359</v>
      </c>
      <c r="H299" s="5">
        <f>0 / 86400</f>
        <v>0</v>
      </c>
      <c r="I299" t="s">
        <v>55</v>
      </c>
      <c r="J299" t="s">
        <v>55</v>
      </c>
      <c r="K299" s="5">
        <f>12 / 86400</f>
        <v>1.3888888888888889E-4</v>
      </c>
      <c r="L299" s="5">
        <f>11124 / 86400</f>
        <v>0.12875</v>
      </c>
    </row>
    <row r="300" spans="1:12" x14ac:dyDescent="0.25">
      <c r="A300" s="12"/>
      <c r="B300" s="12"/>
      <c r="C300" s="12"/>
      <c r="D300" s="12"/>
      <c r="E300" s="12"/>
      <c r="F300" s="12"/>
      <c r="G300" s="12"/>
      <c r="H300" s="12"/>
      <c r="I300" s="12"/>
      <c r="J300" s="12"/>
    </row>
    <row r="301" spans="1:12" x14ac:dyDescent="0.25">
      <c r="A301" s="12"/>
      <c r="B301" s="12"/>
      <c r="C301" s="12"/>
      <c r="D301" s="12"/>
      <c r="E301" s="12"/>
      <c r="F301" s="12"/>
      <c r="G301" s="12"/>
      <c r="H301" s="12"/>
      <c r="I301" s="12"/>
      <c r="J301" s="12"/>
    </row>
    <row r="302" spans="1:12" s="10" customFormat="1" ht="20.100000000000001" customHeight="1" x14ac:dyDescent="0.35">
      <c r="A302" s="15" t="s">
        <v>295</v>
      </c>
      <c r="B302" s="15"/>
      <c r="C302" s="15"/>
      <c r="D302" s="15"/>
      <c r="E302" s="15"/>
      <c r="F302" s="15"/>
      <c r="G302" s="15"/>
      <c r="H302" s="15"/>
      <c r="I302" s="15"/>
      <c r="J302" s="15"/>
    </row>
    <row r="303" spans="1:12" x14ac:dyDescent="0.25">
      <c r="A303" s="12"/>
      <c r="B303" s="12"/>
      <c r="C303" s="12"/>
      <c r="D303" s="12"/>
      <c r="E303" s="12"/>
      <c r="F303" s="12"/>
      <c r="G303" s="12"/>
      <c r="H303" s="12"/>
      <c r="I303" s="12"/>
      <c r="J303" s="12"/>
    </row>
    <row r="304" spans="1:12" ht="30" x14ac:dyDescent="0.25">
      <c r="A304" s="2" t="s">
        <v>6</v>
      </c>
      <c r="B304" s="2" t="s">
        <v>7</v>
      </c>
      <c r="C304" s="2" t="s">
        <v>8</v>
      </c>
      <c r="D304" s="2" t="s">
        <v>9</v>
      </c>
      <c r="E304" s="2" t="s">
        <v>10</v>
      </c>
      <c r="F304" s="2" t="s">
        <v>11</v>
      </c>
      <c r="G304" s="2" t="s">
        <v>12</v>
      </c>
      <c r="H304" s="2" t="s">
        <v>13</v>
      </c>
      <c r="I304" s="2" t="s">
        <v>14</v>
      </c>
      <c r="J304" s="2" t="s">
        <v>15</v>
      </c>
      <c r="K304" s="2" t="s">
        <v>16</v>
      </c>
      <c r="L304" s="2" t="s">
        <v>17</v>
      </c>
    </row>
    <row r="305" spans="1:12" x14ac:dyDescent="0.25">
      <c r="A305" s="3">
        <v>45692.246724537035</v>
      </c>
      <c r="B305" t="s">
        <v>47</v>
      </c>
      <c r="C305" s="3">
        <v>45692.252824074079</v>
      </c>
      <c r="D305" t="s">
        <v>143</v>
      </c>
      <c r="E305" s="4">
        <v>1.5720000000000001</v>
      </c>
      <c r="F305" s="4">
        <v>523575.15500000003</v>
      </c>
      <c r="G305" s="4">
        <v>523576.72700000001</v>
      </c>
      <c r="H305" s="5">
        <f>59 / 86400</f>
        <v>6.8287037037037036E-4</v>
      </c>
      <c r="I305" t="s">
        <v>203</v>
      </c>
      <c r="J305" t="s">
        <v>174</v>
      </c>
      <c r="K305" s="5">
        <f>527 / 86400</f>
        <v>6.099537037037037E-3</v>
      </c>
      <c r="L305" s="5">
        <f>23818 / 86400</f>
        <v>0.27567129629629628</v>
      </c>
    </row>
    <row r="306" spans="1:12" x14ac:dyDescent="0.25">
      <c r="A306" s="3">
        <v>45692.281770833331</v>
      </c>
      <c r="B306" t="s">
        <v>143</v>
      </c>
      <c r="C306" s="3">
        <v>45692.530821759261</v>
      </c>
      <c r="D306" t="s">
        <v>46</v>
      </c>
      <c r="E306" s="4">
        <v>79.567999999999998</v>
      </c>
      <c r="F306" s="4">
        <v>523576.72700000001</v>
      </c>
      <c r="G306" s="4">
        <v>523656.29499999998</v>
      </c>
      <c r="H306" s="5">
        <f>11419 / 86400</f>
        <v>0.13216435185185185</v>
      </c>
      <c r="I306" t="s">
        <v>48</v>
      </c>
      <c r="J306" t="s">
        <v>58</v>
      </c>
      <c r="K306" s="5">
        <f>21517 / 86400</f>
        <v>0.24903935185185186</v>
      </c>
      <c r="L306" s="5">
        <f>1900 / 86400</f>
        <v>2.1990740740740741E-2</v>
      </c>
    </row>
    <row r="307" spans="1:12" x14ac:dyDescent="0.25">
      <c r="A307" s="3">
        <v>45692.552812499998</v>
      </c>
      <c r="B307" t="s">
        <v>46</v>
      </c>
      <c r="C307" s="3">
        <v>45692.555636574078</v>
      </c>
      <c r="D307" t="s">
        <v>128</v>
      </c>
      <c r="E307" s="4">
        <v>0.98699999999999999</v>
      </c>
      <c r="F307" s="4">
        <v>523656.29499999998</v>
      </c>
      <c r="G307" s="4">
        <v>523657.28200000001</v>
      </c>
      <c r="H307" s="5">
        <f>40 / 86400</f>
        <v>4.6296296296296298E-4</v>
      </c>
      <c r="I307" t="s">
        <v>204</v>
      </c>
      <c r="J307" t="s">
        <v>20</v>
      </c>
      <c r="K307" s="5">
        <f>243 / 86400</f>
        <v>2.8124999999999999E-3</v>
      </c>
      <c r="L307" s="5">
        <f>254 / 86400</f>
        <v>2.9398148148148148E-3</v>
      </c>
    </row>
    <row r="308" spans="1:12" x14ac:dyDescent="0.25">
      <c r="A308" s="3">
        <v>45692.558576388888</v>
      </c>
      <c r="B308" t="s">
        <v>128</v>
      </c>
      <c r="C308" s="3">
        <v>45692.55914351852</v>
      </c>
      <c r="D308" t="s">
        <v>128</v>
      </c>
      <c r="E308" s="4">
        <v>2.7E-2</v>
      </c>
      <c r="F308" s="4">
        <v>523657.28200000001</v>
      </c>
      <c r="G308" s="4">
        <v>523657.30900000001</v>
      </c>
      <c r="H308" s="5">
        <f>0 / 86400</f>
        <v>0</v>
      </c>
      <c r="I308" t="s">
        <v>119</v>
      </c>
      <c r="J308" t="s">
        <v>161</v>
      </c>
      <c r="K308" s="5">
        <f>48 / 86400</f>
        <v>5.5555555555555556E-4</v>
      </c>
      <c r="L308" s="5">
        <f>282 / 86400</f>
        <v>3.2638888888888891E-3</v>
      </c>
    </row>
    <row r="309" spans="1:12" x14ac:dyDescent="0.25">
      <c r="A309" s="3">
        <v>45692.562407407408</v>
      </c>
      <c r="B309" t="s">
        <v>128</v>
      </c>
      <c r="C309" s="3">
        <v>45692.565486111111</v>
      </c>
      <c r="D309" t="s">
        <v>123</v>
      </c>
      <c r="E309" s="4">
        <v>0.55100000000000005</v>
      </c>
      <c r="F309" s="4">
        <v>523657.30900000001</v>
      </c>
      <c r="G309" s="4">
        <v>523657.86</v>
      </c>
      <c r="H309" s="5">
        <f>100 / 86400</f>
        <v>1.1574074074074073E-3</v>
      </c>
      <c r="I309" t="s">
        <v>134</v>
      </c>
      <c r="J309" t="s">
        <v>43</v>
      </c>
      <c r="K309" s="5">
        <f>265 / 86400</f>
        <v>3.0671296296296297E-3</v>
      </c>
      <c r="L309" s="5">
        <f>1625 / 86400</f>
        <v>1.8807870370370371E-2</v>
      </c>
    </row>
    <row r="310" spans="1:12" x14ac:dyDescent="0.25">
      <c r="A310" s="3">
        <v>45692.584293981483</v>
      </c>
      <c r="B310" t="s">
        <v>123</v>
      </c>
      <c r="C310" s="3">
        <v>45692.58493055556</v>
      </c>
      <c r="D310" t="s">
        <v>129</v>
      </c>
      <c r="E310" s="4">
        <v>0.11700000000000001</v>
      </c>
      <c r="F310" s="4">
        <v>523657.86</v>
      </c>
      <c r="G310" s="4">
        <v>523657.97700000001</v>
      </c>
      <c r="H310" s="5">
        <f>0 / 86400</f>
        <v>0</v>
      </c>
      <c r="I310" t="s">
        <v>70</v>
      </c>
      <c r="J310" t="s">
        <v>135</v>
      </c>
      <c r="K310" s="5">
        <f>55 / 86400</f>
        <v>6.3657407407407413E-4</v>
      </c>
      <c r="L310" s="5">
        <f>193 / 86400</f>
        <v>2.2337962962962962E-3</v>
      </c>
    </row>
    <row r="311" spans="1:12" x14ac:dyDescent="0.25">
      <c r="A311" s="3">
        <v>45692.587164351848</v>
      </c>
      <c r="B311" t="s">
        <v>129</v>
      </c>
      <c r="C311" s="3">
        <v>45692.58730324074</v>
      </c>
      <c r="D311" t="s">
        <v>129</v>
      </c>
      <c r="E311" s="4">
        <v>5.0000000000000001E-3</v>
      </c>
      <c r="F311" s="4">
        <v>523657.97700000001</v>
      </c>
      <c r="G311" s="4">
        <v>523657.98200000002</v>
      </c>
      <c r="H311" s="5">
        <f>0 / 86400</f>
        <v>0</v>
      </c>
      <c r="I311" t="s">
        <v>55</v>
      </c>
      <c r="J311" t="s">
        <v>161</v>
      </c>
      <c r="K311" s="5">
        <f>11 / 86400</f>
        <v>1.273148148148148E-4</v>
      </c>
      <c r="L311" s="5">
        <f>315 / 86400</f>
        <v>3.6458333333333334E-3</v>
      </c>
    </row>
    <row r="312" spans="1:12" x14ac:dyDescent="0.25">
      <c r="A312" s="3">
        <v>45692.590949074074</v>
      </c>
      <c r="B312" t="s">
        <v>129</v>
      </c>
      <c r="C312" s="3">
        <v>45692.704432870371</v>
      </c>
      <c r="D312" t="s">
        <v>133</v>
      </c>
      <c r="E312" s="4">
        <v>50.637999999999998</v>
      </c>
      <c r="F312" s="4">
        <v>523657.98200000002</v>
      </c>
      <c r="G312" s="4">
        <v>523708.62</v>
      </c>
      <c r="H312" s="5">
        <f>4440 / 86400</f>
        <v>5.1388888888888887E-2</v>
      </c>
      <c r="I312" t="s">
        <v>107</v>
      </c>
      <c r="J312" t="s">
        <v>70</v>
      </c>
      <c r="K312" s="5">
        <f>9805 / 86400</f>
        <v>0.11348379629629629</v>
      </c>
      <c r="L312" s="5">
        <f>230 / 86400</f>
        <v>2.662037037037037E-3</v>
      </c>
    </row>
    <row r="313" spans="1:12" x14ac:dyDescent="0.25">
      <c r="A313" s="3">
        <v>45692.707094907411</v>
      </c>
      <c r="B313" t="s">
        <v>156</v>
      </c>
      <c r="C313" s="3">
        <v>45692.71371527778</v>
      </c>
      <c r="D313" t="s">
        <v>133</v>
      </c>
      <c r="E313" s="4">
        <v>0.42899999999999999</v>
      </c>
      <c r="F313" s="4">
        <v>523708.62199999997</v>
      </c>
      <c r="G313" s="4">
        <v>523709.05099999998</v>
      </c>
      <c r="H313" s="5">
        <f>420 / 86400</f>
        <v>4.8611111111111112E-3</v>
      </c>
      <c r="I313" t="s">
        <v>150</v>
      </c>
      <c r="J313" t="s">
        <v>140</v>
      </c>
      <c r="K313" s="5">
        <f>572 / 86400</f>
        <v>6.6203703703703702E-3</v>
      </c>
      <c r="L313" s="5">
        <f>558 / 86400</f>
        <v>6.4583333333333333E-3</v>
      </c>
    </row>
    <row r="314" spans="1:12" x14ac:dyDescent="0.25">
      <c r="A314" s="3">
        <v>45692.720173611116</v>
      </c>
      <c r="B314" t="s">
        <v>133</v>
      </c>
      <c r="C314" s="3">
        <v>45692.846157407403</v>
      </c>
      <c r="D314" t="s">
        <v>205</v>
      </c>
      <c r="E314" s="4">
        <v>31.754999999999999</v>
      </c>
      <c r="F314" s="4">
        <v>523709.05099999998</v>
      </c>
      <c r="G314" s="4">
        <v>523740.80599999998</v>
      </c>
      <c r="H314" s="5">
        <f>6645 / 86400</f>
        <v>7.6909722222222227E-2</v>
      </c>
      <c r="I314" t="s">
        <v>164</v>
      </c>
      <c r="J314" t="s">
        <v>174</v>
      </c>
      <c r="K314" s="5">
        <f>10884 / 86400</f>
        <v>0.12597222222222224</v>
      </c>
      <c r="L314" s="5">
        <f>555 / 86400</f>
        <v>6.4236111111111108E-3</v>
      </c>
    </row>
    <row r="315" spans="1:12" x14ac:dyDescent="0.25">
      <c r="A315" s="3">
        <v>45692.852581018524</v>
      </c>
      <c r="B315" t="s">
        <v>205</v>
      </c>
      <c r="C315" s="3">
        <v>45692.854270833333</v>
      </c>
      <c r="D315" t="s">
        <v>34</v>
      </c>
      <c r="E315" s="4">
        <v>9.8000000000000004E-2</v>
      </c>
      <c r="F315" s="4">
        <v>523740.80599999998</v>
      </c>
      <c r="G315" s="4">
        <v>523740.90399999998</v>
      </c>
      <c r="H315" s="5">
        <f>79 / 86400</f>
        <v>9.1435185185185185E-4</v>
      </c>
      <c r="I315" t="s">
        <v>54</v>
      </c>
      <c r="J315" t="s">
        <v>161</v>
      </c>
      <c r="K315" s="5">
        <f>146 / 86400</f>
        <v>1.6898148148148148E-3</v>
      </c>
      <c r="L315" s="5">
        <f>259 / 86400</f>
        <v>2.9976851851851853E-3</v>
      </c>
    </row>
    <row r="316" spans="1:12" x14ac:dyDescent="0.25">
      <c r="A316" s="3">
        <v>45692.857268518521</v>
      </c>
      <c r="B316" t="s">
        <v>34</v>
      </c>
      <c r="C316" s="3">
        <v>45692.861168981486</v>
      </c>
      <c r="D316" t="s">
        <v>47</v>
      </c>
      <c r="E316" s="4">
        <v>2.0830000000000002</v>
      </c>
      <c r="F316" s="4">
        <v>523740.90399999998</v>
      </c>
      <c r="G316" s="4">
        <v>523742.98700000002</v>
      </c>
      <c r="H316" s="5">
        <f>40 / 86400</f>
        <v>4.6296296296296298E-4</v>
      </c>
      <c r="I316" t="s">
        <v>144</v>
      </c>
      <c r="J316" t="s">
        <v>122</v>
      </c>
      <c r="K316" s="5">
        <f>336 / 86400</f>
        <v>3.8888888888888888E-3</v>
      </c>
      <c r="L316" s="5">
        <f>11994 / 86400</f>
        <v>0.13881944444444444</v>
      </c>
    </row>
    <row r="317" spans="1:12" x14ac:dyDescent="0.25">
      <c r="A317" s="12"/>
      <c r="B317" s="12"/>
      <c r="C317" s="12"/>
      <c r="D317" s="12"/>
      <c r="E317" s="12"/>
      <c r="F317" s="12"/>
      <c r="G317" s="12"/>
      <c r="H317" s="12"/>
      <c r="I317" s="12"/>
      <c r="J317" s="12"/>
    </row>
    <row r="318" spans="1:12" x14ac:dyDescent="0.25">
      <c r="A318" s="12"/>
      <c r="B318" s="12"/>
      <c r="C318" s="12"/>
      <c r="D318" s="12"/>
      <c r="E318" s="12"/>
      <c r="F318" s="12"/>
      <c r="G318" s="12"/>
      <c r="H318" s="12"/>
      <c r="I318" s="12"/>
      <c r="J318" s="12"/>
    </row>
    <row r="319" spans="1:12" s="10" customFormat="1" ht="20.100000000000001" customHeight="1" x14ac:dyDescent="0.35">
      <c r="A319" s="15" t="s">
        <v>296</v>
      </c>
      <c r="B319" s="15"/>
      <c r="C319" s="15"/>
      <c r="D319" s="15"/>
      <c r="E319" s="15"/>
      <c r="F319" s="15"/>
      <c r="G319" s="15"/>
      <c r="H319" s="15"/>
      <c r="I319" s="15"/>
      <c r="J319" s="15"/>
    </row>
    <row r="320" spans="1:12" x14ac:dyDescent="0.25">
      <c r="A320" s="12"/>
      <c r="B320" s="12"/>
      <c r="C320" s="12"/>
      <c r="D320" s="12"/>
      <c r="E320" s="12"/>
      <c r="F320" s="12"/>
      <c r="G320" s="12"/>
      <c r="H320" s="12"/>
      <c r="I320" s="12"/>
      <c r="J320" s="12"/>
    </row>
    <row r="321" spans="1:12" ht="30" x14ac:dyDescent="0.25">
      <c r="A321" s="2" t="s">
        <v>6</v>
      </c>
      <c r="B321" s="2" t="s">
        <v>7</v>
      </c>
      <c r="C321" s="2" t="s">
        <v>8</v>
      </c>
      <c r="D321" s="2" t="s">
        <v>9</v>
      </c>
      <c r="E321" s="2" t="s">
        <v>10</v>
      </c>
      <c r="F321" s="2" t="s">
        <v>11</v>
      </c>
      <c r="G321" s="2" t="s">
        <v>12</v>
      </c>
      <c r="H321" s="2" t="s">
        <v>13</v>
      </c>
      <c r="I321" s="2" t="s">
        <v>14</v>
      </c>
      <c r="J321" s="2" t="s">
        <v>15</v>
      </c>
      <c r="K321" s="2" t="s">
        <v>16</v>
      </c>
      <c r="L321" s="2" t="s">
        <v>17</v>
      </c>
    </row>
    <row r="322" spans="1:12" x14ac:dyDescent="0.25">
      <c r="A322" s="3">
        <v>45692.25613425926</v>
      </c>
      <c r="B322" t="s">
        <v>49</v>
      </c>
      <c r="C322" s="3">
        <v>45692.264131944445</v>
      </c>
      <c r="D322" t="s">
        <v>148</v>
      </c>
      <c r="E322" s="4">
        <v>1.885</v>
      </c>
      <c r="F322" s="4">
        <v>343752.30699999997</v>
      </c>
      <c r="G322" s="4">
        <v>343754.19199999998</v>
      </c>
      <c r="H322" s="5">
        <f>219 / 86400</f>
        <v>2.5347222222222221E-3</v>
      </c>
      <c r="I322" t="s">
        <v>149</v>
      </c>
      <c r="J322" t="s">
        <v>158</v>
      </c>
      <c r="K322" s="5">
        <f>691 / 86400</f>
        <v>7.9976851851851858E-3</v>
      </c>
      <c r="L322" s="5">
        <f>24921 / 86400</f>
        <v>0.28843750000000001</v>
      </c>
    </row>
    <row r="323" spans="1:12" x14ac:dyDescent="0.25">
      <c r="A323" s="3">
        <v>45692.296435185184</v>
      </c>
      <c r="B323" t="s">
        <v>148</v>
      </c>
      <c r="C323" s="3">
        <v>45692.298900462964</v>
      </c>
      <c r="D323" t="s">
        <v>175</v>
      </c>
      <c r="E323" s="4">
        <v>0.71399999999999997</v>
      </c>
      <c r="F323" s="4">
        <v>343754.19199999998</v>
      </c>
      <c r="G323" s="4">
        <v>343754.90600000002</v>
      </c>
      <c r="H323" s="5">
        <f>19 / 86400</f>
        <v>2.199074074074074E-4</v>
      </c>
      <c r="I323" t="s">
        <v>142</v>
      </c>
      <c r="J323" t="s">
        <v>90</v>
      </c>
      <c r="K323" s="5">
        <f>213 / 86400</f>
        <v>2.4652777777777776E-3</v>
      </c>
      <c r="L323" s="5">
        <f>1822 / 86400</f>
        <v>2.1087962962962965E-2</v>
      </c>
    </row>
    <row r="324" spans="1:12" x14ac:dyDescent="0.25">
      <c r="A324" s="3">
        <v>45692.319988425923</v>
      </c>
      <c r="B324" t="s">
        <v>175</v>
      </c>
      <c r="C324" s="3">
        <v>45692.382268518515</v>
      </c>
      <c r="D324" t="s">
        <v>163</v>
      </c>
      <c r="E324" s="4">
        <v>30.324000000000002</v>
      </c>
      <c r="F324" s="4">
        <v>343754.90600000002</v>
      </c>
      <c r="G324" s="4">
        <v>343785.23</v>
      </c>
      <c r="H324" s="5">
        <f>1999 / 86400</f>
        <v>2.3136574074074073E-2</v>
      </c>
      <c r="I324" t="s">
        <v>51</v>
      </c>
      <c r="J324" t="s">
        <v>114</v>
      </c>
      <c r="K324" s="5">
        <f>5381 / 86400</f>
        <v>6.2280092592592595E-2</v>
      </c>
      <c r="L324" s="5">
        <f>22 / 86400</f>
        <v>2.5462962962962961E-4</v>
      </c>
    </row>
    <row r="325" spans="1:12" x14ac:dyDescent="0.25">
      <c r="A325" s="3">
        <v>45692.382523148146</v>
      </c>
      <c r="B325" t="s">
        <v>163</v>
      </c>
      <c r="C325" s="3">
        <v>45692.39571759259</v>
      </c>
      <c r="D325" t="s">
        <v>206</v>
      </c>
      <c r="E325" s="4">
        <v>3.65</v>
      </c>
      <c r="F325" s="4">
        <v>343785.23</v>
      </c>
      <c r="G325" s="4">
        <v>343788.88</v>
      </c>
      <c r="H325" s="5">
        <f>440 / 86400</f>
        <v>5.092592592592593E-3</v>
      </c>
      <c r="I325" t="s">
        <v>144</v>
      </c>
      <c r="J325" t="s">
        <v>90</v>
      </c>
      <c r="K325" s="5">
        <f>1140 / 86400</f>
        <v>1.3194444444444444E-2</v>
      </c>
      <c r="L325" s="5">
        <f>119 / 86400</f>
        <v>1.3773148148148147E-3</v>
      </c>
    </row>
    <row r="326" spans="1:12" x14ac:dyDescent="0.25">
      <c r="A326" s="3">
        <v>45692.397094907406</v>
      </c>
      <c r="B326" t="s">
        <v>206</v>
      </c>
      <c r="C326" s="3">
        <v>45692.402546296296</v>
      </c>
      <c r="D326" t="s">
        <v>207</v>
      </c>
      <c r="E326" s="4">
        <v>0.52700000000000002</v>
      </c>
      <c r="F326" s="4">
        <v>343788.88</v>
      </c>
      <c r="G326" s="4">
        <v>343789.40700000001</v>
      </c>
      <c r="H326" s="5">
        <f>220 / 86400</f>
        <v>2.5462962962962965E-3</v>
      </c>
      <c r="I326" t="s">
        <v>136</v>
      </c>
      <c r="J326" t="s">
        <v>160</v>
      </c>
      <c r="K326" s="5">
        <f>471 / 86400</f>
        <v>5.4513888888888893E-3</v>
      </c>
      <c r="L326" s="5">
        <f>26671 / 86400</f>
        <v>0.30869212962962961</v>
      </c>
    </row>
    <row r="327" spans="1:12" x14ac:dyDescent="0.25">
      <c r="A327" s="3">
        <v>45692.711238425924</v>
      </c>
      <c r="B327" t="s">
        <v>208</v>
      </c>
      <c r="C327" s="3">
        <v>45692.743067129632</v>
      </c>
      <c r="D327" t="s">
        <v>50</v>
      </c>
      <c r="E327" s="4">
        <v>5.6159999999999997</v>
      </c>
      <c r="F327" s="4">
        <v>343789.40700000001</v>
      </c>
      <c r="G327" s="4">
        <v>343795.02299999999</v>
      </c>
      <c r="H327" s="5">
        <f>1498 / 86400</f>
        <v>1.7337962962962961E-2</v>
      </c>
      <c r="I327" t="s">
        <v>187</v>
      </c>
      <c r="J327" t="s">
        <v>43</v>
      </c>
      <c r="K327" s="5">
        <f>2749 / 86400</f>
        <v>3.1817129629629633E-2</v>
      </c>
      <c r="L327" s="5">
        <f>911 / 86400</f>
        <v>1.0543981481481482E-2</v>
      </c>
    </row>
    <row r="328" spans="1:12" x14ac:dyDescent="0.25">
      <c r="A328" s="3">
        <v>45692.753611111111</v>
      </c>
      <c r="B328" t="s">
        <v>50</v>
      </c>
      <c r="C328" s="3">
        <v>45692.759525462963</v>
      </c>
      <c r="D328" t="s">
        <v>50</v>
      </c>
      <c r="E328" s="4">
        <v>0.77200000000000002</v>
      </c>
      <c r="F328" s="4">
        <v>343795.02299999999</v>
      </c>
      <c r="G328" s="4">
        <v>343795.79499999998</v>
      </c>
      <c r="H328" s="5">
        <f>259 / 86400</f>
        <v>2.9976851851851853E-3</v>
      </c>
      <c r="I328" t="s">
        <v>150</v>
      </c>
      <c r="J328" t="s">
        <v>119</v>
      </c>
      <c r="K328" s="5">
        <f>510 / 86400</f>
        <v>5.9027777777777776E-3</v>
      </c>
      <c r="L328" s="5">
        <f>20776 / 86400</f>
        <v>0.24046296296296296</v>
      </c>
    </row>
    <row r="329" spans="1:12" x14ac:dyDescent="0.25">
      <c r="A329" s="12"/>
      <c r="B329" s="12"/>
      <c r="C329" s="12"/>
      <c r="D329" s="12"/>
      <c r="E329" s="12"/>
      <c r="F329" s="12"/>
      <c r="G329" s="12"/>
      <c r="H329" s="12"/>
      <c r="I329" s="12"/>
      <c r="J329" s="12"/>
    </row>
    <row r="330" spans="1:12" x14ac:dyDescent="0.25">
      <c r="A330" s="12"/>
      <c r="B330" s="12"/>
      <c r="C330" s="12"/>
      <c r="D330" s="12"/>
      <c r="E330" s="12"/>
      <c r="F330" s="12"/>
      <c r="G330" s="12"/>
      <c r="H330" s="12"/>
      <c r="I330" s="12"/>
      <c r="J330" s="12"/>
    </row>
    <row r="331" spans="1:12" s="10" customFormat="1" ht="20.100000000000001" customHeight="1" x14ac:dyDescent="0.35">
      <c r="A331" s="15" t="s">
        <v>297</v>
      </c>
      <c r="B331" s="15"/>
      <c r="C331" s="15"/>
      <c r="D331" s="15"/>
      <c r="E331" s="15"/>
      <c r="F331" s="15"/>
      <c r="G331" s="15"/>
      <c r="H331" s="15"/>
      <c r="I331" s="15"/>
      <c r="J331" s="15"/>
    </row>
    <row r="332" spans="1:12" x14ac:dyDescent="0.25">
      <c r="A332" s="12"/>
      <c r="B332" s="12"/>
      <c r="C332" s="12"/>
      <c r="D332" s="12"/>
      <c r="E332" s="12"/>
      <c r="F332" s="12"/>
      <c r="G332" s="12"/>
      <c r="H332" s="12"/>
      <c r="I332" s="12"/>
      <c r="J332" s="12"/>
    </row>
    <row r="333" spans="1:12" ht="30" x14ac:dyDescent="0.25">
      <c r="A333" s="2" t="s">
        <v>6</v>
      </c>
      <c r="B333" s="2" t="s">
        <v>7</v>
      </c>
      <c r="C333" s="2" t="s">
        <v>8</v>
      </c>
      <c r="D333" s="2" t="s">
        <v>9</v>
      </c>
      <c r="E333" s="2" t="s">
        <v>10</v>
      </c>
      <c r="F333" s="2" t="s">
        <v>11</v>
      </c>
      <c r="G333" s="2" t="s">
        <v>12</v>
      </c>
      <c r="H333" s="2" t="s">
        <v>13</v>
      </c>
      <c r="I333" s="2" t="s">
        <v>14</v>
      </c>
      <c r="J333" s="2" t="s">
        <v>15</v>
      </c>
      <c r="K333" s="2" t="s">
        <v>16</v>
      </c>
      <c r="L333" s="2" t="s">
        <v>17</v>
      </c>
    </row>
    <row r="334" spans="1:12" x14ac:dyDescent="0.25">
      <c r="A334" s="3">
        <v>45692.2497337963</v>
      </c>
      <c r="B334" t="s">
        <v>52</v>
      </c>
      <c r="C334" s="3">
        <v>45692.252685185187</v>
      </c>
      <c r="D334" t="s">
        <v>120</v>
      </c>
      <c r="E334" s="4">
        <v>0.35799999999999998</v>
      </c>
      <c r="F334" s="4">
        <v>424796.38900000002</v>
      </c>
      <c r="G334" s="4">
        <v>424796.74699999997</v>
      </c>
      <c r="H334" s="5">
        <f>120 / 86400</f>
        <v>1.3888888888888889E-3</v>
      </c>
      <c r="I334" t="s">
        <v>36</v>
      </c>
      <c r="J334" t="s">
        <v>119</v>
      </c>
      <c r="K334" s="5">
        <f>255 / 86400</f>
        <v>2.9513888888888888E-3</v>
      </c>
      <c r="L334" s="5">
        <f>22021 / 86400</f>
        <v>0.25487268518518519</v>
      </c>
    </row>
    <row r="335" spans="1:12" x14ac:dyDescent="0.25">
      <c r="A335" s="3">
        <v>45692.25782407407</v>
      </c>
      <c r="B335" t="s">
        <v>120</v>
      </c>
      <c r="C335" s="3">
        <v>45692.34956018519</v>
      </c>
      <c r="D335" t="s">
        <v>148</v>
      </c>
      <c r="E335" s="4">
        <v>46.043999999999997</v>
      </c>
      <c r="F335" s="4">
        <v>424796.74699999997</v>
      </c>
      <c r="G335" s="4">
        <v>424842.79100000003</v>
      </c>
      <c r="H335" s="5">
        <f>1800 / 86400</f>
        <v>2.0833333333333332E-2</v>
      </c>
      <c r="I335" t="s">
        <v>99</v>
      </c>
      <c r="J335" t="s">
        <v>142</v>
      </c>
      <c r="K335" s="5">
        <f>7926 / 86400</f>
        <v>9.1736111111111115E-2</v>
      </c>
      <c r="L335" s="5">
        <f>837 / 86400</f>
        <v>9.6874999999999999E-3</v>
      </c>
    </row>
    <row r="336" spans="1:12" x14ac:dyDescent="0.25">
      <c r="A336" s="3">
        <v>45692.359247685185</v>
      </c>
      <c r="B336" t="s">
        <v>148</v>
      </c>
      <c r="C336" s="3">
        <v>45692.486967592587</v>
      </c>
      <c r="D336" t="s">
        <v>209</v>
      </c>
      <c r="E336" s="4">
        <v>50.997</v>
      </c>
      <c r="F336" s="4">
        <v>424842.79100000003</v>
      </c>
      <c r="G336" s="4">
        <v>424893.788</v>
      </c>
      <c r="H336" s="5">
        <f>3679 / 86400</f>
        <v>4.2581018518518518E-2</v>
      </c>
      <c r="I336" t="s">
        <v>53</v>
      </c>
      <c r="J336" t="s">
        <v>25</v>
      </c>
      <c r="K336" s="5">
        <f>11034 / 86400</f>
        <v>0.12770833333333334</v>
      </c>
      <c r="L336" s="5">
        <f>139 / 86400</f>
        <v>1.6087962962962963E-3</v>
      </c>
    </row>
    <row r="337" spans="1:12" x14ac:dyDescent="0.25">
      <c r="A337" s="3">
        <v>45692.488576388889</v>
      </c>
      <c r="B337" t="s">
        <v>209</v>
      </c>
      <c r="C337" s="3">
        <v>45692.562407407408</v>
      </c>
      <c r="D337" t="s">
        <v>206</v>
      </c>
      <c r="E337" s="4">
        <v>17.087</v>
      </c>
      <c r="F337" s="4">
        <v>424893.788</v>
      </c>
      <c r="G337" s="4">
        <v>424910.875</v>
      </c>
      <c r="H337" s="5">
        <f>3238 / 86400</f>
        <v>3.7476851851851851E-2</v>
      </c>
      <c r="I337" t="s">
        <v>99</v>
      </c>
      <c r="J337" t="s">
        <v>158</v>
      </c>
      <c r="K337" s="5">
        <f>6378 / 86400</f>
        <v>7.3819444444444438E-2</v>
      </c>
      <c r="L337" s="5">
        <f>402 / 86400</f>
        <v>4.6527777777777774E-3</v>
      </c>
    </row>
    <row r="338" spans="1:12" x14ac:dyDescent="0.25">
      <c r="A338" s="3">
        <v>45692.567060185189</v>
      </c>
      <c r="B338" t="s">
        <v>206</v>
      </c>
      <c r="C338" s="3">
        <v>45692.572291666671</v>
      </c>
      <c r="D338" t="s">
        <v>120</v>
      </c>
      <c r="E338" s="4">
        <v>1.369</v>
      </c>
      <c r="F338" s="4">
        <v>424910.875</v>
      </c>
      <c r="G338" s="4">
        <v>424912.24400000001</v>
      </c>
      <c r="H338" s="5">
        <f>120 / 86400</f>
        <v>1.3888888888888889E-3</v>
      </c>
      <c r="I338" t="s">
        <v>173</v>
      </c>
      <c r="J338" t="s">
        <v>174</v>
      </c>
      <c r="K338" s="5">
        <f>452 / 86400</f>
        <v>5.2314814814814811E-3</v>
      </c>
      <c r="L338" s="5">
        <f>2619 / 86400</f>
        <v>3.0312499999999999E-2</v>
      </c>
    </row>
    <row r="339" spans="1:12" x14ac:dyDescent="0.25">
      <c r="A339" s="3">
        <v>45692.602604166663</v>
      </c>
      <c r="B339" t="s">
        <v>120</v>
      </c>
      <c r="C339" s="3">
        <v>45692.603969907403</v>
      </c>
      <c r="D339" t="s">
        <v>120</v>
      </c>
      <c r="E339" s="4">
        <v>0.219</v>
      </c>
      <c r="F339" s="4">
        <v>424912.24400000001</v>
      </c>
      <c r="G339" s="4">
        <v>424912.46299999999</v>
      </c>
      <c r="H339" s="5">
        <f>20 / 86400</f>
        <v>2.3148148148148149E-4</v>
      </c>
      <c r="I339" t="s">
        <v>36</v>
      </c>
      <c r="J339" t="s">
        <v>43</v>
      </c>
      <c r="K339" s="5">
        <f>117 / 86400</f>
        <v>1.3541666666666667E-3</v>
      </c>
      <c r="L339" s="5">
        <f>2329 / 86400</f>
        <v>2.6956018518518518E-2</v>
      </c>
    </row>
    <row r="340" spans="1:12" x14ac:dyDescent="0.25">
      <c r="A340" s="3">
        <v>45692.630925925929</v>
      </c>
      <c r="B340" t="s">
        <v>120</v>
      </c>
      <c r="C340" s="3">
        <v>45692.637974537036</v>
      </c>
      <c r="D340" t="s">
        <v>52</v>
      </c>
      <c r="E340" s="4">
        <v>0.63500000000000001</v>
      </c>
      <c r="F340" s="4">
        <v>424912.46299999999</v>
      </c>
      <c r="G340" s="4">
        <v>424913.098</v>
      </c>
      <c r="H340" s="5">
        <f>342 / 86400</f>
        <v>3.9583333333333337E-3</v>
      </c>
      <c r="I340" t="s">
        <v>36</v>
      </c>
      <c r="J340" t="s">
        <v>160</v>
      </c>
      <c r="K340" s="5">
        <f>608 / 86400</f>
        <v>7.037037037037037E-3</v>
      </c>
      <c r="L340" s="5">
        <f>31278 / 86400</f>
        <v>0.36201388888888891</v>
      </c>
    </row>
    <row r="341" spans="1:12" x14ac:dyDescent="0.25">
      <c r="A341" s="12"/>
      <c r="B341" s="12"/>
      <c r="C341" s="12"/>
      <c r="D341" s="12"/>
      <c r="E341" s="12"/>
      <c r="F341" s="12"/>
      <c r="G341" s="12"/>
      <c r="H341" s="12"/>
      <c r="I341" s="12"/>
      <c r="J341" s="12"/>
    </row>
    <row r="342" spans="1:12" x14ac:dyDescent="0.25">
      <c r="A342" s="12"/>
      <c r="B342" s="12"/>
      <c r="C342" s="12"/>
      <c r="D342" s="12"/>
      <c r="E342" s="12"/>
      <c r="F342" s="12"/>
      <c r="G342" s="12"/>
      <c r="H342" s="12"/>
      <c r="I342" s="12"/>
      <c r="J342" s="12"/>
    </row>
    <row r="343" spans="1:12" s="10" customFormat="1" ht="20.100000000000001" customHeight="1" x14ac:dyDescent="0.35">
      <c r="A343" s="15" t="s">
        <v>298</v>
      </c>
      <c r="B343" s="15"/>
      <c r="C343" s="15"/>
      <c r="D343" s="15"/>
      <c r="E343" s="15"/>
      <c r="F343" s="15"/>
      <c r="G343" s="15"/>
      <c r="H343" s="15"/>
      <c r="I343" s="15"/>
      <c r="J343" s="15"/>
    </row>
    <row r="344" spans="1:12" x14ac:dyDescent="0.25">
      <c r="A344" s="12"/>
      <c r="B344" s="12"/>
      <c r="C344" s="12"/>
      <c r="D344" s="12"/>
      <c r="E344" s="12"/>
      <c r="F344" s="12"/>
      <c r="G344" s="12"/>
      <c r="H344" s="12"/>
      <c r="I344" s="12"/>
      <c r="J344" s="12"/>
    </row>
    <row r="345" spans="1:12" ht="30" x14ac:dyDescent="0.25">
      <c r="A345" s="2" t="s">
        <v>6</v>
      </c>
      <c r="B345" s="2" t="s">
        <v>7</v>
      </c>
      <c r="C345" s="2" t="s">
        <v>8</v>
      </c>
      <c r="D345" s="2" t="s">
        <v>9</v>
      </c>
      <c r="E345" s="2" t="s">
        <v>10</v>
      </c>
      <c r="F345" s="2" t="s">
        <v>11</v>
      </c>
      <c r="G345" s="2" t="s">
        <v>12</v>
      </c>
      <c r="H345" s="2" t="s">
        <v>13</v>
      </c>
      <c r="I345" s="2" t="s">
        <v>14</v>
      </c>
      <c r="J345" s="2" t="s">
        <v>15</v>
      </c>
      <c r="K345" s="2" t="s">
        <v>16</v>
      </c>
      <c r="L345" s="2" t="s">
        <v>17</v>
      </c>
    </row>
    <row r="346" spans="1:12" x14ac:dyDescent="0.25">
      <c r="A346" s="3">
        <v>45692.316990740743</v>
      </c>
      <c r="B346" t="s">
        <v>26</v>
      </c>
      <c r="C346" s="3">
        <v>45692.321967592594</v>
      </c>
      <c r="D346" t="s">
        <v>26</v>
      </c>
      <c r="E346" s="4">
        <v>1.9E-2</v>
      </c>
      <c r="F346" s="4">
        <v>11420.61</v>
      </c>
      <c r="G346" s="4">
        <v>11420.629000000001</v>
      </c>
      <c r="H346" s="5">
        <f>399 / 86400</f>
        <v>4.6180555555555558E-3</v>
      </c>
      <c r="I346" t="s">
        <v>43</v>
      </c>
      <c r="J346" t="s">
        <v>55</v>
      </c>
      <c r="K346" s="5">
        <f>429 / 86400</f>
        <v>4.9652777777777777E-3</v>
      </c>
      <c r="L346" s="5">
        <f>38033 / 86400</f>
        <v>0.44019675925925927</v>
      </c>
    </row>
    <row r="347" spans="1:12" x14ac:dyDescent="0.25">
      <c r="A347" s="3">
        <v>45692.445173611108</v>
      </c>
      <c r="B347" t="s">
        <v>26</v>
      </c>
      <c r="C347" s="3">
        <v>45692.445925925931</v>
      </c>
      <c r="D347" t="s">
        <v>26</v>
      </c>
      <c r="E347" s="4">
        <v>4.0000000000000001E-3</v>
      </c>
      <c r="F347" s="4">
        <v>11420.629000000001</v>
      </c>
      <c r="G347" s="4">
        <v>11420.633</v>
      </c>
      <c r="H347" s="5">
        <f>39 / 86400</f>
        <v>4.5138888888888887E-4</v>
      </c>
      <c r="I347" t="s">
        <v>161</v>
      </c>
      <c r="J347" t="s">
        <v>55</v>
      </c>
      <c r="K347" s="5">
        <f>64 / 86400</f>
        <v>7.407407407407407E-4</v>
      </c>
      <c r="L347" s="5">
        <f>49 / 86400</f>
        <v>5.6712962962962967E-4</v>
      </c>
    </row>
    <row r="348" spans="1:12" x14ac:dyDescent="0.25">
      <c r="A348" s="3">
        <v>45692.446493055555</v>
      </c>
      <c r="B348" t="s">
        <v>26</v>
      </c>
      <c r="C348" s="3">
        <v>45692.465474537035</v>
      </c>
      <c r="D348" t="s">
        <v>26</v>
      </c>
      <c r="E348" s="4">
        <v>0.08</v>
      </c>
      <c r="F348" s="4">
        <v>11420.633</v>
      </c>
      <c r="G348" s="4">
        <v>11420.713</v>
      </c>
      <c r="H348" s="5">
        <f>1479 / 86400</f>
        <v>1.7118055555555556E-2</v>
      </c>
      <c r="I348" t="s">
        <v>43</v>
      </c>
      <c r="J348" t="s">
        <v>55</v>
      </c>
      <c r="K348" s="5">
        <f>1640 / 86400</f>
        <v>1.8981481481481481E-2</v>
      </c>
      <c r="L348" s="5">
        <f>4370 / 86400</f>
        <v>5.0578703703703702E-2</v>
      </c>
    </row>
    <row r="349" spans="1:12" x14ac:dyDescent="0.25">
      <c r="A349" s="3">
        <v>45692.516053240739</v>
      </c>
      <c r="B349" t="s">
        <v>26</v>
      </c>
      <c r="C349" s="3">
        <v>45692.52039351852</v>
      </c>
      <c r="D349" t="s">
        <v>26</v>
      </c>
      <c r="E349" s="4">
        <v>0</v>
      </c>
      <c r="F349" s="4">
        <v>11420.713</v>
      </c>
      <c r="G349" s="4">
        <v>11420.713</v>
      </c>
      <c r="H349" s="5">
        <f>359 / 86400</f>
        <v>4.1550925925925922E-3</v>
      </c>
      <c r="I349" t="s">
        <v>55</v>
      </c>
      <c r="J349" t="s">
        <v>55</v>
      </c>
      <c r="K349" s="5">
        <f>375 / 86400</f>
        <v>4.340277777777778E-3</v>
      </c>
      <c r="L349" s="5">
        <f>11089 / 86400</f>
        <v>0.12834490740740739</v>
      </c>
    </row>
    <row r="350" spans="1:12" x14ac:dyDescent="0.25">
      <c r="A350" s="3">
        <v>45692.648738425924</v>
      </c>
      <c r="B350" t="s">
        <v>26</v>
      </c>
      <c r="C350" s="3">
        <v>45692.674305555556</v>
      </c>
      <c r="D350" t="s">
        <v>26</v>
      </c>
      <c r="E350" s="4">
        <v>1.7999999999999999E-2</v>
      </c>
      <c r="F350" s="4">
        <v>11420.713</v>
      </c>
      <c r="G350" s="4">
        <v>11420.731</v>
      </c>
      <c r="H350" s="5">
        <f>2139 / 86400</f>
        <v>2.4756944444444446E-2</v>
      </c>
      <c r="I350" t="s">
        <v>161</v>
      </c>
      <c r="J350" t="s">
        <v>55</v>
      </c>
      <c r="K350" s="5">
        <f>2208 / 86400</f>
        <v>2.5555555555555557E-2</v>
      </c>
      <c r="L350" s="5">
        <f>9507 / 86400</f>
        <v>0.11003472222222223</v>
      </c>
    </row>
    <row r="351" spans="1:12" x14ac:dyDescent="0.25">
      <c r="A351" s="3">
        <v>45692.78434027778</v>
      </c>
      <c r="B351" t="s">
        <v>26</v>
      </c>
      <c r="C351" s="3">
        <v>45692.79074074074</v>
      </c>
      <c r="D351" t="s">
        <v>26</v>
      </c>
      <c r="E351" s="4">
        <v>0.17100000000000001</v>
      </c>
      <c r="F351" s="4">
        <v>11420.731</v>
      </c>
      <c r="G351" s="4">
        <v>11420.902</v>
      </c>
      <c r="H351" s="5">
        <f>399 / 86400</f>
        <v>4.6180555555555558E-3</v>
      </c>
      <c r="I351" t="s">
        <v>54</v>
      </c>
      <c r="J351" t="s">
        <v>125</v>
      </c>
      <c r="K351" s="5">
        <f>553 / 86400</f>
        <v>6.4004629629629628E-3</v>
      </c>
      <c r="L351" s="5">
        <f>18079 / 86400</f>
        <v>0.20924768518518519</v>
      </c>
    </row>
    <row r="352" spans="1:12" x14ac:dyDescent="0.25">
      <c r="A352" s="12"/>
      <c r="B352" s="12"/>
      <c r="C352" s="12"/>
      <c r="D352" s="12"/>
      <c r="E352" s="12"/>
      <c r="F352" s="12"/>
      <c r="G352" s="12"/>
      <c r="H352" s="12"/>
      <c r="I352" s="12"/>
      <c r="J352" s="12"/>
    </row>
    <row r="353" spans="1:12" x14ac:dyDescent="0.25">
      <c r="A353" s="12"/>
      <c r="B353" s="12"/>
      <c r="C353" s="12"/>
      <c r="D353" s="12"/>
      <c r="E353" s="12"/>
      <c r="F353" s="12"/>
      <c r="G353" s="12"/>
      <c r="H353" s="12"/>
      <c r="I353" s="12"/>
      <c r="J353" s="12"/>
    </row>
    <row r="354" spans="1:12" s="10" customFormat="1" ht="20.100000000000001" customHeight="1" x14ac:dyDescent="0.35">
      <c r="A354" s="15" t="s">
        <v>299</v>
      </c>
      <c r="B354" s="15"/>
      <c r="C354" s="15"/>
      <c r="D354" s="15"/>
      <c r="E354" s="15"/>
      <c r="F354" s="15"/>
      <c r="G354" s="15"/>
      <c r="H354" s="15"/>
      <c r="I354" s="15"/>
      <c r="J354" s="15"/>
    </row>
    <row r="355" spans="1:12" x14ac:dyDescent="0.25">
      <c r="A355" s="12"/>
      <c r="B355" s="12"/>
      <c r="C355" s="12"/>
      <c r="D355" s="12"/>
      <c r="E355" s="12"/>
      <c r="F355" s="12"/>
      <c r="G355" s="12"/>
      <c r="H355" s="12"/>
      <c r="I355" s="12"/>
      <c r="J355" s="12"/>
    </row>
    <row r="356" spans="1:12" ht="30" x14ac:dyDescent="0.25">
      <c r="A356" s="2" t="s">
        <v>6</v>
      </c>
      <c r="B356" s="2" t="s">
        <v>7</v>
      </c>
      <c r="C356" s="2" t="s">
        <v>8</v>
      </c>
      <c r="D356" s="2" t="s">
        <v>9</v>
      </c>
      <c r="E356" s="2" t="s">
        <v>10</v>
      </c>
      <c r="F356" s="2" t="s">
        <v>11</v>
      </c>
      <c r="G356" s="2" t="s">
        <v>12</v>
      </c>
      <c r="H356" s="2" t="s">
        <v>13</v>
      </c>
      <c r="I356" s="2" t="s">
        <v>14</v>
      </c>
      <c r="J356" s="2" t="s">
        <v>15</v>
      </c>
      <c r="K356" s="2" t="s">
        <v>16</v>
      </c>
      <c r="L356" s="2" t="s">
        <v>17</v>
      </c>
    </row>
    <row r="357" spans="1:12" x14ac:dyDescent="0.25">
      <c r="A357" s="3">
        <v>45692.212824074071</v>
      </c>
      <c r="B357" t="s">
        <v>56</v>
      </c>
      <c r="C357" s="3">
        <v>45692.224317129629</v>
      </c>
      <c r="D357" t="s">
        <v>210</v>
      </c>
      <c r="E357" s="4">
        <v>2.972</v>
      </c>
      <c r="F357" s="4">
        <v>137467.79</v>
      </c>
      <c r="G357" s="4">
        <v>137470.76199999999</v>
      </c>
      <c r="H357" s="5">
        <f>479 / 86400</f>
        <v>5.5439814814814813E-3</v>
      </c>
      <c r="I357" t="s">
        <v>164</v>
      </c>
      <c r="J357" t="s">
        <v>174</v>
      </c>
      <c r="K357" s="5">
        <f>992 / 86400</f>
        <v>1.1481481481481481E-2</v>
      </c>
      <c r="L357" s="5">
        <f>19097 / 86400</f>
        <v>0.2210300925925926</v>
      </c>
    </row>
    <row r="358" spans="1:12" x14ac:dyDescent="0.25">
      <c r="A358" s="3">
        <v>45692.232523148152</v>
      </c>
      <c r="B358" t="s">
        <v>210</v>
      </c>
      <c r="C358" s="3">
        <v>45692.372071759259</v>
      </c>
      <c r="D358" t="s">
        <v>146</v>
      </c>
      <c r="E358" s="4">
        <v>70.236999999999995</v>
      </c>
      <c r="F358" s="4">
        <v>137470.76199999999</v>
      </c>
      <c r="G358" s="4">
        <v>137540.99900000001</v>
      </c>
      <c r="H358" s="5">
        <f>3360 / 86400</f>
        <v>3.888888888888889E-2</v>
      </c>
      <c r="I358" t="s">
        <v>27</v>
      </c>
      <c r="J358" t="s">
        <v>142</v>
      </c>
      <c r="K358" s="5">
        <f>12057 / 86400</f>
        <v>0.13954861111111111</v>
      </c>
      <c r="L358" s="5">
        <f>169 / 86400</f>
        <v>1.9560185185185184E-3</v>
      </c>
    </row>
    <row r="359" spans="1:12" x14ac:dyDescent="0.25">
      <c r="A359" s="3">
        <v>45692.374027777776</v>
      </c>
      <c r="B359" t="s">
        <v>146</v>
      </c>
      <c r="C359" s="3">
        <v>45692.374907407408</v>
      </c>
      <c r="D359" t="s">
        <v>128</v>
      </c>
      <c r="E359" s="4">
        <v>4.2000000000000003E-2</v>
      </c>
      <c r="F359" s="4">
        <v>137540.99900000001</v>
      </c>
      <c r="G359" s="4">
        <v>137541.041</v>
      </c>
      <c r="H359" s="5">
        <f>39 / 86400</f>
        <v>4.5138888888888887E-4</v>
      </c>
      <c r="I359" t="s">
        <v>137</v>
      </c>
      <c r="J359" t="s">
        <v>161</v>
      </c>
      <c r="K359" s="5">
        <f>76 / 86400</f>
        <v>8.7962962962962962E-4</v>
      </c>
      <c r="L359" s="5">
        <f>4787 / 86400</f>
        <v>5.5405092592592596E-2</v>
      </c>
    </row>
    <row r="360" spans="1:12" x14ac:dyDescent="0.25">
      <c r="A360" s="3">
        <v>45692.430312500001</v>
      </c>
      <c r="B360" t="s">
        <v>128</v>
      </c>
      <c r="C360" s="3">
        <v>45692.435486111106</v>
      </c>
      <c r="D360" t="s">
        <v>148</v>
      </c>
      <c r="E360" s="4">
        <v>1.276</v>
      </c>
      <c r="F360" s="4">
        <v>137541.041</v>
      </c>
      <c r="G360" s="4">
        <v>137542.31700000001</v>
      </c>
      <c r="H360" s="5">
        <f>99 / 86400</f>
        <v>1.1458333333333333E-3</v>
      </c>
      <c r="I360" t="s">
        <v>211</v>
      </c>
      <c r="J360" t="s">
        <v>158</v>
      </c>
      <c r="K360" s="5">
        <f>446 / 86400</f>
        <v>5.162037037037037E-3</v>
      </c>
      <c r="L360" s="5">
        <f>78 / 86400</f>
        <v>9.0277777777777774E-4</v>
      </c>
    </row>
    <row r="361" spans="1:12" x14ac:dyDescent="0.25">
      <c r="A361" s="3">
        <v>45692.436388888891</v>
      </c>
      <c r="B361" t="s">
        <v>148</v>
      </c>
      <c r="C361" s="3">
        <v>45692.436712962968</v>
      </c>
      <c r="D361" t="s">
        <v>148</v>
      </c>
      <c r="E361" s="4">
        <v>0</v>
      </c>
      <c r="F361" s="4">
        <v>137542.31700000001</v>
      </c>
      <c r="G361" s="4">
        <v>137542.31700000001</v>
      </c>
      <c r="H361" s="5">
        <f>19 / 86400</f>
        <v>2.199074074074074E-4</v>
      </c>
      <c r="I361" t="s">
        <v>55</v>
      </c>
      <c r="J361" t="s">
        <v>55</v>
      </c>
      <c r="K361" s="5">
        <f>28 / 86400</f>
        <v>3.2407407407407406E-4</v>
      </c>
      <c r="L361" s="5">
        <f>9 / 86400</f>
        <v>1.0416666666666667E-4</v>
      </c>
    </row>
    <row r="362" spans="1:12" x14ac:dyDescent="0.25">
      <c r="A362" s="3">
        <v>45692.43681712963</v>
      </c>
      <c r="B362" t="s">
        <v>148</v>
      </c>
      <c r="C362" s="3">
        <v>45692.437071759261</v>
      </c>
      <c r="D362" t="s">
        <v>148</v>
      </c>
      <c r="E362" s="4">
        <v>0</v>
      </c>
      <c r="F362" s="4">
        <v>137542.31700000001</v>
      </c>
      <c r="G362" s="4">
        <v>137542.31700000001</v>
      </c>
      <c r="H362" s="5">
        <f>2 / 86400</f>
        <v>2.3148148148148147E-5</v>
      </c>
      <c r="I362" t="s">
        <v>55</v>
      </c>
      <c r="J362" t="s">
        <v>55</v>
      </c>
      <c r="K362" s="5">
        <f>22 / 86400</f>
        <v>2.5462962962962961E-4</v>
      </c>
      <c r="L362" s="5">
        <f>56 / 86400</f>
        <v>6.4814814814814813E-4</v>
      </c>
    </row>
    <row r="363" spans="1:12" x14ac:dyDescent="0.25">
      <c r="A363" s="3">
        <v>45692.437719907408</v>
      </c>
      <c r="B363" t="s">
        <v>148</v>
      </c>
      <c r="C363" s="3">
        <v>45692.4378125</v>
      </c>
      <c r="D363" t="s">
        <v>148</v>
      </c>
      <c r="E363" s="4">
        <v>0</v>
      </c>
      <c r="F363" s="4">
        <v>137542.31700000001</v>
      </c>
      <c r="G363" s="4">
        <v>137542.31700000001</v>
      </c>
      <c r="H363" s="5">
        <f>0 / 86400</f>
        <v>0</v>
      </c>
      <c r="I363" t="s">
        <v>55</v>
      </c>
      <c r="J363" t="s">
        <v>55</v>
      </c>
      <c r="K363" s="5">
        <f>8 / 86400</f>
        <v>9.2592592592592588E-5</v>
      </c>
      <c r="L363" s="5">
        <f>5 / 86400</f>
        <v>5.7870370370370373E-5</v>
      </c>
    </row>
    <row r="364" spans="1:12" x14ac:dyDescent="0.25">
      <c r="A364" s="3">
        <v>45692.43787037037</v>
      </c>
      <c r="B364" t="s">
        <v>148</v>
      </c>
      <c r="C364" s="3">
        <v>45692.562696759254</v>
      </c>
      <c r="D364" t="s">
        <v>212</v>
      </c>
      <c r="E364" s="4">
        <v>46.856000000000002</v>
      </c>
      <c r="F364" s="4">
        <v>137542.31700000001</v>
      </c>
      <c r="G364" s="4">
        <v>137589.17300000001</v>
      </c>
      <c r="H364" s="5">
        <f>4426 / 86400</f>
        <v>5.122685185185185E-2</v>
      </c>
      <c r="I364" t="s">
        <v>30</v>
      </c>
      <c r="J364" t="s">
        <v>36</v>
      </c>
      <c r="K364" s="5">
        <f>10785 / 86400</f>
        <v>0.12482638888888889</v>
      </c>
      <c r="L364" s="5">
        <f>434 / 86400</f>
        <v>5.0231481481481481E-3</v>
      </c>
    </row>
    <row r="365" spans="1:12" x14ac:dyDescent="0.25">
      <c r="A365" s="3">
        <v>45692.567719907413</v>
      </c>
      <c r="B365" t="s">
        <v>212</v>
      </c>
      <c r="C365" s="3">
        <v>45692.57166666667</v>
      </c>
      <c r="D365" t="s">
        <v>200</v>
      </c>
      <c r="E365" s="4">
        <v>0.66800000000000004</v>
      </c>
      <c r="F365" s="4">
        <v>137589.17300000001</v>
      </c>
      <c r="G365" s="4">
        <v>137589.84099999999</v>
      </c>
      <c r="H365" s="5">
        <f>139 / 86400</f>
        <v>1.6087962962962963E-3</v>
      </c>
      <c r="I365" t="s">
        <v>167</v>
      </c>
      <c r="J365" t="s">
        <v>43</v>
      </c>
      <c r="K365" s="5">
        <f>340 / 86400</f>
        <v>3.9351851851851848E-3</v>
      </c>
      <c r="L365" s="5">
        <f>508 / 86400</f>
        <v>5.8796296296296296E-3</v>
      </c>
    </row>
    <row r="366" spans="1:12" x14ac:dyDescent="0.25">
      <c r="A366" s="3">
        <v>45692.577546296292</v>
      </c>
      <c r="B366" t="s">
        <v>213</v>
      </c>
      <c r="C366" s="3">
        <v>45692.577962962961</v>
      </c>
      <c r="D366" t="s">
        <v>200</v>
      </c>
      <c r="E366" s="4">
        <v>0</v>
      </c>
      <c r="F366" s="4">
        <v>137589.84099999999</v>
      </c>
      <c r="G366" s="4">
        <v>137589.84099999999</v>
      </c>
      <c r="H366" s="5">
        <f>19 / 86400</f>
        <v>2.199074074074074E-4</v>
      </c>
      <c r="I366" t="s">
        <v>55</v>
      </c>
      <c r="J366" t="s">
        <v>55</v>
      </c>
      <c r="K366" s="5">
        <f>35 / 86400</f>
        <v>4.0509259259259258E-4</v>
      </c>
      <c r="L366" s="5">
        <f>567 / 86400</f>
        <v>6.5624999999999998E-3</v>
      </c>
    </row>
    <row r="367" spans="1:12" x14ac:dyDescent="0.25">
      <c r="A367" s="3">
        <v>45692.584525462968</v>
      </c>
      <c r="B367" t="s">
        <v>213</v>
      </c>
      <c r="C367" s="3">
        <v>45692.585023148145</v>
      </c>
      <c r="D367" t="s">
        <v>213</v>
      </c>
      <c r="E367" s="4">
        <v>0</v>
      </c>
      <c r="F367" s="4">
        <v>137589.84099999999</v>
      </c>
      <c r="G367" s="4">
        <v>137589.84099999999</v>
      </c>
      <c r="H367" s="5">
        <f>40 / 86400</f>
        <v>4.6296296296296298E-4</v>
      </c>
      <c r="I367" t="s">
        <v>55</v>
      </c>
      <c r="J367" t="s">
        <v>55</v>
      </c>
      <c r="K367" s="5">
        <f>43 / 86400</f>
        <v>4.9768518518518521E-4</v>
      </c>
      <c r="L367" s="5">
        <f>456 / 86400</f>
        <v>5.2777777777777779E-3</v>
      </c>
    </row>
    <row r="368" spans="1:12" x14ac:dyDescent="0.25">
      <c r="A368" s="3">
        <v>45692.590300925927</v>
      </c>
      <c r="B368" t="s">
        <v>200</v>
      </c>
      <c r="C368" s="3">
        <v>45692.590787037036</v>
      </c>
      <c r="D368" t="s">
        <v>213</v>
      </c>
      <c r="E368" s="4">
        <v>2E-3</v>
      </c>
      <c r="F368" s="4">
        <v>137589.84099999999</v>
      </c>
      <c r="G368" s="4">
        <v>137589.84299999999</v>
      </c>
      <c r="H368" s="5">
        <f>39 / 86400</f>
        <v>4.5138888888888887E-4</v>
      </c>
      <c r="I368" t="s">
        <v>55</v>
      </c>
      <c r="J368" t="s">
        <v>55</v>
      </c>
      <c r="K368" s="5">
        <f>41 / 86400</f>
        <v>4.7453703703703704E-4</v>
      </c>
      <c r="L368" s="5">
        <f>293 / 86400</f>
        <v>3.3912037037037036E-3</v>
      </c>
    </row>
    <row r="369" spans="1:12" x14ac:dyDescent="0.25">
      <c r="A369" s="3">
        <v>45692.594178240739</v>
      </c>
      <c r="B369" t="s">
        <v>213</v>
      </c>
      <c r="C369" s="3">
        <v>45692.594490740739</v>
      </c>
      <c r="D369" t="s">
        <v>198</v>
      </c>
      <c r="E369" s="4">
        <v>7.0000000000000001E-3</v>
      </c>
      <c r="F369" s="4">
        <v>137589.84299999999</v>
      </c>
      <c r="G369" s="4">
        <v>137589.85</v>
      </c>
      <c r="H369" s="5">
        <f>0 / 86400</f>
        <v>0</v>
      </c>
      <c r="I369" t="s">
        <v>119</v>
      </c>
      <c r="J369" t="s">
        <v>125</v>
      </c>
      <c r="K369" s="5">
        <f>27 / 86400</f>
        <v>3.1250000000000001E-4</v>
      </c>
      <c r="L369" s="5">
        <f>57 / 86400</f>
        <v>6.5972222222222224E-4</v>
      </c>
    </row>
    <row r="370" spans="1:12" x14ac:dyDescent="0.25">
      <c r="A370" s="3">
        <v>45692.595150462963</v>
      </c>
      <c r="B370" t="s">
        <v>198</v>
      </c>
      <c r="C370" s="3">
        <v>45692.595891203702</v>
      </c>
      <c r="D370" t="s">
        <v>198</v>
      </c>
      <c r="E370" s="4">
        <v>0</v>
      </c>
      <c r="F370" s="4">
        <v>137589.85</v>
      </c>
      <c r="G370" s="4">
        <v>137589.85</v>
      </c>
      <c r="H370" s="5">
        <f>59 / 86400</f>
        <v>6.8287037037037036E-4</v>
      </c>
      <c r="I370" t="s">
        <v>55</v>
      </c>
      <c r="J370" t="s">
        <v>55</v>
      </c>
      <c r="K370" s="5">
        <f>63 / 86400</f>
        <v>7.291666666666667E-4</v>
      </c>
      <c r="L370" s="5">
        <f>192 / 86400</f>
        <v>2.2222222222222222E-3</v>
      </c>
    </row>
    <row r="371" spans="1:12" x14ac:dyDescent="0.25">
      <c r="A371" s="3">
        <v>45692.598113425927</v>
      </c>
      <c r="B371" t="s">
        <v>213</v>
      </c>
      <c r="C371" s="3">
        <v>45692.598136574074</v>
      </c>
      <c r="D371" t="s">
        <v>213</v>
      </c>
      <c r="E371" s="4">
        <v>0</v>
      </c>
      <c r="F371" s="4">
        <v>137589.85</v>
      </c>
      <c r="G371" s="4">
        <v>137589.85</v>
      </c>
      <c r="H371" s="5">
        <f>0 / 86400</f>
        <v>0</v>
      </c>
      <c r="I371" t="s">
        <v>55</v>
      </c>
      <c r="J371" t="s">
        <v>55</v>
      </c>
      <c r="K371" s="5">
        <f>2 / 86400</f>
        <v>2.3148148148148147E-5</v>
      </c>
      <c r="L371" s="5">
        <f>69 / 86400</f>
        <v>7.9861111111111116E-4</v>
      </c>
    </row>
    <row r="372" spans="1:12" x14ac:dyDescent="0.25">
      <c r="A372" s="3">
        <v>45692.598935185189</v>
      </c>
      <c r="B372" t="s">
        <v>200</v>
      </c>
      <c r="C372" s="3">
        <v>45692.612939814819</v>
      </c>
      <c r="D372" t="s">
        <v>73</v>
      </c>
      <c r="E372" s="4">
        <v>2.9409999999999998</v>
      </c>
      <c r="F372" s="4">
        <v>137589.85</v>
      </c>
      <c r="G372" s="4">
        <v>137592.791</v>
      </c>
      <c r="H372" s="5">
        <f>520 / 86400</f>
        <v>6.0185185185185185E-3</v>
      </c>
      <c r="I372" t="s">
        <v>214</v>
      </c>
      <c r="J372" t="s">
        <v>54</v>
      </c>
      <c r="K372" s="5">
        <f>1210 / 86400</f>
        <v>1.4004629629629629E-2</v>
      </c>
      <c r="L372" s="5">
        <f>1427 / 86400</f>
        <v>1.6516203703703703E-2</v>
      </c>
    </row>
    <row r="373" spans="1:12" x14ac:dyDescent="0.25">
      <c r="A373" s="3">
        <v>45692.62945601852</v>
      </c>
      <c r="B373" t="s">
        <v>73</v>
      </c>
      <c r="C373" s="3">
        <v>45692.630752314813</v>
      </c>
      <c r="D373" t="s">
        <v>73</v>
      </c>
      <c r="E373" s="4">
        <v>1E-3</v>
      </c>
      <c r="F373" s="4">
        <v>137592.791</v>
      </c>
      <c r="G373" s="4">
        <v>137592.79199999999</v>
      </c>
      <c r="H373" s="5">
        <f>99 / 86400</f>
        <v>1.1458333333333333E-3</v>
      </c>
      <c r="I373" t="s">
        <v>55</v>
      </c>
      <c r="J373" t="s">
        <v>55</v>
      </c>
      <c r="K373" s="5">
        <f>111 / 86400</f>
        <v>1.2847222222222223E-3</v>
      </c>
      <c r="L373" s="5">
        <f>146 / 86400</f>
        <v>1.6898148148148148E-3</v>
      </c>
    </row>
    <row r="374" spans="1:12" x14ac:dyDescent="0.25">
      <c r="A374" s="3">
        <v>45692.63244212963</v>
      </c>
      <c r="B374" t="s">
        <v>73</v>
      </c>
      <c r="C374" s="3">
        <v>45692.632685185185</v>
      </c>
      <c r="D374" t="s">
        <v>73</v>
      </c>
      <c r="E374" s="4">
        <v>0</v>
      </c>
      <c r="F374" s="4">
        <v>137592.79199999999</v>
      </c>
      <c r="G374" s="4">
        <v>137592.79199999999</v>
      </c>
      <c r="H374" s="5">
        <f>19 / 86400</f>
        <v>2.199074074074074E-4</v>
      </c>
      <c r="I374" t="s">
        <v>55</v>
      </c>
      <c r="J374" t="s">
        <v>55</v>
      </c>
      <c r="K374" s="5">
        <f>21 / 86400</f>
        <v>2.4305555555555555E-4</v>
      </c>
      <c r="L374" s="5">
        <f>27 / 86400</f>
        <v>3.1250000000000001E-4</v>
      </c>
    </row>
    <row r="375" spans="1:12" x14ac:dyDescent="0.25">
      <c r="A375" s="3">
        <v>45692.632997685185</v>
      </c>
      <c r="B375" t="s">
        <v>73</v>
      </c>
      <c r="C375" s="3">
        <v>45692.633425925931</v>
      </c>
      <c r="D375" t="s">
        <v>73</v>
      </c>
      <c r="E375" s="4">
        <v>0</v>
      </c>
      <c r="F375" s="4">
        <v>137592.79199999999</v>
      </c>
      <c r="G375" s="4">
        <v>137592.79199999999</v>
      </c>
      <c r="H375" s="5">
        <f>19 / 86400</f>
        <v>2.199074074074074E-4</v>
      </c>
      <c r="I375" t="s">
        <v>55</v>
      </c>
      <c r="J375" t="s">
        <v>55</v>
      </c>
      <c r="K375" s="5">
        <f>37 / 86400</f>
        <v>4.2824074074074075E-4</v>
      </c>
      <c r="L375" s="5">
        <f>68 / 86400</f>
        <v>7.8703703703703705E-4</v>
      </c>
    </row>
    <row r="376" spans="1:12" x14ac:dyDescent="0.25">
      <c r="A376" s="3">
        <v>45692.634212962963</v>
      </c>
      <c r="B376" t="s">
        <v>73</v>
      </c>
      <c r="C376" s="3">
        <v>45692.736435185187</v>
      </c>
      <c r="D376" t="s">
        <v>215</v>
      </c>
      <c r="E376" s="4">
        <v>39.956000000000003</v>
      </c>
      <c r="F376" s="4">
        <v>137592.79199999999</v>
      </c>
      <c r="G376" s="4">
        <v>137632.74799999999</v>
      </c>
      <c r="H376" s="5">
        <f>2601 / 86400</f>
        <v>3.0104166666666668E-2</v>
      </c>
      <c r="I376" t="s">
        <v>177</v>
      </c>
      <c r="J376" t="s">
        <v>36</v>
      </c>
      <c r="K376" s="5">
        <f>8832 / 86400</f>
        <v>0.10222222222222223</v>
      </c>
      <c r="L376" s="5">
        <f>130 / 86400</f>
        <v>1.5046296296296296E-3</v>
      </c>
    </row>
    <row r="377" spans="1:12" x14ac:dyDescent="0.25">
      <c r="A377" s="3">
        <v>45692.737939814819</v>
      </c>
      <c r="B377" t="s">
        <v>215</v>
      </c>
      <c r="C377" s="3">
        <v>45692.761388888888</v>
      </c>
      <c r="D377" t="s">
        <v>128</v>
      </c>
      <c r="E377" s="4">
        <v>10.129</v>
      </c>
      <c r="F377" s="4">
        <v>137632.74799999999</v>
      </c>
      <c r="G377" s="4">
        <v>137642.87700000001</v>
      </c>
      <c r="H377" s="5">
        <f>440 / 86400</f>
        <v>5.092592592592593E-3</v>
      </c>
      <c r="I377" t="s">
        <v>216</v>
      </c>
      <c r="J377" t="s">
        <v>31</v>
      </c>
      <c r="K377" s="5">
        <f>2025 / 86400</f>
        <v>2.34375E-2</v>
      </c>
      <c r="L377" s="5">
        <f>319 / 86400</f>
        <v>3.6921296296296298E-3</v>
      </c>
    </row>
    <row r="378" spans="1:12" x14ac:dyDescent="0.25">
      <c r="A378" s="3">
        <v>45692.765081018515</v>
      </c>
      <c r="B378" t="s">
        <v>128</v>
      </c>
      <c r="C378" s="3">
        <v>45692.853159722217</v>
      </c>
      <c r="D378" t="s">
        <v>34</v>
      </c>
      <c r="E378" s="4">
        <v>46.363999999999997</v>
      </c>
      <c r="F378" s="4">
        <v>137642.87700000001</v>
      </c>
      <c r="G378" s="4">
        <v>137689.24100000001</v>
      </c>
      <c r="H378" s="5">
        <f>2040 / 86400</f>
        <v>2.361111111111111E-2</v>
      </c>
      <c r="I378" t="s">
        <v>30</v>
      </c>
      <c r="J378" t="s">
        <v>122</v>
      </c>
      <c r="K378" s="5">
        <f>7609 / 86400</f>
        <v>8.8067129629629634E-2</v>
      </c>
      <c r="L378" s="5">
        <f>111 / 86400</f>
        <v>1.2847222222222223E-3</v>
      </c>
    </row>
    <row r="379" spans="1:12" x14ac:dyDescent="0.25">
      <c r="A379" s="3">
        <v>45692.854444444441</v>
      </c>
      <c r="B379" t="s">
        <v>34</v>
      </c>
      <c r="C379" s="3">
        <v>45692.857870370368</v>
      </c>
      <c r="D379" t="s">
        <v>34</v>
      </c>
      <c r="E379" s="4">
        <v>1.8839999999999999</v>
      </c>
      <c r="F379" s="4">
        <v>137689.24100000001</v>
      </c>
      <c r="G379" s="4">
        <v>137691.125</v>
      </c>
      <c r="H379" s="5">
        <f>100 / 86400</f>
        <v>1.1574074074074073E-3</v>
      </c>
      <c r="I379" t="s">
        <v>217</v>
      </c>
      <c r="J379" t="s">
        <v>136</v>
      </c>
      <c r="K379" s="5">
        <f>295 / 86400</f>
        <v>3.414351851851852E-3</v>
      </c>
      <c r="L379" s="5">
        <f>96 / 86400</f>
        <v>1.1111111111111111E-3</v>
      </c>
    </row>
    <row r="380" spans="1:12" x14ac:dyDescent="0.25">
      <c r="A380" s="3">
        <v>45692.858981481477</v>
      </c>
      <c r="B380" t="s">
        <v>34</v>
      </c>
      <c r="C380" s="3">
        <v>45692.859120370369</v>
      </c>
      <c r="D380" t="s">
        <v>34</v>
      </c>
      <c r="E380" s="4">
        <v>2.1999999999999999E-2</v>
      </c>
      <c r="F380" s="4">
        <v>137691.125</v>
      </c>
      <c r="G380" s="4">
        <v>137691.147</v>
      </c>
      <c r="H380" s="5">
        <f>0 / 86400</f>
        <v>0</v>
      </c>
      <c r="I380" t="s">
        <v>55</v>
      </c>
      <c r="J380" t="s">
        <v>43</v>
      </c>
      <c r="K380" s="5">
        <f>11 / 86400</f>
        <v>1.273148148148148E-4</v>
      </c>
      <c r="L380" s="5">
        <f>235 / 86400</f>
        <v>2.7199074074074074E-3</v>
      </c>
    </row>
    <row r="381" spans="1:12" x14ac:dyDescent="0.25">
      <c r="A381" s="3">
        <v>45692.861840277779</v>
      </c>
      <c r="B381" t="s">
        <v>34</v>
      </c>
      <c r="C381" s="3">
        <v>45692.864664351851</v>
      </c>
      <c r="D381" t="s">
        <v>218</v>
      </c>
      <c r="E381" s="4">
        <v>1.6779999999999999</v>
      </c>
      <c r="F381" s="4">
        <v>137691.147</v>
      </c>
      <c r="G381" s="4">
        <v>137692.82500000001</v>
      </c>
      <c r="H381" s="5">
        <f>40 / 86400</f>
        <v>4.6296296296296298E-4</v>
      </c>
      <c r="I381" t="s">
        <v>219</v>
      </c>
      <c r="J381" t="s">
        <v>152</v>
      </c>
      <c r="K381" s="5">
        <f>243 / 86400</f>
        <v>2.8124999999999999E-3</v>
      </c>
      <c r="L381" s="5">
        <f>22 / 86400</f>
        <v>2.5462962962962961E-4</v>
      </c>
    </row>
    <row r="382" spans="1:12" x14ac:dyDescent="0.25">
      <c r="A382" s="3">
        <v>45692.864918981482</v>
      </c>
      <c r="B382" t="s">
        <v>218</v>
      </c>
      <c r="C382" s="3">
        <v>45692.874143518522</v>
      </c>
      <c r="D382" t="s">
        <v>56</v>
      </c>
      <c r="E382" s="4">
        <v>3.0790000000000002</v>
      </c>
      <c r="F382" s="4">
        <v>137692.82500000001</v>
      </c>
      <c r="G382" s="4">
        <v>137695.90400000001</v>
      </c>
      <c r="H382" s="5">
        <f>259 / 86400</f>
        <v>2.9976851851851853E-3</v>
      </c>
      <c r="I382" t="s">
        <v>220</v>
      </c>
      <c r="J382" t="s">
        <v>28</v>
      </c>
      <c r="K382" s="5">
        <f>797 / 86400</f>
        <v>9.2245370370370363E-3</v>
      </c>
      <c r="L382" s="5">
        <f>10873 / 86400</f>
        <v>0.12584490740740742</v>
      </c>
    </row>
    <row r="383" spans="1:12" x14ac:dyDescent="0.25">
      <c r="A383" s="12"/>
      <c r="B383" s="12"/>
      <c r="C383" s="12"/>
      <c r="D383" s="12"/>
      <c r="E383" s="12"/>
      <c r="F383" s="12"/>
      <c r="G383" s="12"/>
      <c r="H383" s="12"/>
      <c r="I383" s="12"/>
      <c r="J383" s="12"/>
    </row>
    <row r="384" spans="1:12" x14ac:dyDescent="0.25">
      <c r="A384" s="12"/>
      <c r="B384" s="12"/>
      <c r="C384" s="12"/>
      <c r="D384" s="12"/>
      <c r="E384" s="12"/>
      <c r="F384" s="12"/>
      <c r="G384" s="12"/>
      <c r="H384" s="12"/>
      <c r="I384" s="12"/>
      <c r="J384" s="12"/>
    </row>
    <row r="385" spans="1:12" s="10" customFormat="1" ht="20.100000000000001" customHeight="1" x14ac:dyDescent="0.35">
      <c r="A385" s="15" t="s">
        <v>300</v>
      </c>
      <c r="B385" s="15"/>
      <c r="C385" s="15"/>
      <c r="D385" s="15"/>
      <c r="E385" s="15"/>
      <c r="F385" s="15"/>
      <c r="G385" s="15"/>
      <c r="H385" s="15"/>
      <c r="I385" s="15"/>
      <c r="J385" s="15"/>
    </row>
    <row r="386" spans="1:12" x14ac:dyDescent="0.25">
      <c r="A386" s="12"/>
      <c r="B386" s="12"/>
      <c r="C386" s="12"/>
      <c r="D386" s="12"/>
      <c r="E386" s="12"/>
      <c r="F386" s="12"/>
      <c r="G386" s="12"/>
      <c r="H386" s="12"/>
      <c r="I386" s="12"/>
      <c r="J386" s="12"/>
    </row>
    <row r="387" spans="1:12" ht="30" x14ac:dyDescent="0.25">
      <c r="A387" s="2" t="s">
        <v>6</v>
      </c>
      <c r="B387" s="2" t="s">
        <v>7</v>
      </c>
      <c r="C387" s="2" t="s">
        <v>8</v>
      </c>
      <c r="D387" s="2" t="s">
        <v>9</v>
      </c>
      <c r="E387" s="2" t="s">
        <v>10</v>
      </c>
      <c r="F387" s="2" t="s">
        <v>11</v>
      </c>
      <c r="G387" s="2" t="s">
        <v>12</v>
      </c>
      <c r="H387" s="2" t="s">
        <v>13</v>
      </c>
      <c r="I387" s="2" t="s">
        <v>14</v>
      </c>
      <c r="J387" s="2" t="s">
        <v>15</v>
      </c>
      <c r="K387" s="2" t="s">
        <v>16</v>
      </c>
      <c r="L387" s="2" t="s">
        <v>17</v>
      </c>
    </row>
    <row r="388" spans="1:12" x14ac:dyDescent="0.25">
      <c r="A388" s="3">
        <v>45692.251527777778</v>
      </c>
      <c r="B388" t="s">
        <v>26</v>
      </c>
      <c r="C388" s="3">
        <v>45692.255694444444</v>
      </c>
      <c r="D388" t="s">
        <v>26</v>
      </c>
      <c r="E388" s="4">
        <v>0</v>
      </c>
      <c r="F388" s="4">
        <v>4193.0450000000001</v>
      </c>
      <c r="G388" s="4">
        <v>4193.0450000000001</v>
      </c>
      <c r="H388" s="5">
        <f>339 / 86400</f>
        <v>3.9236111111111112E-3</v>
      </c>
      <c r="I388" t="s">
        <v>55</v>
      </c>
      <c r="J388" t="s">
        <v>55</v>
      </c>
      <c r="K388" s="5">
        <f>359 / 86400</f>
        <v>4.1550925925925922E-3</v>
      </c>
      <c r="L388" s="5">
        <f>23557 / 86400</f>
        <v>0.27265046296296297</v>
      </c>
    </row>
    <row r="389" spans="1:12" x14ac:dyDescent="0.25">
      <c r="A389" s="3">
        <v>45692.276817129634</v>
      </c>
      <c r="B389" t="s">
        <v>26</v>
      </c>
      <c r="C389" s="3">
        <v>45692.400208333333</v>
      </c>
      <c r="D389" t="s">
        <v>221</v>
      </c>
      <c r="E389" s="4">
        <v>33.238</v>
      </c>
      <c r="F389" s="4">
        <v>4193.0450000000001</v>
      </c>
      <c r="G389" s="4">
        <v>4226.2830000000004</v>
      </c>
      <c r="H389" s="5">
        <f>5562 / 86400</f>
        <v>6.4375000000000002E-2</v>
      </c>
      <c r="I389" t="s">
        <v>157</v>
      </c>
      <c r="J389" t="s">
        <v>174</v>
      </c>
      <c r="K389" s="5">
        <f>10661 / 86400</f>
        <v>0.1233912037037037</v>
      </c>
      <c r="L389" s="5">
        <f>22 / 86400</f>
        <v>2.5462962962962961E-4</v>
      </c>
    </row>
    <row r="390" spans="1:12" x14ac:dyDescent="0.25">
      <c r="A390" s="3">
        <v>45692.400462962964</v>
      </c>
      <c r="B390" t="s">
        <v>221</v>
      </c>
      <c r="C390" s="3">
        <v>45692.532893518517</v>
      </c>
      <c r="D390" t="s">
        <v>128</v>
      </c>
      <c r="E390" s="4">
        <v>49.622</v>
      </c>
      <c r="F390" s="4">
        <v>4226.2830000000004</v>
      </c>
      <c r="G390" s="4">
        <v>4275.9049999999997</v>
      </c>
      <c r="H390" s="5">
        <f>5035 / 86400</f>
        <v>5.8275462962962966E-2</v>
      </c>
      <c r="I390" t="s">
        <v>185</v>
      </c>
      <c r="J390" t="s">
        <v>36</v>
      </c>
      <c r="K390" s="5">
        <f>11442 / 86400</f>
        <v>0.13243055555555555</v>
      </c>
      <c r="L390" s="5">
        <f>2144 / 86400</f>
        <v>2.4814814814814814E-2</v>
      </c>
    </row>
    <row r="391" spans="1:12" x14ac:dyDescent="0.25">
      <c r="A391" s="3">
        <v>45692.557708333334</v>
      </c>
      <c r="B391" t="s">
        <v>128</v>
      </c>
      <c r="C391" s="3">
        <v>45692.56449074074</v>
      </c>
      <c r="D391" t="s">
        <v>148</v>
      </c>
      <c r="E391" s="4">
        <v>1.262</v>
      </c>
      <c r="F391" s="4">
        <v>4275.9049999999997</v>
      </c>
      <c r="G391" s="4">
        <v>4277.1670000000004</v>
      </c>
      <c r="H391" s="5">
        <f>239 / 86400</f>
        <v>2.7662037037037039E-3</v>
      </c>
      <c r="I391" t="s">
        <v>134</v>
      </c>
      <c r="J391" t="s">
        <v>135</v>
      </c>
      <c r="K391" s="5">
        <f>585 / 86400</f>
        <v>6.7708333333333336E-3</v>
      </c>
      <c r="L391" s="5">
        <f>487 / 86400</f>
        <v>5.6365740740740742E-3</v>
      </c>
    </row>
    <row r="392" spans="1:12" x14ac:dyDescent="0.25">
      <c r="A392" s="3">
        <v>45692.570127314815</v>
      </c>
      <c r="B392" t="s">
        <v>148</v>
      </c>
      <c r="C392" s="3">
        <v>45692.572974537034</v>
      </c>
      <c r="D392" t="s">
        <v>175</v>
      </c>
      <c r="E392" s="4">
        <v>0.60099999999999998</v>
      </c>
      <c r="F392" s="4">
        <v>4277.1670000000004</v>
      </c>
      <c r="G392" s="4">
        <v>4277.768</v>
      </c>
      <c r="H392" s="5">
        <f>119 / 86400</f>
        <v>1.3773148148148147E-3</v>
      </c>
      <c r="I392" t="s">
        <v>167</v>
      </c>
      <c r="J392" t="s">
        <v>54</v>
      </c>
      <c r="K392" s="5">
        <f>246 / 86400</f>
        <v>2.8472222222222223E-3</v>
      </c>
      <c r="L392" s="5">
        <f>3622 / 86400</f>
        <v>4.1921296296296297E-2</v>
      </c>
    </row>
    <row r="393" spans="1:12" x14ac:dyDescent="0.25">
      <c r="A393" s="3">
        <v>45692.614895833336</v>
      </c>
      <c r="B393" t="s">
        <v>175</v>
      </c>
      <c r="C393" s="3">
        <v>45692.932638888888</v>
      </c>
      <c r="D393" t="s">
        <v>84</v>
      </c>
      <c r="E393" s="4">
        <v>95.918999999999997</v>
      </c>
      <c r="F393" s="4">
        <v>4277.768</v>
      </c>
      <c r="G393" s="4">
        <v>4373.6869999999999</v>
      </c>
      <c r="H393" s="5">
        <f>14103 / 86400</f>
        <v>0.16322916666666668</v>
      </c>
      <c r="I393" t="s">
        <v>57</v>
      </c>
      <c r="J393" t="s">
        <v>58</v>
      </c>
      <c r="K393" s="5">
        <f>27453 / 86400</f>
        <v>0.31774305555555554</v>
      </c>
      <c r="L393" s="5">
        <f>507 / 86400</f>
        <v>5.8680555555555552E-3</v>
      </c>
    </row>
    <row r="394" spans="1:12" x14ac:dyDescent="0.25">
      <c r="A394" s="3">
        <v>45692.93850694444</v>
      </c>
      <c r="B394" t="s">
        <v>84</v>
      </c>
      <c r="C394" s="3">
        <v>45692.946423611109</v>
      </c>
      <c r="D394" t="s">
        <v>26</v>
      </c>
      <c r="E394" s="4">
        <v>0.47199999999999998</v>
      </c>
      <c r="F394" s="4">
        <v>4373.6869999999999</v>
      </c>
      <c r="G394" s="4">
        <v>4374.1589999999997</v>
      </c>
      <c r="H394" s="5">
        <f>499 / 86400</f>
        <v>5.7754629629629631E-3</v>
      </c>
      <c r="I394" t="s">
        <v>36</v>
      </c>
      <c r="J394" t="s">
        <v>161</v>
      </c>
      <c r="K394" s="5">
        <f>683 / 86400</f>
        <v>7.905092592592592E-3</v>
      </c>
      <c r="L394" s="5">
        <f>4628 / 86400</f>
        <v>5.3564814814814815E-2</v>
      </c>
    </row>
    <row r="395" spans="1:12" x14ac:dyDescent="0.25">
      <c r="A395" s="12"/>
      <c r="B395" s="12"/>
      <c r="C395" s="12"/>
      <c r="D395" s="12"/>
      <c r="E395" s="12"/>
      <c r="F395" s="12"/>
      <c r="G395" s="12"/>
      <c r="H395" s="12"/>
      <c r="I395" s="12"/>
      <c r="J395" s="12"/>
    </row>
    <row r="396" spans="1:12" x14ac:dyDescent="0.25">
      <c r="A396" s="12"/>
      <c r="B396" s="12"/>
      <c r="C396" s="12"/>
      <c r="D396" s="12"/>
      <c r="E396" s="12"/>
      <c r="F396" s="12"/>
      <c r="G396" s="12"/>
      <c r="H396" s="12"/>
      <c r="I396" s="12"/>
      <c r="J396" s="12"/>
    </row>
    <row r="397" spans="1:12" s="10" customFormat="1" ht="20.100000000000001" customHeight="1" x14ac:dyDescent="0.35">
      <c r="A397" s="15" t="s">
        <v>301</v>
      </c>
      <c r="B397" s="15"/>
      <c r="C397" s="15"/>
      <c r="D397" s="15"/>
      <c r="E397" s="15"/>
      <c r="F397" s="15"/>
      <c r="G397" s="15"/>
      <c r="H397" s="15"/>
      <c r="I397" s="15"/>
      <c r="J397" s="15"/>
    </row>
    <row r="398" spans="1:12" x14ac:dyDescent="0.25">
      <c r="A398" s="12"/>
      <c r="B398" s="12"/>
      <c r="C398" s="12"/>
      <c r="D398" s="12"/>
      <c r="E398" s="12"/>
      <c r="F398" s="12"/>
      <c r="G398" s="12"/>
      <c r="H398" s="12"/>
      <c r="I398" s="12"/>
      <c r="J398" s="12"/>
    </row>
    <row r="399" spans="1:12" ht="30" x14ac:dyDescent="0.25">
      <c r="A399" s="2" t="s">
        <v>6</v>
      </c>
      <c r="B399" s="2" t="s">
        <v>7</v>
      </c>
      <c r="C399" s="2" t="s">
        <v>8</v>
      </c>
      <c r="D399" s="2" t="s">
        <v>9</v>
      </c>
      <c r="E399" s="2" t="s">
        <v>10</v>
      </c>
      <c r="F399" s="2" t="s">
        <v>11</v>
      </c>
      <c r="G399" s="2" t="s">
        <v>12</v>
      </c>
      <c r="H399" s="2" t="s">
        <v>13</v>
      </c>
      <c r="I399" s="2" t="s">
        <v>14</v>
      </c>
      <c r="J399" s="2" t="s">
        <v>15</v>
      </c>
      <c r="K399" s="2" t="s">
        <v>16</v>
      </c>
      <c r="L399" s="2" t="s">
        <v>17</v>
      </c>
    </row>
    <row r="400" spans="1:12" x14ac:dyDescent="0.25">
      <c r="A400" s="3">
        <v>45692.208819444444</v>
      </c>
      <c r="B400" t="s">
        <v>34</v>
      </c>
      <c r="C400" s="3">
        <v>45692.453310185185</v>
      </c>
      <c r="D400" t="s">
        <v>40</v>
      </c>
      <c r="E400" s="4">
        <v>82.994</v>
      </c>
      <c r="F400" s="4">
        <v>385448.67300000001</v>
      </c>
      <c r="G400" s="4">
        <v>385531.66700000002</v>
      </c>
      <c r="H400" s="5">
        <f>8559 / 86400</f>
        <v>9.9062499999999998E-2</v>
      </c>
      <c r="I400" t="s">
        <v>157</v>
      </c>
      <c r="J400" t="s">
        <v>28</v>
      </c>
      <c r="K400" s="5">
        <f>21123 / 86400</f>
        <v>0.24447916666666666</v>
      </c>
      <c r="L400" s="5">
        <f>20272 / 86400</f>
        <v>0.23462962962962963</v>
      </c>
    </row>
    <row r="401" spans="1:12" x14ac:dyDescent="0.25">
      <c r="A401" s="3">
        <v>45692.479120370372</v>
      </c>
      <c r="B401" t="s">
        <v>40</v>
      </c>
      <c r="C401" s="3">
        <v>45692.480150462958</v>
      </c>
      <c r="D401" t="s">
        <v>40</v>
      </c>
      <c r="E401" s="4">
        <v>9.1999999999999998E-2</v>
      </c>
      <c r="F401" s="4">
        <v>385531.66700000002</v>
      </c>
      <c r="G401" s="4">
        <v>385531.75900000002</v>
      </c>
      <c r="H401" s="5">
        <f>20 / 86400</f>
        <v>2.3148148148148149E-4</v>
      </c>
      <c r="I401" t="s">
        <v>54</v>
      </c>
      <c r="J401" t="s">
        <v>160</v>
      </c>
      <c r="K401" s="5">
        <f>89 / 86400</f>
        <v>1.0300925925925926E-3</v>
      </c>
      <c r="L401" s="5">
        <f>16594 / 86400</f>
        <v>0.19206018518518519</v>
      </c>
    </row>
    <row r="402" spans="1:12" x14ac:dyDescent="0.25">
      <c r="A402" s="3">
        <v>45692.672210648147</v>
      </c>
      <c r="B402" t="s">
        <v>40</v>
      </c>
      <c r="C402" s="3">
        <v>45692.744386574079</v>
      </c>
      <c r="D402" t="s">
        <v>222</v>
      </c>
      <c r="E402" s="4">
        <v>34.973999999999997</v>
      </c>
      <c r="F402" s="4">
        <v>385531.75900000002</v>
      </c>
      <c r="G402" s="4">
        <v>385566.73300000001</v>
      </c>
      <c r="H402" s="5">
        <f>1698 / 86400</f>
        <v>1.9652777777777779E-2</v>
      </c>
      <c r="I402" t="s">
        <v>59</v>
      </c>
      <c r="J402" t="s">
        <v>114</v>
      </c>
      <c r="K402" s="5">
        <f>6236 / 86400</f>
        <v>7.2175925925925921E-2</v>
      </c>
      <c r="L402" s="5">
        <f>82 / 86400</f>
        <v>9.4907407407407408E-4</v>
      </c>
    </row>
    <row r="403" spans="1:12" x14ac:dyDescent="0.25">
      <c r="A403" s="3">
        <v>45692.745335648149</v>
      </c>
      <c r="B403" t="s">
        <v>222</v>
      </c>
      <c r="C403" s="3">
        <v>45692.808171296296</v>
      </c>
      <c r="D403" t="s">
        <v>205</v>
      </c>
      <c r="E403" s="4">
        <v>24.018999999999998</v>
      </c>
      <c r="F403" s="4">
        <v>385566.73300000001</v>
      </c>
      <c r="G403" s="4">
        <v>385590.75199999998</v>
      </c>
      <c r="H403" s="5">
        <f>1862 / 86400</f>
        <v>2.1550925925925925E-2</v>
      </c>
      <c r="I403" t="s">
        <v>195</v>
      </c>
      <c r="J403" t="s">
        <v>36</v>
      </c>
      <c r="K403" s="5">
        <f>5428 / 86400</f>
        <v>6.2824074074074074E-2</v>
      </c>
      <c r="L403" s="5">
        <f>433 / 86400</f>
        <v>5.0115740740740737E-3</v>
      </c>
    </row>
    <row r="404" spans="1:12" x14ac:dyDescent="0.25">
      <c r="A404" s="3">
        <v>45692.81318287037</v>
      </c>
      <c r="B404" t="s">
        <v>205</v>
      </c>
      <c r="C404" s="3">
        <v>45692.819016203706</v>
      </c>
      <c r="D404" t="s">
        <v>34</v>
      </c>
      <c r="E404" s="4">
        <v>1.3859999999999999</v>
      </c>
      <c r="F404" s="4">
        <v>385590.75199999998</v>
      </c>
      <c r="G404" s="4">
        <v>385592.13799999998</v>
      </c>
      <c r="H404" s="5">
        <f>260 / 86400</f>
        <v>3.0092592592592593E-3</v>
      </c>
      <c r="I404" t="s">
        <v>223</v>
      </c>
      <c r="J404" t="s">
        <v>158</v>
      </c>
      <c r="K404" s="5">
        <f>503 / 86400</f>
        <v>5.8217592592592592E-3</v>
      </c>
      <c r="L404" s="5">
        <f>15636 / 86400</f>
        <v>0.18097222222222223</v>
      </c>
    </row>
    <row r="405" spans="1:12" x14ac:dyDescent="0.25">
      <c r="A405" s="12"/>
      <c r="B405" s="12"/>
      <c r="C405" s="12"/>
      <c r="D405" s="12"/>
      <c r="E405" s="12"/>
      <c r="F405" s="12"/>
      <c r="G405" s="12"/>
      <c r="H405" s="12"/>
      <c r="I405" s="12"/>
      <c r="J405" s="12"/>
    </row>
    <row r="406" spans="1:12" x14ac:dyDescent="0.25">
      <c r="A406" s="12"/>
      <c r="B406" s="12"/>
      <c r="C406" s="12"/>
      <c r="D406" s="12"/>
      <c r="E406" s="12"/>
      <c r="F406" s="12"/>
      <c r="G406" s="12"/>
      <c r="H406" s="12"/>
      <c r="I406" s="12"/>
      <c r="J406" s="12"/>
    </row>
    <row r="407" spans="1:12" s="10" customFormat="1" ht="20.100000000000001" customHeight="1" x14ac:dyDescent="0.35">
      <c r="A407" s="15" t="s">
        <v>302</v>
      </c>
      <c r="B407" s="15"/>
      <c r="C407" s="15"/>
      <c r="D407" s="15"/>
      <c r="E407" s="15"/>
      <c r="F407" s="15"/>
      <c r="G407" s="15"/>
      <c r="H407" s="15"/>
      <c r="I407" s="15"/>
      <c r="J407" s="15"/>
    </row>
    <row r="408" spans="1:12" x14ac:dyDescent="0.25">
      <c r="A408" s="12"/>
      <c r="B408" s="12"/>
      <c r="C408" s="12"/>
      <c r="D408" s="12"/>
      <c r="E408" s="12"/>
      <c r="F408" s="12"/>
      <c r="G408" s="12"/>
      <c r="H408" s="12"/>
      <c r="I408" s="12"/>
      <c r="J408" s="12"/>
    </row>
    <row r="409" spans="1:12" ht="30" x14ac:dyDescent="0.25">
      <c r="A409" s="2" t="s">
        <v>6</v>
      </c>
      <c r="B409" s="2" t="s">
        <v>7</v>
      </c>
      <c r="C409" s="2" t="s">
        <v>8</v>
      </c>
      <c r="D409" s="2" t="s">
        <v>9</v>
      </c>
      <c r="E409" s="2" t="s">
        <v>10</v>
      </c>
      <c r="F409" s="2" t="s">
        <v>11</v>
      </c>
      <c r="G409" s="2" t="s">
        <v>12</v>
      </c>
      <c r="H409" s="2" t="s">
        <v>13</v>
      </c>
      <c r="I409" s="2" t="s">
        <v>14</v>
      </c>
      <c r="J409" s="2" t="s">
        <v>15</v>
      </c>
      <c r="K409" s="2" t="s">
        <v>16</v>
      </c>
      <c r="L409" s="2" t="s">
        <v>17</v>
      </c>
    </row>
    <row r="410" spans="1:12" x14ac:dyDescent="0.25">
      <c r="A410" s="3">
        <v>45692.291331018518</v>
      </c>
      <c r="B410" t="s">
        <v>60</v>
      </c>
      <c r="C410" s="3">
        <v>45692.29850694444</v>
      </c>
      <c r="D410" t="s">
        <v>224</v>
      </c>
      <c r="E410" s="4">
        <v>0.54800000000000004</v>
      </c>
      <c r="F410" s="4">
        <v>391073.71399999998</v>
      </c>
      <c r="G410" s="4">
        <v>391074.26199999999</v>
      </c>
      <c r="H410" s="5">
        <f>419 / 86400</f>
        <v>4.8495370370370368E-3</v>
      </c>
      <c r="I410" t="s">
        <v>187</v>
      </c>
      <c r="J410" t="s">
        <v>140</v>
      </c>
      <c r="K410" s="5">
        <f>619 / 86400</f>
        <v>7.1643518518518514E-3</v>
      </c>
      <c r="L410" s="5">
        <f>25654 / 86400</f>
        <v>0.29692129629629632</v>
      </c>
    </row>
    <row r="411" spans="1:12" x14ac:dyDescent="0.25">
      <c r="A411" s="3">
        <v>45692.304097222222</v>
      </c>
      <c r="B411" t="s">
        <v>224</v>
      </c>
      <c r="C411" s="3">
        <v>45692.364039351851</v>
      </c>
      <c r="D411" t="s">
        <v>148</v>
      </c>
      <c r="E411" s="4">
        <v>32.704999999999998</v>
      </c>
      <c r="F411" s="4">
        <v>391074.26199999999</v>
      </c>
      <c r="G411" s="4">
        <v>391106.967</v>
      </c>
      <c r="H411" s="5">
        <f>1339 / 86400</f>
        <v>1.5497685185185186E-2</v>
      </c>
      <c r="I411" t="s">
        <v>35</v>
      </c>
      <c r="J411" t="s">
        <v>136</v>
      </c>
      <c r="K411" s="5">
        <f>5179 / 86400</f>
        <v>5.994212962962963E-2</v>
      </c>
      <c r="L411" s="5">
        <f>714 / 86400</f>
        <v>8.2638888888888883E-3</v>
      </c>
    </row>
    <row r="412" spans="1:12" x14ac:dyDescent="0.25">
      <c r="A412" s="3">
        <v>45692.372303240743</v>
      </c>
      <c r="B412" t="s">
        <v>148</v>
      </c>
      <c r="C412" s="3">
        <v>45692.37462962963</v>
      </c>
      <c r="D412" t="s">
        <v>121</v>
      </c>
      <c r="E412" s="4">
        <v>1.0840000000000001</v>
      </c>
      <c r="F412" s="4">
        <v>391106.967</v>
      </c>
      <c r="G412" s="4">
        <v>391108.05099999998</v>
      </c>
      <c r="H412" s="5">
        <f>0 / 86400</f>
        <v>0</v>
      </c>
      <c r="I412" t="s">
        <v>173</v>
      </c>
      <c r="J412" t="s">
        <v>114</v>
      </c>
      <c r="K412" s="5">
        <f>200 / 86400</f>
        <v>2.3148148148148147E-3</v>
      </c>
      <c r="L412" s="5">
        <f>367 / 86400</f>
        <v>4.2476851851851851E-3</v>
      </c>
    </row>
    <row r="413" spans="1:12" x14ac:dyDescent="0.25">
      <c r="A413" s="3">
        <v>45692.378877314812</v>
      </c>
      <c r="B413" t="s">
        <v>121</v>
      </c>
      <c r="C413" s="3">
        <v>45692.503831018519</v>
      </c>
      <c r="D413" t="s">
        <v>168</v>
      </c>
      <c r="E413" s="4">
        <v>50.892000000000003</v>
      </c>
      <c r="F413" s="4">
        <v>391108.05099999998</v>
      </c>
      <c r="G413" s="4">
        <v>391158.94300000003</v>
      </c>
      <c r="H413" s="5">
        <f>3801 / 86400</f>
        <v>4.3993055555555556E-2</v>
      </c>
      <c r="I413" t="s">
        <v>19</v>
      </c>
      <c r="J413" t="s">
        <v>25</v>
      </c>
      <c r="K413" s="5">
        <f>10796 / 86400</f>
        <v>0.12495370370370371</v>
      </c>
      <c r="L413" s="5">
        <f>1034 / 86400</f>
        <v>1.1967592592592592E-2</v>
      </c>
    </row>
    <row r="414" spans="1:12" x14ac:dyDescent="0.25">
      <c r="A414" s="3">
        <v>45692.515798611115</v>
      </c>
      <c r="B414" t="s">
        <v>168</v>
      </c>
      <c r="C414" s="3">
        <v>45692.642418981486</v>
      </c>
      <c r="D414" t="s">
        <v>46</v>
      </c>
      <c r="E414" s="4">
        <v>50.914000000000001</v>
      </c>
      <c r="F414" s="4">
        <v>391158.94300000003</v>
      </c>
      <c r="G414" s="4">
        <v>391209.85700000002</v>
      </c>
      <c r="H414" s="5">
        <f>3963 / 86400</f>
        <v>4.5868055555555558E-2</v>
      </c>
      <c r="I414" t="s">
        <v>27</v>
      </c>
      <c r="J414" t="s">
        <v>25</v>
      </c>
      <c r="K414" s="5">
        <f>10939 / 86400</f>
        <v>0.12660879629629629</v>
      </c>
      <c r="L414" s="5">
        <f>952 / 86400</f>
        <v>1.1018518518518518E-2</v>
      </c>
    </row>
    <row r="415" spans="1:12" x14ac:dyDescent="0.25">
      <c r="A415" s="3">
        <v>45692.653437500005</v>
      </c>
      <c r="B415" t="s">
        <v>46</v>
      </c>
      <c r="C415" s="3">
        <v>45692.654108796298</v>
      </c>
      <c r="D415" t="s">
        <v>46</v>
      </c>
      <c r="E415" s="4">
        <v>2E-3</v>
      </c>
      <c r="F415" s="4">
        <v>391209.85700000002</v>
      </c>
      <c r="G415" s="4">
        <v>391209.859</v>
      </c>
      <c r="H415" s="5">
        <f>39 / 86400</f>
        <v>4.5138888888888887E-4</v>
      </c>
      <c r="I415" t="s">
        <v>55</v>
      </c>
      <c r="J415" t="s">
        <v>55</v>
      </c>
      <c r="K415" s="5">
        <f>57 / 86400</f>
        <v>6.5972222222222224E-4</v>
      </c>
      <c r="L415" s="5">
        <f>1274 / 86400</f>
        <v>1.474537037037037E-2</v>
      </c>
    </row>
    <row r="416" spans="1:12" x14ac:dyDescent="0.25">
      <c r="A416" s="3">
        <v>45692.668854166666</v>
      </c>
      <c r="B416" t="s">
        <v>46</v>
      </c>
      <c r="C416" s="3">
        <v>45692.671678240746</v>
      </c>
      <c r="D416" t="s">
        <v>175</v>
      </c>
      <c r="E416" s="4">
        <v>0.76900000000000002</v>
      </c>
      <c r="F416" s="4">
        <v>391209.859</v>
      </c>
      <c r="G416" s="4">
        <v>391210.62800000003</v>
      </c>
      <c r="H416" s="5">
        <f>20 / 86400</f>
        <v>2.3148148148148149E-4</v>
      </c>
      <c r="I416" t="s">
        <v>142</v>
      </c>
      <c r="J416" t="s">
        <v>174</v>
      </c>
      <c r="K416" s="5">
        <f>243 / 86400</f>
        <v>2.8124999999999999E-3</v>
      </c>
      <c r="L416" s="5">
        <f>477 / 86400</f>
        <v>5.5208333333333333E-3</v>
      </c>
    </row>
    <row r="417" spans="1:12" x14ac:dyDescent="0.25">
      <c r="A417" s="3">
        <v>45692.677199074074</v>
      </c>
      <c r="B417" t="s">
        <v>175</v>
      </c>
      <c r="C417" s="3">
        <v>45692.828668981485</v>
      </c>
      <c r="D417" t="s">
        <v>178</v>
      </c>
      <c r="E417" s="4">
        <v>65.606999999999999</v>
      </c>
      <c r="F417" s="4">
        <v>391210.62800000003</v>
      </c>
      <c r="G417" s="4">
        <v>391276.23499999999</v>
      </c>
      <c r="H417" s="5">
        <f>4218 / 86400</f>
        <v>4.8819444444444443E-2</v>
      </c>
      <c r="I417" t="s">
        <v>57</v>
      </c>
      <c r="J417" t="s">
        <v>31</v>
      </c>
      <c r="K417" s="5">
        <f>13087 / 86400</f>
        <v>0.1514699074074074</v>
      </c>
      <c r="L417" s="5">
        <f>55 / 86400</f>
        <v>6.3657407407407413E-4</v>
      </c>
    </row>
    <row r="418" spans="1:12" x14ac:dyDescent="0.25">
      <c r="A418" s="3">
        <v>45692.829305555555</v>
      </c>
      <c r="B418" t="s">
        <v>178</v>
      </c>
      <c r="C418" s="3">
        <v>45692.829525462963</v>
      </c>
      <c r="D418" t="s">
        <v>178</v>
      </c>
      <c r="E418" s="4">
        <v>1.6E-2</v>
      </c>
      <c r="F418" s="4">
        <v>391276.23499999999</v>
      </c>
      <c r="G418" s="4">
        <v>391276.25099999999</v>
      </c>
      <c r="H418" s="5">
        <f>0 / 86400</f>
        <v>0</v>
      </c>
      <c r="I418" t="s">
        <v>119</v>
      </c>
      <c r="J418" t="s">
        <v>140</v>
      </c>
      <c r="K418" s="5">
        <f>18 / 86400</f>
        <v>2.0833333333333335E-4</v>
      </c>
      <c r="L418" s="5">
        <f>116 / 86400</f>
        <v>1.3425925925925925E-3</v>
      </c>
    </row>
    <row r="419" spans="1:12" x14ac:dyDescent="0.25">
      <c r="A419" s="3">
        <v>45692.830868055556</v>
      </c>
      <c r="B419" t="s">
        <v>178</v>
      </c>
      <c r="C419" s="3">
        <v>45692.951111111106</v>
      </c>
      <c r="D419" t="s">
        <v>224</v>
      </c>
      <c r="E419" s="4">
        <v>54.536999999999999</v>
      </c>
      <c r="F419" s="4">
        <v>391276.25099999999</v>
      </c>
      <c r="G419" s="4">
        <v>391330.788</v>
      </c>
      <c r="H419" s="5">
        <f>3298 / 86400</f>
        <v>3.8171296296296293E-2</v>
      </c>
      <c r="I419" t="s">
        <v>32</v>
      </c>
      <c r="J419" t="s">
        <v>70</v>
      </c>
      <c r="K419" s="5">
        <f>10388 / 86400</f>
        <v>0.12023148148148148</v>
      </c>
      <c r="L419" s="5">
        <f>87 / 86400</f>
        <v>1.0069444444444444E-3</v>
      </c>
    </row>
    <row r="420" spans="1:12" x14ac:dyDescent="0.25">
      <c r="A420" s="3">
        <v>45692.95211805556</v>
      </c>
      <c r="B420" t="s">
        <v>224</v>
      </c>
      <c r="C420" s="3">
        <v>45692.956782407404</v>
      </c>
      <c r="D420" t="s">
        <v>60</v>
      </c>
      <c r="E420" s="4">
        <v>0.80400000000000005</v>
      </c>
      <c r="F420" s="4">
        <v>391330.788</v>
      </c>
      <c r="G420" s="4">
        <v>391331.592</v>
      </c>
      <c r="H420" s="5">
        <f>200 / 86400</f>
        <v>2.3148148148148147E-3</v>
      </c>
      <c r="I420" t="s">
        <v>225</v>
      </c>
      <c r="J420" t="s">
        <v>43</v>
      </c>
      <c r="K420" s="5">
        <f>402 / 86400</f>
        <v>4.6527777777777774E-3</v>
      </c>
      <c r="L420" s="5">
        <f>3733 / 86400</f>
        <v>4.3206018518518519E-2</v>
      </c>
    </row>
    <row r="421" spans="1:12" x14ac:dyDescent="0.25">
      <c r="A421" s="12"/>
      <c r="B421" s="12"/>
      <c r="C421" s="12"/>
      <c r="D421" s="12"/>
      <c r="E421" s="12"/>
      <c r="F421" s="12"/>
      <c r="G421" s="12"/>
      <c r="H421" s="12"/>
      <c r="I421" s="12"/>
      <c r="J421" s="12"/>
    </row>
    <row r="422" spans="1:12" x14ac:dyDescent="0.25">
      <c r="A422" s="12"/>
      <c r="B422" s="12"/>
      <c r="C422" s="12"/>
      <c r="D422" s="12"/>
      <c r="E422" s="12"/>
      <c r="F422" s="12"/>
      <c r="G422" s="12"/>
      <c r="H422" s="12"/>
      <c r="I422" s="12"/>
      <c r="J422" s="12"/>
    </row>
    <row r="423" spans="1:12" s="10" customFormat="1" ht="20.100000000000001" customHeight="1" x14ac:dyDescent="0.35">
      <c r="A423" s="15" t="s">
        <v>303</v>
      </c>
      <c r="B423" s="15"/>
      <c r="C423" s="15"/>
      <c r="D423" s="15"/>
      <c r="E423" s="15"/>
      <c r="F423" s="15"/>
      <c r="G423" s="15"/>
      <c r="H423" s="15"/>
      <c r="I423" s="15"/>
      <c r="J423" s="15"/>
    </row>
    <row r="424" spans="1:12" x14ac:dyDescent="0.25">
      <c r="A424" s="12"/>
      <c r="B424" s="12"/>
      <c r="C424" s="12"/>
      <c r="D424" s="12"/>
      <c r="E424" s="12"/>
      <c r="F424" s="12"/>
      <c r="G424" s="12"/>
      <c r="H424" s="12"/>
      <c r="I424" s="12"/>
      <c r="J424" s="12"/>
    </row>
    <row r="425" spans="1:12" ht="30" x14ac:dyDescent="0.25">
      <c r="A425" s="2" t="s">
        <v>6</v>
      </c>
      <c r="B425" s="2" t="s">
        <v>7</v>
      </c>
      <c r="C425" s="2" t="s">
        <v>8</v>
      </c>
      <c r="D425" s="2" t="s">
        <v>9</v>
      </c>
      <c r="E425" s="2" t="s">
        <v>10</v>
      </c>
      <c r="F425" s="2" t="s">
        <v>11</v>
      </c>
      <c r="G425" s="2" t="s">
        <v>12</v>
      </c>
      <c r="H425" s="2" t="s">
        <v>13</v>
      </c>
      <c r="I425" s="2" t="s">
        <v>14</v>
      </c>
      <c r="J425" s="2" t="s">
        <v>15</v>
      </c>
      <c r="K425" s="2" t="s">
        <v>16</v>
      </c>
      <c r="L425" s="2" t="s">
        <v>17</v>
      </c>
    </row>
    <row r="426" spans="1:12" x14ac:dyDescent="0.25">
      <c r="A426" s="3">
        <v>45692.14643518519</v>
      </c>
      <c r="B426" t="s">
        <v>61</v>
      </c>
      <c r="C426" s="3">
        <v>45692.301226851851</v>
      </c>
      <c r="D426" t="s">
        <v>226</v>
      </c>
      <c r="E426" s="4">
        <v>79.864000000000004</v>
      </c>
      <c r="F426" s="4">
        <v>521335.38900000002</v>
      </c>
      <c r="G426" s="4">
        <v>521415.25300000003</v>
      </c>
      <c r="H426" s="5">
        <f>3420 / 86400</f>
        <v>3.9583333333333331E-2</v>
      </c>
      <c r="I426" t="s">
        <v>177</v>
      </c>
      <c r="J426" t="s">
        <v>142</v>
      </c>
      <c r="K426" s="5">
        <f>13373 / 86400</f>
        <v>0.15478009259259259</v>
      </c>
      <c r="L426" s="5">
        <f>13529 / 86400</f>
        <v>0.15658564814814815</v>
      </c>
    </row>
    <row r="427" spans="1:12" x14ac:dyDescent="0.25">
      <c r="A427" s="3">
        <v>45692.311377314814</v>
      </c>
      <c r="B427" t="s">
        <v>226</v>
      </c>
      <c r="C427" s="3">
        <v>45692.586087962962</v>
      </c>
      <c r="D427" t="s">
        <v>128</v>
      </c>
      <c r="E427" s="4">
        <v>100.916</v>
      </c>
      <c r="F427" s="4">
        <v>521415.25300000003</v>
      </c>
      <c r="G427" s="4">
        <v>521516.16899999999</v>
      </c>
      <c r="H427" s="5">
        <f>8479 / 86400</f>
        <v>9.8136574074074071E-2</v>
      </c>
      <c r="I427" t="s">
        <v>27</v>
      </c>
      <c r="J427" t="s">
        <v>20</v>
      </c>
      <c r="K427" s="5">
        <f>23735 / 86400</f>
        <v>0.27471064814814816</v>
      </c>
      <c r="L427" s="5">
        <f>109 / 86400</f>
        <v>1.261574074074074E-3</v>
      </c>
    </row>
    <row r="428" spans="1:12" x14ac:dyDescent="0.25">
      <c r="A428" s="3">
        <v>45692.587349537032</v>
      </c>
      <c r="B428" t="s">
        <v>128</v>
      </c>
      <c r="C428" s="3">
        <v>45692.591296296298</v>
      </c>
      <c r="D428" t="s">
        <v>40</v>
      </c>
      <c r="E428" s="4">
        <v>0.95199999999999996</v>
      </c>
      <c r="F428" s="4">
        <v>521516.16899999999</v>
      </c>
      <c r="G428" s="4">
        <v>521517.12099999998</v>
      </c>
      <c r="H428" s="5">
        <f>140 / 86400</f>
        <v>1.6203703703703703E-3</v>
      </c>
      <c r="I428" t="s">
        <v>147</v>
      </c>
      <c r="J428" t="s">
        <v>158</v>
      </c>
      <c r="K428" s="5">
        <f>340 / 86400</f>
        <v>3.9351851851851848E-3</v>
      </c>
      <c r="L428" s="5">
        <f>2627 / 86400</f>
        <v>3.0405092592592591E-2</v>
      </c>
    </row>
    <row r="429" spans="1:12" x14ac:dyDescent="0.25">
      <c r="A429" s="3">
        <v>45692.621701388889</v>
      </c>
      <c r="B429" t="s">
        <v>40</v>
      </c>
      <c r="C429" s="3">
        <v>45692.667870370366</v>
      </c>
      <c r="D429" t="s">
        <v>84</v>
      </c>
      <c r="E429" s="4">
        <v>26.577999999999999</v>
      </c>
      <c r="F429" s="4">
        <v>521517.12099999998</v>
      </c>
      <c r="G429" s="4">
        <v>521543.69900000002</v>
      </c>
      <c r="H429" s="5">
        <f>579 / 86400</f>
        <v>6.7013888888888887E-3</v>
      </c>
      <c r="I429" t="s">
        <v>57</v>
      </c>
      <c r="J429" t="s">
        <v>150</v>
      </c>
      <c r="K429" s="5">
        <f>3989 / 86400</f>
        <v>4.6168981481481484E-2</v>
      </c>
      <c r="L429" s="5">
        <f>326 / 86400</f>
        <v>3.7731481481481483E-3</v>
      </c>
    </row>
    <row r="430" spans="1:12" x14ac:dyDescent="0.25">
      <c r="A430" s="3">
        <v>45692.671643518523</v>
      </c>
      <c r="B430" t="s">
        <v>84</v>
      </c>
      <c r="C430" s="3">
        <v>45692.675138888888</v>
      </c>
      <c r="D430" t="s">
        <v>227</v>
      </c>
      <c r="E430" s="4">
        <v>1.5680000000000001</v>
      </c>
      <c r="F430" s="4">
        <v>521543.69900000002</v>
      </c>
      <c r="G430" s="4">
        <v>521545.26699999999</v>
      </c>
      <c r="H430" s="5">
        <f>39 / 86400</f>
        <v>4.5138888888888887E-4</v>
      </c>
      <c r="I430" t="s">
        <v>204</v>
      </c>
      <c r="J430" t="s">
        <v>70</v>
      </c>
      <c r="K430" s="5">
        <f>302 / 86400</f>
        <v>3.4953703703703705E-3</v>
      </c>
      <c r="L430" s="5">
        <f>3156 / 86400</f>
        <v>3.6527777777777777E-2</v>
      </c>
    </row>
    <row r="431" spans="1:12" x14ac:dyDescent="0.25">
      <c r="A431" s="3">
        <v>45692.71166666667</v>
      </c>
      <c r="B431" t="s">
        <v>227</v>
      </c>
      <c r="C431" s="3">
        <v>45692.713634259257</v>
      </c>
      <c r="D431" t="s">
        <v>61</v>
      </c>
      <c r="E431" s="4">
        <v>0.38900000000000001</v>
      </c>
      <c r="F431" s="4">
        <v>521545.26699999999</v>
      </c>
      <c r="G431" s="4">
        <v>521545.65600000002</v>
      </c>
      <c r="H431" s="5">
        <f>39 / 86400</f>
        <v>4.5138888888888887E-4</v>
      </c>
      <c r="I431" t="s">
        <v>70</v>
      </c>
      <c r="J431" t="s">
        <v>135</v>
      </c>
      <c r="K431" s="5">
        <f>169 / 86400</f>
        <v>1.9560185185185184E-3</v>
      </c>
      <c r="L431" s="5">
        <f>17740 / 86400</f>
        <v>0.20532407407407408</v>
      </c>
    </row>
    <row r="432" spans="1:12" x14ac:dyDescent="0.25">
      <c r="A432" s="3">
        <v>45692.918958333335</v>
      </c>
      <c r="B432" t="s">
        <v>61</v>
      </c>
      <c r="C432" s="3">
        <v>45692.919016203705</v>
      </c>
      <c r="D432" t="s">
        <v>61</v>
      </c>
      <c r="E432" s="4">
        <v>0</v>
      </c>
      <c r="F432" s="4">
        <v>521545.65600000002</v>
      </c>
      <c r="G432" s="4">
        <v>521545.65600000002</v>
      </c>
      <c r="H432" s="5">
        <f>0 / 86400</f>
        <v>0</v>
      </c>
      <c r="I432" t="s">
        <v>55</v>
      </c>
      <c r="J432" t="s">
        <v>55</v>
      </c>
      <c r="K432" s="5">
        <f>4 / 86400</f>
        <v>4.6296296296296294E-5</v>
      </c>
      <c r="L432" s="5">
        <f>1 / 86400</f>
        <v>1.1574074074074073E-5</v>
      </c>
    </row>
    <row r="433" spans="1:12" x14ac:dyDescent="0.25">
      <c r="A433" s="3">
        <v>45692.919027777782</v>
      </c>
      <c r="B433" t="s">
        <v>61</v>
      </c>
      <c r="C433" s="3">
        <v>45692.920706018514</v>
      </c>
      <c r="D433" t="s">
        <v>61</v>
      </c>
      <c r="E433" s="4">
        <v>2.5999999999999999E-2</v>
      </c>
      <c r="F433" s="4">
        <v>521545.65600000002</v>
      </c>
      <c r="G433" s="4">
        <v>521545.68199999997</v>
      </c>
      <c r="H433" s="5">
        <f>114 / 86400</f>
        <v>1.3194444444444445E-3</v>
      </c>
      <c r="I433" t="s">
        <v>137</v>
      </c>
      <c r="J433" t="s">
        <v>125</v>
      </c>
      <c r="K433" s="5">
        <f>145 / 86400</f>
        <v>1.6782407407407408E-3</v>
      </c>
      <c r="L433" s="5">
        <f>6850 / 86400</f>
        <v>7.9282407407407413E-2</v>
      </c>
    </row>
    <row r="434" spans="1:12" x14ac:dyDescent="0.25">
      <c r="A434" s="12"/>
      <c r="B434" s="12"/>
      <c r="C434" s="12"/>
      <c r="D434" s="12"/>
      <c r="E434" s="12"/>
      <c r="F434" s="12"/>
      <c r="G434" s="12"/>
      <c r="H434" s="12"/>
      <c r="I434" s="12"/>
      <c r="J434" s="12"/>
    </row>
    <row r="435" spans="1:12" x14ac:dyDescent="0.25">
      <c r="A435" s="12"/>
      <c r="B435" s="12"/>
      <c r="C435" s="12"/>
      <c r="D435" s="12"/>
      <c r="E435" s="12"/>
      <c r="F435" s="12"/>
      <c r="G435" s="12"/>
      <c r="H435" s="12"/>
      <c r="I435" s="12"/>
      <c r="J435" s="12"/>
    </row>
    <row r="436" spans="1:12" s="10" customFormat="1" ht="20.100000000000001" customHeight="1" x14ac:dyDescent="0.35">
      <c r="A436" s="15" t="s">
        <v>304</v>
      </c>
      <c r="B436" s="15"/>
      <c r="C436" s="15"/>
      <c r="D436" s="15"/>
      <c r="E436" s="15"/>
      <c r="F436" s="15"/>
      <c r="G436" s="15"/>
      <c r="H436" s="15"/>
      <c r="I436" s="15"/>
      <c r="J436" s="15"/>
    </row>
    <row r="437" spans="1:12" x14ac:dyDescent="0.25">
      <c r="A437" s="12"/>
      <c r="B437" s="12"/>
      <c r="C437" s="12"/>
      <c r="D437" s="12"/>
      <c r="E437" s="12"/>
      <c r="F437" s="12"/>
      <c r="G437" s="12"/>
      <c r="H437" s="12"/>
      <c r="I437" s="12"/>
      <c r="J437" s="12"/>
    </row>
    <row r="438" spans="1:12" ht="30" x14ac:dyDescent="0.25">
      <c r="A438" s="2" t="s">
        <v>6</v>
      </c>
      <c r="B438" s="2" t="s">
        <v>7</v>
      </c>
      <c r="C438" s="2" t="s">
        <v>8</v>
      </c>
      <c r="D438" s="2" t="s">
        <v>9</v>
      </c>
      <c r="E438" s="2" t="s">
        <v>10</v>
      </c>
      <c r="F438" s="2" t="s">
        <v>11</v>
      </c>
      <c r="G438" s="2" t="s">
        <v>12</v>
      </c>
      <c r="H438" s="2" t="s">
        <v>13</v>
      </c>
      <c r="I438" s="2" t="s">
        <v>14</v>
      </c>
      <c r="J438" s="2" t="s">
        <v>15</v>
      </c>
      <c r="K438" s="2" t="s">
        <v>16</v>
      </c>
      <c r="L438" s="2" t="s">
        <v>17</v>
      </c>
    </row>
    <row r="439" spans="1:12" x14ac:dyDescent="0.25">
      <c r="A439" s="3">
        <v>45692</v>
      </c>
      <c r="B439" t="s">
        <v>62</v>
      </c>
      <c r="C439" s="3">
        <v>45692.031168981484</v>
      </c>
      <c r="D439" t="s">
        <v>146</v>
      </c>
      <c r="E439" s="4">
        <v>19.599</v>
      </c>
      <c r="F439" s="4">
        <v>410214.929</v>
      </c>
      <c r="G439" s="4">
        <v>410234.52799999999</v>
      </c>
      <c r="H439" s="5">
        <f>461 / 86400</f>
        <v>5.3356481481481484E-3</v>
      </c>
      <c r="I439" t="s">
        <v>228</v>
      </c>
      <c r="J439" t="s">
        <v>167</v>
      </c>
      <c r="K439" s="5">
        <f>2693 / 86400</f>
        <v>3.1168981481481482E-2</v>
      </c>
      <c r="L439" s="5">
        <f>175 / 86400</f>
        <v>2.0254629629629629E-3</v>
      </c>
    </row>
    <row r="440" spans="1:12" x14ac:dyDescent="0.25">
      <c r="A440" s="3">
        <v>45692.033194444448</v>
      </c>
      <c r="B440" t="s">
        <v>146</v>
      </c>
      <c r="C440" s="3">
        <v>45692.033993055556</v>
      </c>
      <c r="D440" t="s">
        <v>146</v>
      </c>
      <c r="E440" s="4">
        <v>2E-3</v>
      </c>
      <c r="F440" s="4">
        <v>410234.52799999999</v>
      </c>
      <c r="G440" s="4">
        <v>410234.53</v>
      </c>
      <c r="H440" s="5">
        <f>59 / 86400</f>
        <v>6.8287037037037036E-4</v>
      </c>
      <c r="I440" t="s">
        <v>55</v>
      </c>
      <c r="J440" t="s">
        <v>55</v>
      </c>
      <c r="K440" s="5">
        <f>68 / 86400</f>
        <v>7.8703703703703705E-4</v>
      </c>
      <c r="L440" s="5">
        <f>1860 / 86400</f>
        <v>2.1527777777777778E-2</v>
      </c>
    </row>
    <row r="441" spans="1:12" x14ac:dyDescent="0.25">
      <c r="A441" s="3">
        <v>45692.055520833332</v>
      </c>
      <c r="B441" t="s">
        <v>146</v>
      </c>
      <c r="C441" s="3">
        <v>45692.067187499997</v>
      </c>
      <c r="D441" t="s">
        <v>229</v>
      </c>
      <c r="E441" s="4">
        <v>2.778</v>
      </c>
      <c r="F441" s="4">
        <v>410234.53</v>
      </c>
      <c r="G441" s="4">
        <v>410237.30800000002</v>
      </c>
      <c r="H441" s="5">
        <f>299 / 86400</f>
        <v>3.460648148148148E-3</v>
      </c>
      <c r="I441" t="s">
        <v>130</v>
      </c>
      <c r="J441" t="s">
        <v>158</v>
      </c>
      <c r="K441" s="5">
        <f>1007 / 86400</f>
        <v>1.1655092592592592E-2</v>
      </c>
      <c r="L441" s="5">
        <f>35093 / 86400</f>
        <v>0.40616898148148151</v>
      </c>
    </row>
    <row r="442" spans="1:12" x14ac:dyDescent="0.25">
      <c r="A442" s="3">
        <v>45692.473356481481</v>
      </c>
      <c r="B442" t="s">
        <v>229</v>
      </c>
      <c r="C442" s="3">
        <v>45692.474456018521</v>
      </c>
      <c r="D442" t="s">
        <v>229</v>
      </c>
      <c r="E442" s="4">
        <v>3.0000000000000001E-3</v>
      </c>
      <c r="F442" s="4">
        <v>410237.30800000002</v>
      </c>
      <c r="G442" s="4">
        <v>410237.31099999999</v>
      </c>
      <c r="H442" s="5">
        <f>79 / 86400</f>
        <v>9.1435185185185185E-4</v>
      </c>
      <c r="I442" t="s">
        <v>55</v>
      </c>
      <c r="J442" t="s">
        <v>55</v>
      </c>
      <c r="K442" s="5">
        <f>94 / 86400</f>
        <v>1.0879629629629629E-3</v>
      </c>
      <c r="L442" s="5">
        <f>6080 / 86400</f>
        <v>7.0370370370370375E-2</v>
      </c>
    </row>
    <row r="443" spans="1:12" x14ac:dyDescent="0.25">
      <c r="A443" s="3">
        <v>45692.54482638889</v>
      </c>
      <c r="B443" t="s">
        <v>229</v>
      </c>
      <c r="C443" s="3">
        <v>45692.551400462966</v>
      </c>
      <c r="D443" t="s">
        <v>121</v>
      </c>
      <c r="E443" s="4">
        <v>1.9390000000000001</v>
      </c>
      <c r="F443" s="4">
        <v>410237.31099999999</v>
      </c>
      <c r="G443" s="4">
        <v>410239.25</v>
      </c>
      <c r="H443" s="5">
        <f>119 / 86400</f>
        <v>1.3773148148148147E-3</v>
      </c>
      <c r="I443" t="s">
        <v>150</v>
      </c>
      <c r="J443" t="s">
        <v>90</v>
      </c>
      <c r="K443" s="5">
        <f>568 / 86400</f>
        <v>6.5740740740740742E-3</v>
      </c>
      <c r="L443" s="5">
        <f>138 / 86400</f>
        <v>1.5972222222222223E-3</v>
      </c>
    </row>
    <row r="444" spans="1:12" x14ac:dyDescent="0.25">
      <c r="A444" s="3">
        <v>45692.552997685183</v>
      </c>
      <c r="B444" t="s">
        <v>121</v>
      </c>
      <c r="C444" s="3">
        <v>45692.553645833337</v>
      </c>
      <c r="D444" t="s">
        <v>121</v>
      </c>
      <c r="E444" s="4">
        <v>0</v>
      </c>
      <c r="F444" s="4">
        <v>410239.25</v>
      </c>
      <c r="G444" s="4">
        <v>410239.25</v>
      </c>
      <c r="H444" s="5">
        <f>39 / 86400</f>
        <v>4.5138888888888887E-4</v>
      </c>
      <c r="I444" t="s">
        <v>55</v>
      </c>
      <c r="J444" t="s">
        <v>55</v>
      </c>
      <c r="K444" s="5">
        <f>56 / 86400</f>
        <v>6.4814814814814813E-4</v>
      </c>
      <c r="L444" s="5">
        <f>99 / 86400</f>
        <v>1.1458333333333333E-3</v>
      </c>
    </row>
    <row r="445" spans="1:12" x14ac:dyDescent="0.25">
      <c r="A445" s="3">
        <v>45692.554791666669</v>
      </c>
      <c r="B445" t="s">
        <v>121</v>
      </c>
      <c r="C445" s="3">
        <v>45692.555243055554</v>
      </c>
      <c r="D445" t="s">
        <v>121</v>
      </c>
      <c r="E445" s="4">
        <v>1.4E-2</v>
      </c>
      <c r="F445" s="4">
        <v>410239.25</v>
      </c>
      <c r="G445" s="4">
        <v>410239.26400000002</v>
      </c>
      <c r="H445" s="5">
        <f>19 / 86400</f>
        <v>2.199074074074074E-4</v>
      </c>
      <c r="I445" t="s">
        <v>137</v>
      </c>
      <c r="J445" t="s">
        <v>125</v>
      </c>
      <c r="K445" s="5">
        <f>38 / 86400</f>
        <v>4.3981481481481481E-4</v>
      </c>
      <c r="L445" s="5">
        <f>450 / 86400</f>
        <v>5.208333333333333E-3</v>
      </c>
    </row>
    <row r="446" spans="1:12" x14ac:dyDescent="0.25">
      <c r="A446" s="3">
        <v>45692.56045138889</v>
      </c>
      <c r="B446" t="s">
        <v>121</v>
      </c>
      <c r="C446" s="3">
        <v>45692.560474537036</v>
      </c>
      <c r="D446" t="s">
        <v>121</v>
      </c>
      <c r="E446" s="4">
        <v>0</v>
      </c>
      <c r="F446" s="4">
        <v>410239.26400000002</v>
      </c>
      <c r="G446" s="4">
        <v>410239.26400000002</v>
      </c>
      <c r="H446" s="5">
        <f>0 / 86400</f>
        <v>0</v>
      </c>
      <c r="I446" t="s">
        <v>55</v>
      </c>
      <c r="J446" t="s">
        <v>55</v>
      </c>
      <c r="K446" s="5">
        <f>2 / 86400</f>
        <v>2.3148148148148147E-5</v>
      </c>
      <c r="L446" s="5">
        <f>3 / 86400</f>
        <v>3.4722222222222222E-5</v>
      </c>
    </row>
    <row r="447" spans="1:12" x14ac:dyDescent="0.25">
      <c r="A447" s="3">
        <v>45692.56050925926</v>
      </c>
      <c r="B447" t="s">
        <v>121</v>
      </c>
      <c r="C447" s="3">
        <v>45692.560856481483</v>
      </c>
      <c r="D447" t="s">
        <v>121</v>
      </c>
      <c r="E447" s="4">
        <v>1.2E-2</v>
      </c>
      <c r="F447" s="4">
        <v>410239.26400000002</v>
      </c>
      <c r="G447" s="4">
        <v>410239.27600000001</v>
      </c>
      <c r="H447" s="5">
        <f>0 / 86400</f>
        <v>0</v>
      </c>
      <c r="I447" t="s">
        <v>119</v>
      </c>
      <c r="J447" t="s">
        <v>125</v>
      </c>
      <c r="K447" s="5">
        <f>30 / 86400</f>
        <v>3.4722222222222224E-4</v>
      </c>
      <c r="L447" s="5">
        <f>171 / 86400</f>
        <v>1.9791666666666668E-3</v>
      </c>
    </row>
    <row r="448" spans="1:12" x14ac:dyDescent="0.25">
      <c r="A448" s="3">
        <v>45692.562835648147</v>
      </c>
      <c r="B448" t="s">
        <v>121</v>
      </c>
      <c r="C448" s="3">
        <v>45692.564583333333</v>
      </c>
      <c r="D448" t="s">
        <v>121</v>
      </c>
      <c r="E448" s="4">
        <v>0.441</v>
      </c>
      <c r="F448" s="4">
        <v>410239.27600000001</v>
      </c>
      <c r="G448" s="4">
        <v>410239.717</v>
      </c>
      <c r="H448" s="5">
        <f>0 / 86400</f>
        <v>0</v>
      </c>
      <c r="I448" t="s">
        <v>70</v>
      </c>
      <c r="J448" t="s">
        <v>174</v>
      </c>
      <c r="K448" s="5">
        <f>151 / 86400</f>
        <v>1.7476851851851852E-3</v>
      </c>
      <c r="L448" s="5">
        <f>1094 / 86400</f>
        <v>1.2662037037037038E-2</v>
      </c>
    </row>
    <row r="449" spans="1:12" x14ac:dyDescent="0.25">
      <c r="A449" s="3">
        <v>45692.577245370368</v>
      </c>
      <c r="B449" t="s">
        <v>121</v>
      </c>
      <c r="C449" s="3">
        <v>45692.580543981487</v>
      </c>
      <c r="D449" t="s">
        <v>148</v>
      </c>
      <c r="E449" s="4">
        <v>1.0669999999999999</v>
      </c>
      <c r="F449" s="4">
        <v>410239.717</v>
      </c>
      <c r="G449" s="4">
        <v>410240.78399999999</v>
      </c>
      <c r="H449" s="5">
        <f>19 / 86400</f>
        <v>2.199074074074074E-4</v>
      </c>
      <c r="I449" t="s">
        <v>134</v>
      </c>
      <c r="J449" t="s">
        <v>28</v>
      </c>
      <c r="K449" s="5">
        <f>284 / 86400</f>
        <v>3.2870370370370371E-3</v>
      </c>
      <c r="L449" s="5">
        <f>180 / 86400</f>
        <v>2.0833333333333333E-3</v>
      </c>
    </row>
    <row r="450" spans="1:12" x14ac:dyDescent="0.25">
      <c r="A450" s="3">
        <v>45692.582627314812</v>
      </c>
      <c r="B450" t="s">
        <v>148</v>
      </c>
      <c r="C450" s="3">
        <v>45692.585717592592</v>
      </c>
      <c r="D450" t="s">
        <v>230</v>
      </c>
      <c r="E450" s="4">
        <v>0.93700000000000006</v>
      </c>
      <c r="F450" s="4">
        <v>410240.78399999999</v>
      </c>
      <c r="G450" s="4">
        <v>410241.72100000002</v>
      </c>
      <c r="H450" s="5">
        <f>20 / 86400</f>
        <v>2.3148148148148149E-4</v>
      </c>
      <c r="I450" t="s">
        <v>122</v>
      </c>
      <c r="J450" t="s">
        <v>58</v>
      </c>
      <c r="K450" s="5">
        <f>266 / 86400</f>
        <v>3.0787037037037037E-3</v>
      </c>
      <c r="L450" s="5">
        <f>2646 / 86400</f>
        <v>3.0624999999999999E-2</v>
      </c>
    </row>
    <row r="451" spans="1:12" x14ac:dyDescent="0.25">
      <c r="A451" s="3">
        <v>45692.616342592592</v>
      </c>
      <c r="B451" t="s">
        <v>230</v>
      </c>
      <c r="C451" s="3">
        <v>45692.9846875</v>
      </c>
      <c r="D451" t="s">
        <v>231</v>
      </c>
      <c r="E451" s="4">
        <v>158.90199999999999</v>
      </c>
      <c r="F451" s="4">
        <v>410241.72100000002</v>
      </c>
      <c r="G451" s="4">
        <v>410400.62300000002</v>
      </c>
      <c r="H451" s="5">
        <f>7939 / 86400</f>
        <v>9.1886574074074079E-2</v>
      </c>
      <c r="I451" t="s">
        <v>59</v>
      </c>
      <c r="J451" t="s">
        <v>31</v>
      </c>
      <c r="K451" s="5">
        <f>31824 / 86400</f>
        <v>0.36833333333333335</v>
      </c>
      <c r="L451" s="5">
        <f>786 / 86400</f>
        <v>9.0972222222222218E-3</v>
      </c>
    </row>
    <row r="452" spans="1:12" x14ac:dyDescent="0.25">
      <c r="A452" s="3">
        <v>45692.993784722217</v>
      </c>
      <c r="B452" t="s">
        <v>231</v>
      </c>
      <c r="C452" s="3">
        <v>45692.99998842593</v>
      </c>
      <c r="D452" t="s">
        <v>63</v>
      </c>
      <c r="E452" s="4">
        <v>2.3679999999999999</v>
      </c>
      <c r="F452" s="4">
        <v>410400.62300000002</v>
      </c>
      <c r="G452" s="4">
        <v>410402.99099999998</v>
      </c>
      <c r="H452" s="5">
        <f>79 / 86400</f>
        <v>9.1435185185185185E-4</v>
      </c>
      <c r="I452" t="s">
        <v>232</v>
      </c>
      <c r="J452" t="s">
        <v>36</v>
      </c>
      <c r="K452" s="5">
        <f>536 / 86400</f>
        <v>6.2037037037037035E-3</v>
      </c>
      <c r="L452" s="5">
        <f>0 / 86400</f>
        <v>0</v>
      </c>
    </row>
    <row r="453" spans="1:12" x14ac:dyDescent="0.25">
      <c r="A453" s="12"/>
      <c r="B453" s="12"/>
      <c r="C453" s="12"/>
      <c r="D453" s="12"/>
      <c r="E453" s="12"/>
      <c r="F453" s="12"/>
      <c r="G453" s="12"/>
      <c r="H453" s="12"/>
      <c r="I453" s="12"/>
      <c r="J453" s="12"/>
    </row>
    <row r="454" spans="1:12" x14ac:dyDescent="0.25">
      <c r="A454" s="12"/>
      <c r="B454" s="12"/>
      <c r="C454" s="12"/>
      <c r="D454" s="12"/>
      <c r="E454" s="12"/>
      <c r="F454" s="12"/>
      <c r="G454" s="12"/>
      <c r="H454" s="12"/>
      <c r="I454" s="12"/>
      <c r="J454" s="12"/>
    </row>
    <row r="455" spans="1:12" s="10" customFormat="1" ht="20.100000000000001" customHeight="1" x14ac:dyDescent="0.35">
      <c r="A455" s="15" t="s">
        <v>305</v>
      </c>
      <c r="B455" s="15"/>
      <c r="C455" s="15"/>
      <c r="D455" s="15"/>
      <c r="E455" s="15"/>
      <c r="F455" s="15"/>
      <c r="G455" s="15"/>
      <c r="H455" s="15"/>
      <c r="I455" s="15"/>
      <c r="J455" s="15"/>
    </row>
    <row r="456" spans="1:12" x14ac:dyDescent="0.25">
      <c r="A456" s="12"/>
      <c r="B456" s="12"/>
      <c r="C456" s="12"/>
      <c r="D456" s="12"/>
      <c r="E456" s="12"/>
      <c r="F456" s="12"/>
      <c r="G456" s="12"/>
      <c r="H456" s="12"/>
      <c r="I456" s="12"/>
      <c r="J456" s="12"/>
    </row>
    <row r="457" spans="1:12" ht="30" x14ac:dyDescent="0.25">
      <c r="A457" s="2" t="s">
        <v>6</v>
      </c>
      <c r="B457" s="2" t="s">
        <v>7</v>
      </c>
      <c r="C457" s="2" t="s">
        <v>8</v>
      </c>
      <c r="D457" s="2" t="s">
        <v>9</v>
      </c>
      <c r="E457" s="2" t="s">
        <v>10</v>
      </c>
      <c r="F457" s="2" t="s">
        <v>11</v>
      </c>
      <c r="G457" s="2" t="s">
        <v>12</v>
      </c>
      <c r="H457" s="2" t="s">
        <v>13</v>
      </c>
      <c r="I457" s="2" t="s">
        <v>14</v>
      </c>
      <c r="J457" s="2" t="s">
        <v>15</v>
      </c>
      <c r="K457" s="2" t="s">
        <v>16</v>
      </c>
      <c r="L457" s="2" t="s">
        <v>17</v>
      </c>
    </row>
    <row r="458" spans="1:12" x14ac:dyDescent="0.25">
      <c r="A458" s="3">
        <v>45692.226724537039</v>
      </c>
      <c r="B458" t="s">
        <v>64</v>
      </c>
      <c r="C458" s="3">
        <v>45692.227048611108</v>
      </c>
      <c r="D458" t="s">
        <v>64</v>
      </c>
      <c r="E458" s="4">
        <v>0</v>
      </c>
      <c r="F458" s="4">
        <v>401188.91700000002</v>
      </c>
      <c r="G458" s="4">
        <v>401188.91700000002</v>
      </c>
      <c r="H458" s="5">
        <f>19 / 86400</f>
        <v>2.199074074074074E-4</v>
      </c>
      <c r="I458" t="s">
        <v>55</v>
      </c>
      <c r="J458" t="s">
        <v>55</v>
      </c>
      <c r="K458" s="5">
        <f>27 / 86400</f>
        <v>3.1250000000000001E-4</v>
      </c>
      <c r="L458" s="5">
        <f>21282 / 86400</f>
        <v>0.24631944444444445</v>
      </c>
    </row>
    <row r="459" spans="1:12" x14ac:dyDescent="0.25">
      <c r="A459" s="3">
        <v>45692.24664351852</v>
      </c>
      <c r="B459" t="s">
        <v>64</v>
      </c>
      <c r="C459" s="3">
        <v>45692.372986111106</v>
      </c>
      <c r="D459" t="s">
        <v>209</v>
      </c>
      <c r="E459" s="4">
        <v>49.235999999999997</v>
      </c>
      <c r="F459" s="4">
        <v>401188.91700000002</v>
      </c>
      <c r="G459" s="4">
        <v>401238.15299999999</v>
      </c>
      <c r="H459" s="5">
        <f>3839 / 86400</f>
        <v>4.4432870370370373E-2</v>
      </c>
      <c r="I459" t="s">
        <v>65</v>
      </c>
      <c r="J459" t="s">
        <v>36</v>
      </c>
      <c r="K459" s="5">
        <f>10916 / 86400</f>
        <v>0.12634259259259259</v>
      </c>
      <c r="L459" s="5">
        <f>4386 / 86400</f>
        <v>5.0763888888888886E-2</v>
      </c>
    </row>
    <row r="460" spans="1:12" x14ac:dyDescent="0.25">
      <c r="A460" s="3">
        <v>45692.423750000002</v>
      </c>
      <c r="B460" t="s">
        <v>209</v>
      </c>
      <c r="C460" s="3">
        <v>45692.569756944446</v>
      </c>
      <c r="D460" t="s">
        <v>128</v>
      </c>
      <c r="E460" s="4">
        <v>50.726999999999997</v>
      </c>
      <c r="F460" s="4">
        <v>401238.15299999999</v>
      </c>
      <c r="G460" s="4">
        <v>401288.88</v>
      </c>
      <c r="H460" s="5">
        <f>4937 / 86400</f>
        <v>5.7141203703703701E-2</v>
      </c>
      <c r="I460" t="s">
        <v>157</v>
      </c>
      <c r="J460" t="s">
        <v>28</v>
      </c>
      <c r="K460" s="5">
        <f>12615 / 86400</f>
        <v>0.14600694444444445</v>
      </c>
      <c r="L460" s="5">
        <f>265 / 86400</f>
        <v>3.0671296296296297E-3</v>
      </c>
    </row>
    <row r="461" spans="1:12" x14ac:dyDescent="0.25">
      <c r="A461" s="3">
        <v>45692.572824074072</v>
      </c>
      <c r="B461" t="s">
        <v>128</v>
      </c>
      <c r="C461" s="3">
        <v>45692.57603009259</v>
      </c>
      <c r="D461" t="s">
        <v>40</v>
      </c>
      <c r="E461" s="4">
        <v>0.77700000000000002</v>
      </c>
      <c r="F461" s="4">
        <v>401288.88</v>
      </c>
      <c r="G461" s="4">
        <v>401289.65700000001</v>
      </c>
      <c r="H461" s="5">
        <f>119 / 86400</f>
        <v>1.3773148148148147E-3</v>
      </c>
      <c r="I461" t="s">
        <v>187</v>
      </c>
      <c r="J461" t="s">
        <v>158</v>
      </c>
      <c r="K461" s="5">
        <f>277 / 86400</f>
        <v>3.2060185185185186E-3</v>
      </c>
      <c r="L461" s="5">
        <f>1851 / 86400</f>
        <v>2.1423611111111112E-2</v>
      </c>
    </row>
    <row r="462" spans="1:12" x14ac:dyDescent="0.25">
      <c r="A462" s="3">
        <v>45692.597453703704</v>
      </c>
      <c r="B462" t="s">
        <v>40</v>
      </c>
      <c r="C462" s="3">
        <v>45692.605034722219</v>
      </c>
      <c r="D462" t="s">
        <v>148</v>
      </c>
      <c r="E462" s="4">
        <v>1.232</v>
      </c>
      <c r="F462" s="4">
        <v>401289.65700000001</v>
      </c>
      <c r="G462" s="4">
        <v>401290.88900000002</v>
      </c>
      <c r="H462" s="5">
        <f>239 / 86400</f>
        <v>2.7662037037037039E-3</v>
      </c>
      <c r="I462" t="s">
        <v>150</v>
      </c>
      <c r="J462" t="s">
        <v>43</v>
      </c>
      <c r="K462" s="5">
        <f>654 / 86400</f>
        <v>7.5694444444444446E-3</v>
      </c>
      <c r="L462" s="5">
        <f>2431 / 86400</f>
        <v>2.8136574074074074E-2</v>
      </c>
    </row>
    <row r="463" spans="1:12" x14ac:dyDescent="0.25">
      <c r="A463" s="3">
        <v>45692.6331712963</v>
      </c>
      <c r="B463" t="s">
        <v>148</v>
      </c>
      <c r="C463" s="3">
        <v>45692.877581018518</v>
      </c>
      <c r="D463" t="s">
        <v>128</v>
      </c>
      <c r="E463" s="4">
        <v>94.325999999999993</v>
      </c>
      <c r="F463" s="4">
        <v>401290.88900000002</v>
      </c>
      <c r="G463" s="4">
        <v>401385.21500000003</v>
      </c>
      <c r="H463" s="5">
        <f>7259 / 86400</f>
        <v>8.4016203703703704E-2</v>
      </c>
      <c r="I463" t="s">
        <v>109</v>
      </c>
      <c r="J463" t="s">
        <v>36</v>
      </c>
      <c r="K463" s="5">
        <f>21116 / 86400</f>
        <v>0.24439814814814814</v>
      </c>
      <c r="L463" s="5">
        <f>701 / 86400</f>
        <v>8.1134259259259267E-3</v>
      </c>
    </row>
    <row r="464" spans="1:12" x14ac:dyDescent="0.25">
      <c r="A464" s="3">
        <v>45692.885694444441</v>
      </c>
      <c r="B464" t="s">
        <v>128</v>
      </c>
      <c r="C464" s="3">
        <v>45692.887546296297</v>
      </c>
      <c r="D464" t="s">
        <v>233</v>
      </c>
      <c r="E464" s="4">
        <v>0.29199999999999998</v>
      </c>
      <c r="F464" s="4">
        <v>401385.21500000003</v>
      </c>
      <c r="G464" s="4">
        <v>401385.50699999998</v>
      </c>
      <c r="H464" s="5">
        <f>40 / 86400</f>
        <v>4.6296296296296298E-4</v>
      </c>
      <c r="I464" t="s">
        <v>152</v>
      </c>
      <c r="J464" t="s">
        <v>43</v>
      </c>
      <c r="K464" s="5">
        <f>160 / 86400</f>
        <v>1.8518518518518519E-3</v>
      </c>
      <c r="L464" s="5">
        <f>474 / 86400</f>
        <v>5.4861111111111109E-3</v>
      </c>
    </row>
    <row r="465" spans="1:12" x14ac:dyDescent="0.25">
      <c r="A465" s="3">
        <v>45692.893032407403</v>
      </c>
      <c r="B465" t="s">
        <v>233</v>
      </c>
      <c r="C465" s="3">
        <v>45692.89675925926</v>
      </c>
      <c r="D465" t="s">
        <v>64</v>
      </c>
      <c r="E465" s="4">
        <v>0.29399999999999998</v>
      </c>
      <c r="F465" s="4">
        <v>401385.50699999998</v>
      </c>
      <c r="G465" s="4">
        <v>401385.80099999998</v>
      </c>
      <c r="H465" s="5">
        <f>179 / 86400</f>
        <v>2.0717592592592593E-3</v>
      </c>
      <c r="I465" t="s">
        <v>54</v>
      </c>
      <c r="J465" t="s">
        <v>140</v>
      </c>
      <c r="K465" s="5">
        <f>322 / 86400</f>
        <v>3.7268518518518519E-3</v>
      </c>
      <c r="L465" s="5">
        <f>8919 / 86400</f>
        <v>0.10322916666666666</v>
      </c>
    </row>
    <row r="466" spans="1:12" x14ac:dyDescent="0.25">
      <c r="A466" s="12"/>
      <c r="B466" s="12"/>
      <c r="C466" s="12"/>
      <c r="D466" s="12"/>
      <c r="E466" s="12"/>
      <c r="F466" s="12"/>
      <c r="G466" s="12"/>
      <c r="H466" s="12"/>
      <c r="I466" s="12"/>
      <c r="J466" s="12"/>
    </row>
    <row r="467" spans="1:12" x14ac:dyDescent="0.25">
      <c r="A467" s="12"/>
      <c r="B467" s="12"/>
      <c r="C467" s="12"/>
      <c r="D467" s="12"/>
      <c r="E467" s="12"/>
      <c r="F467" s="12"/>
      <c r="G467" s="12"/>
      <c r="H467" s="12"/>
      <c r="I467" s="12"/>
      <c r="J467" s="12"/>
    </row>
    <row r="468" spans="1:12" s="10" customFormat="1" ht="20.100000000000001" customHeight="1" x14ac:dyDescent="0.35">
      <c r="A468" s="15" t="s">
        <v>306</v>
      </c>
      <c r="B468" s="15"/>
      <c r="C468" s="15"/>
      <c r="D468" s="15"/>
      <c r="E468" s="15"/>
      <c r="F468" s="15"/>
      <c r="G468" s="15"/>
      <c r="H468" s="15"/>
      <c r="I468" s="15"/>
      <c r="J468" s="15"/>
    </row>
    <row r="469" spans="1:12" x14ac:dyDescent="0.25">
      <c r="A469" s="12"/>
      <c r="B469" s="12"/>
      <c r="C469" s="12"/>
      <c r="D469" s="12"/>
      <c r="E469" s="12"/>
      <c r="F469" s="12"/>
      <c r="G469" s="12"/>
      <c r="H469" s="12"/>
      <c r="I469" s="12"/>
      <c r="J469" s="12"/>
    </row>
    <row r="470" spans="1:12" ht="30" x14ac:dyDescent="0.25">
      <c r="A470" s="2" t="s">
        <v>6</v>
      </c>
      <c r="B470" s="2" t="s">
        <v>7</v>
      </c>
      <c r="C470" s="2" t="s">
        <v>8</v>
      </c>
      <c r="D470" s="2" t="s">
        <v>9</v>
      </c>
      <c r="E470" s="2" t="s">
        <v>10</v>
      </c>
      <c r="F470" s="2" t="s">
        <v>11</v>
      </c>
      <c r="G470" s="2" t="s">
        <v>12</v>
      </c>
      <c r="H470" s="2" t="s">
        <v>13</v>
      </c>
      <c r="I470" s="2" t="s">
        <v>14</v>
      </c>
      <c r="J470" s="2" t="s">
        <v>15</v>
      </c>
      <c r="K470" s="2" t="s">
        <v>16</v>
      </c>
      <c r="L470" s="2" t="s">
        <v>17</v>
      </c>
    </row>
    <row r="471" spans="1:12" x14ac:dyDescent="0.25">
      <c r="A471" s="3">
        <v>45692.292824074073</v>
      </c>
      <c r="B471" t="s">
        <v>18</v>
      </c>
      <c r="C471" s="3">
        <v>45692.354537037041</v>
      </c>
      <c r="D471" t="s">
        <v>40</v>
      </c>
      <c r="E471" s="4">
        <v>34.536999999999999</v>
      </c>
      <c r="F471" s="4">
        <v>406623.859</v>
      </c>
      <c r="G471" s="4">
        <v>406658.39600000001</v>
      </c>
      <c r="H471" s="5">
        <f>1059 / 86400</f>
        <v>1.2256944444444445E-2</v>
      </c>
      <c r="I471" t="s">
        <v>107</v>
      </c>
      <c r="J471" t="s">
        <v>136</v>
      </c>
      <c r="K471" s="5">
        <f>5332 / 86400</f>
        <v>6.1712962962962963E-2</v>
      </c>
      <c r="L471" s="5">
        <f>27283 / 86400</f>
        <v>0.31577546296296294</v>
      </c>
    </row>
    <row r="472" spans="1:12" x14ac:dyDescent="0.25">
      <c r="A472" s="3">
        <v>45692.377488425926</v>
      </c>
      <c r="B472" t="s">
        <v>40</v>
      </c>
      <c r="C472" s="3">
        <v>45692.378252314811</v>
      </c>
      <c r="D472" t="s">
        <v>40</v>
      </c>
      <c r="E472" s="4">
        <v>4.2999999999999997E-2</v>
      </c>
      <c r="F472" s="4">
        <v>406658.39600000001</v>
      </c>
      <c r="G472" s="4">
        <v>406658.43900000001</v>
      </c>
      <c r="H472" s="5">
        <f>0 / 86400</f>
        <v>0</v>
      </c>
      <c r="I472" t="s">
        <v>135</v>
      </c>
      <c r="J472" t="s">
        <v>161</v>
      </c>
      <c r="K472" s="5">
        <f>65 / 86400</f>
        <v>7.5231481481481482E-4</v>
      </c>
      <c r="L472" s="5">
        <f>369 / 86400</f>
        <v>4.2708333333333331E-3</v>
      </c>
    </row>
    <row r="473" spans="1:12" x14ac:dyDescent="0.25">
      <c r="A473" s="3">
        <v>45692.382523148146</v>
      </c>
      <c r="B473" t="s">
        <v>40</v>
      </c>
      <c r="C473" s="3">
        <v>45692.387557870374</v>
      </c>
      <c r="D473" t="s">
        <v>148</v>
      </c>
      <c r="E473" s="4">
        <v>0.97699999999999998</v>
      </c>
      <c r="F473" s="4">
        <v>406658.43900000001</v>
      </c>
      <c r="G473" s="4">
        <v>406659.41600000003</v>
      </c>
      <c r="H473" s="5">
        <f>79 / 86400</f>
        <v>9.1435185185185185E-4</v>
      </c>
      <c r="I473" t="s">
        <v>122</v>
      </c>
      <c r="J473" t="s">
        <v>135</v>
      </c>
      <c r="K473" s="5">
        <f>434 / 86400</f>
        <v>5.0231481481481481E-3</v>
      </c>
      <c r="L473" s="5">
        <f>1550 / 86400</f>
        <v>1.7939814814814815E-2</v>
      </c>
    </row>
    <row r="474" spans="1:12" x14ac:dyDescent="0.25">
      <c r="A474" s="3">
        <v>45692.405497685184</v>
      </c>
      <c r="B474" t="s">
        <v>148</v>
      </c>
      <c r="C474" s="3">
        <v>45692.405671296292</v>
      </c>
      <c r="D474" t="s">
        <v>148</v>
      </c>
      <c r="E474" s="4">
        <v>1.2E-2</v>
      </c>
      <c r="F474" s="4">
        <v>406659.41600000003</v>
      </c>
      <c r="G474" s="4">
        <v>406659.42800000001</v>
      </c>
      <c r="H474" s="5">
        <f>0 / 86400</f>
        <v>0</v>
      </c>
      <c r="I474" t="s">
        <v>55</v>
      </c>
      <c r="J474" t="s">
        <v>140</v>
      </c>
      <c r="K474" s="5">
        <f>14 / 86400</f>
        <v>1.6203703703703703E-4</v>
      </c>
      <c r="L474" s="5">
        <f>340 / 86400</f>
        <v>3.9351851851851848E-3</v>
      </c>
    </row>
    <row r="475" spans="1:12" x14ac:dyDescent="0.25">
      <c r="A475" s="3">
        <v>45692.40960648148</v>
      </c>
      <c r="B475" t="s">
        <v>148</v>
      </c>
      <c r="C475" s="3">
        <v>45692.657847222217</v>
      </c>
      <c r="D475" t="s">
        <v>128</v>
      </c>
      <c r="E475" s="4">
        <v>101.11199999999999</v>
      </c>
      <c r="F475" s="4">
        <v>406659.42800000001</v>
      </c>
      <c r="G475" s="4">
        <v>406760.54</v>
      </c>
      <c r="H475" s="5">
        <f>7719 / 86400</f>
        <v>8.9340277777777782E-2</v>
      </c>
      <c r="I475" t="s">
        <v>67</v>
      </c>
      <c r="J475" t="s">
        <v>25</v>
      </c>
      <c r="K475" s="5">
        <f>21448 / 86400</f>
        <v>0.24824074074074073</v>
      </c>
      <c r="L475" s="5">
        <f>579 / 86400</f>
        <v>6.7013888888888887E-3</v>
      </c>
    </row>
    <row r="476" spans="1:12" x14ac:dyDescent="0.25">
      <c r="A476" s="3">
        <v>45692.664548611108</v>
      </c>
      <c r="B476" t="s">
        <v>128</v>
      </c>
      <c r="C476" s="3">
        <v>45692.666828703703</v>
      </c>
      <c r="D476" t="s">
        <v>165</v>
      </c>
      <c r="E476" s="4">
        <v>0.79400000000000004</v>
      </c>
      <c r="F476" s="4">
        <v>406760.54</v>
      </c>
      <c r="G476" s="4">
        <v>406761.33399999997</v>
      </c>
      <c r="H476" s="5">
        <f>20 / 86400</f>
        <v>2.3148148148148149E-4</v>
      </c>
      <c r="I476" t="s">
        <v>223</v>
      </c>
      <c r="J476" t="s">
        <v>20</v>
      </c>
      <c r="K476" s="5">
        <f>197 / 86400</f>
        <v>2.2800925925925927E-3</v>
      </c>
      <c r="L476" s="5">
        <f>133 / 86400</f>
        <v>1.5393518518518519E-3</v>
      </c>
    </row>
    <row r="477" spans="1:12" x14ac:dyDescent="0.25">
      <c r="A477" s="3">
        <v>45692.668368055558</v>
      </c>
      <c r="B477" t="s">
        <v>165</v>
      </c>
      <c r="C477" s="3">
        <v>45692.669502314813</v>
      </c>
      <c r="D477" t="s">
        <v>175</v>
      </c>
      <c r="E477" s="4">
        <v>5.0000000000000001E-3</v>
      </c>
      <c r="F477" s="4">
        <v>406761.33399999997</v>
      </c>
      <c r="G477" s="4">
        <v>406761.33899999998</v>
      </c>
      <c r="H477" s="5">
        <f>80 / 86400</f>
        <v>9.2592592592592596E-4</v>
      </c>
      <c r="I477" t="s">
        <v>119</v>
      </c>
      <c r="J477" t="s">
        <v>55</v>
      </c>
      <c r="K477" s="5">
        <f>98 / 86400</f>
        <v>1.1342592592592593E-3</v>
      </c>
      <c r="L477" s="5">
        <f>15 / 86400</f>
        <v>1.7361111111111112E-4</v>
      </c>
    </row>
    <row r="478" spans="1:12" x14ac:dyDescent="0.25">
      <c r="A478" s="3">
        <v>45692.669675925921</v>
      </c>
      <c r="B478" t="s">
        <v>175</v>
      </c>
      <c r="C478" s="3">
        <v>45692.669849537036</v>
      </c>
      <c r="D478" t="s">
        <v>175</v>
      </c>
      <c r="E478" s="4">
        <v>1.4999999999999999E-2</v>
      </c>
      <c r="F478" s="4">
        <v>406761.33899999998</v>
      </c>
      <c r="G478" s="4">
        <v>406761.35399999999</v>
      </c>
      <c r="H478" s="5">
        <f>0 / 86400</f>
        <v>0</v>
      </c>
      <c r="I478" t="s">
        <v>55</v>
      </c>
      <c r="J478" t="s">
        <v>160</v>
      </c>
      <c r="K478" s="5">
        <f>15 / 86400</f>
        <v>1.7361111111111112E-4</v>
      </c>
      <c r="L478" s="5">
        <f>370 / 86400</f>
        <v>4.2824074074074075E-3</v>
      </c>
    </row>
    <row r="479" spans="1:12" x14ac:dyDescent="0.25">
      <c r="A479" s="3">
        <v>45692.674131944441</v>
      </c>
      <c r="B479" t="s">
        <v>175</v>
      </c>
      <c r="C479" s="3">
        <v>45692.674293981487</v>
      </c>
      <c r="D479" t="s">
        <v>129</v>
      </c>
      <c r="E479" s="4">
        <v>8.0000000000000002E-3</v>
      </c>
      <c r="F479" s="4">
        <v>406761.35399999999</v>
      </c>
      <c r="G479" s="4">
        <v>406761.36200000002</v>
      </c>
      <c r="H479" s="5">
        <f>0 / 86400</f>
        <v>0</v>
      </c>
      <c r="I479" t="s">
        <v>55</v>
      </c>
      <c r="J479" t="s">
        <v>161</v>
      </c>
      <c r="K479" s="5">
        <f>14 / 86400</f>
        <v>1.6203703703703703E-4</v>
      </c>
      <c r="L479" s="5">
        <f>144 / 86400</f>
        <v>1.6666666666666668E-3</v>
      </c>
    </row>
    <row r="480" spans="1:12" x14ac:dyDescent="0.25">
      <c r="A480" s="3">
        <v>45692.67596064815</v>
      </c>
      <c r="B480" t="s">
        <v>129</v>
      </c>
      <c r="C480" s="3">
        <v>45692.678252314814</v>
      </c>
      <c r="D480" t="s">
        <v>138</v>
      </c>
      <c r="E480" s="4">
        <v>8.0000000000000002E-3</v>
      </c>
      <c r="F480" s="4">
        <v>406761.36200000002</v>
      </c>
      <c r="G480" s="4">
        <v>406761.37</v>
      </c>
      <c r="H480" s="5">
        <f>180 / 86400</f>
        <v>2.0833333333333333E-3</v>
      </c>
      <c r="I480" t="s">
        <v>119</v>
      </c>
      <c r="J480" t="s">
        <v>55</v>
      </c>
      <c r="K480" s="5">
        <f>198 / 86400</f>
        <v>2.2916666666666667E-3</v>
      </c>
      <c r="L480" s="5">
        <f>48 / 86400</f>
        <v>5.5555555555555556E-4</v>
      </c>
    </row>
    <row r="481" spans="1:12" x14ac:dyDescent="0.25">
      <c r="A481" s="3">
        <v>45692.678807870368</v>
      </c>
      <c r="B481" t="s">
        <v>138</v>
      </c>
      <c r="C481" s="3">
        <v>45692.678946759261</v>
      </c>
      <c r="D481" t="s">
        <v>129</v>
      </c>
      <c r="E481" s="4">
        <v>2E-3</v>
      </c>
      <c r="F481" s="4">
        <v>406761.37</v>
      </c>
      <c r="G481" s="4">
        <v>406761.37199999997</v>
      </c>
      <c r="H481" s="5">
        <f>0 / 86400</f>
        <v>0</v>
      </c>
      <c r="I481" t="s">
        <v>55</v>
      </c>
      <c r="J481" t="s">
        <v>125</v>
      </c>
      <c r="K481" s="5">
        <f>12 / 86400</f>
        <v>1.3888888888888889E-4</v>
      </c>
      <c r="L481" s="5">
        <f>10 / 86400</f>
        <v>1.1574074074074075E-4</v>
      </c>
    </row>
    <row r="482" spans="1:12" x14ac:dyDescent="0.25">
      <c r="A482" s="3">
        <v>45692.679062499999</v>
      </c>
      <c r="B482" t="s">
        <v>129</v>
      </c>
      <c r="C482" s="3">
        <v>45692.679166666669</v>
      </c>
      <c r="D482" t="s">
        <v>129</v>
      </c>
      <c r="E482" s="4">
        <v>6.0000000000000001E-3</v>
      </c>
      <c r="F482" s="4">
        <v>406761.37199999997</v>
      </c>
      <c r="G482" s="4">
        <v>406761.37800000003</v>
      </c>
      <c r="H482" s="5">
        <f>0 / 86400</f>
        <v>0</v>
      </c>
      <c r="I482" t="s">
        <v>55</v>
      </c>
      <c r="J482" t="s">
        <v>140</v>
      </c>
      <c r="K482" s="5">
        <f>8 / 86400</f>
        <v>9.2592592592592588E-5</v>
      </c>
      <c r="L482" s="5">
        <f>175 / 86400</f>
        <v>2.0254629629629629E-3</v>
      </c>
    </row>
    <row r="483" spans="1:12" x14ac:dyDescent="0.25">
      <c r="A483" s="3">
        <v>45692.681192129632</v>
      </c>
      <c r="B483" t="s">
        <v>129</v>
      </c>
      <c r="C483" s="3">
        <v>45692.68131944444</v>
      </c>
      <c r="D483" t="s">
        <v>129</v>
      </c>
      <c r="E483" s="4">
        <v>3.0000000000000001E-3</v>
      </c>
      <c r="F483" s="4">
        <v>406761.37800000003</v>
      </c>
      <c r="G483" s="4">
        <v>406761.38099999999</v>
      </c>
      <c r="H483" s="5">
        <f>0 / 86400</f>
        <v>0</v>
      </c>
      <c r="I483" t="s">
        <v>55</v>
      </c>
      <c r="J483" t="s">
        <v>125</v>
      </c>
      <c r="K483" s="5">
        <f>10 / 86400</f>
        <v>1.1574074074074075E-4</v>
      </c>
      <c r="L483" s="5">
        <f>50 / 86400</f>
        <v>5.7870370370370367E-4</v>
      </c>
    </row>
    <row r="484" spans="1:12" x14ac:dyDescent="0.25">
      <c r="A484" s="3">
        <v>45692.681898148148</v>
      </c>
      <c r="B484" t="s">
        <v>129</v>
      </c>
      <c r="C484" s="3">
        <v>45692.682013888887</v>
      </c>
      <c r="D484" t="s">
        <v>129</v>
      </c>
      <c r="E484" s="4">
        <v>3.0000000000000001E-3</v>
      </c>
      <c r="F484" s="4">
        <v>406761.38099999999</v>
      </c>
      <c r="G484" s="4">
        <v>406761.38400000002</v>
      </c>
      <c r="H484" s="5">
        <f>0 / 86400</f>
        <v>0</v>
      </c>
      <c r="I484" t="s">
        <v>55</v>
      </c>
      <c r="J484" t="s">
        <v>125</v>
      </c>
      <c r="K484" s="5">
        <f>10 / 86400</f>
        <v>1.1574074074074075E-4</v>
      </c>
      <c r="L484" s="5">
        <f>470 / 86400</f>
        <v>5.4398148148148149E-3</v>
      </c>
    </row>
    <row r="485" spans="1:12" x14ac:dyDescent="0.25">
      <c r="A485" s="3">
        <v>45692.687453703707</v>
      </c>
      <c r="B485" t="s">
        <v>129</v>
      </c>
      <c r="C485" s="3">
        <v>45692.751701388886</v>
      </c>
      <c r="D485" t="s">
        <v>66</v>
      </c>
      <c r="E485" s="4">
        <v>34.57</v>
      </c>
      <c r="F485" s="4">
        <v>406761.38400000002</v>
      </c>
      <c r="G485" s="4">
        <v>406795.95400000003</v>
      </c>
      <c r="H485" s="5">
        <f>1499 / 86400</f>
        <v>1.7349537037037038E-2</v>
      </c>
      <c r="I485" t="s">
        <v>51</v>
      </c>
      <c r="J485" t="s">
        <v>122</v>
      </c>
      <c r="K485" s="5">
        <f>5550 / 86400</f>
        <v>6.4236111111111105E-2</v>
      </c>
      <c r="L485" s="5">
        <f>1831 / 86400</f>
        <v>2.119212962962963E-2</v>
      </c>
    </row>
    <row r="486" spans="1:12" x14ac:dyDescent="0.25">
      <c r="A486" s="3">
        <v>45692.772893518515</v>
      </c>
      <c r="B486" t="s">
        <v>66</v>
      </c>
      <c r="C486" s="3">
        <v>45692.774351851855</v>
      </c>
      <c r="D486" t="s">
        <v>66</v>
      </c>
      <c r="E486" s="4">
        <v>0.111</v>
      </c>
      <c r="F486" s="4">
        <v>406795.95400000003</v>
      </c>
      <c r="G486" s="4">
        <v>406796.065</v>
      </c>
      <c r="H486" s="5">
        <f>20 / 86400</f>
        <v>2.3148148148148149E-4</v>
      </c>
      <c r="I486" t="s">
        <v>90</v>
      </c>
      <c r="J486" t="s">
        <v>140</v>
      </c>
      <c r="K486" s="5">
        <f>125 / 86400</f>
        <v>1.4467592592592592E-3</v>
      </c>
      <c r="L486" s="5">
        <f>19495 / 86400</f>
        <v>0.22563657407407409</v>
      </c>
    </row>
    <row r="487" spans="1:12" x14ac:dyDescent="0.25">
      <c r="A487" s="12"/>
      <c r="B487" s="12"/>
      <c r="C487" s="12"/>
      <c r="D487" s="12"/>
      <c r="E487" s="12"/>
      <c r="F487" s="12"/>
      <c r="G487" s="12"/>
      <c r="H487" s="12"/>
      <c r="I487" s="12"/>
      <c r="J487" s="12"/>
    </row>
    <row r="488" spans="1:12" x14ac:dyDescent="0.25">
      <c r="A488" s="12"/>
      <c r="B488" s="12"/>
      <c r="C488" s="12"/>
      <c r="D488" s="12"/>
      <c r="E488" s="12"/>
      <c r="F488" s="12"/>
      <c r="G488" s="12"/>
      <c r="H488" s="12"/>
      <c r="I488" s="12"/>
      <c r="J488" s="12"/>
    </row>
    <row r="489" spans="1:12" s="10" customFormat="1" ht="20.100000000000001" customHeight="1" x14ac:dyDescent="0.35">
      <c r="A489" s="15" t="s">
        <v>307</v>
      </c>
      <c r="B489" s="15"/>
      <c r="C489" s="15"/>
      <c r="D489" s="15"/>
      <c r="E489" s="15"/>
      <c r="F489" s="15"/>
      <c r="G489" s="15"/>
      <c r="H489" s="15"/>
      <c r="I489" s="15"/>
      <c r="J489" s="15"/>
    </row>
    <row r="490" spans="1:12" x14ac:dyDescent="0.25">
      <c r="A490" s="12"/>
      <c r="B490" s="12"/>
      <c r="C490" s="12"/>
      <c r="D490" s="12"/>
      <c r="E490" s="12"/>
      <c r="F490" s="12"/>
      <c r="G490" s="12"/>
      <c r="H490" s="12"/>
      <c r="I490" s="12"/>
      <c r="J490" s="12"/>
    </row>
    <row r="491" spans="1:12" ht="30" x14ac:dyDescent="0.25">
      <c r="A491" s="2" t="s">
        <v>6</v>
      </c>
      <c r="B491" s="2" t="s">
        <v>7</v>
      </c>
      <c r="C491" s="2" t="s">
        <v>8</v>
      </c>
      <c r="D491" s="2" t="s">
        <v>9</v>
      </c>
      <c r="E491" s="2" t="s">
        <v>10</v>
      </c>
      <c r="F491" s="2" t="s">
        <v>11</v>
      </c>
      <c r="G491" s="2" t="s">
        <v>12</v>
      </c>
      <c r="H491" s="2" t="s">
        <v>13</v>
      </c>
      <c r="I491" s="2" t="s">
        <v>14</v>
      </c>
      <c r="J491" s="2" t="s">
        <v>15</v>
      </c>
      <c r="K491" s="2" t="s">
        <v>16</v>
      </c>
      <c r="L491" s="2" t="s">
        <v>17</v>
      </c>
    </row>
    <row r="492" spans="1:12" x14ac:dyDescent="0.25">
      <c r="A492" s="3">
        <v>45692.051863425921</v>
      </c>
      <c r="B492" t="s">
        <v>68</v>
      </c>
      <c r="C492" s="3">
        <v>45692.052222222221</v>
      </c>
      <c r="D492" t="s">
        <v>68</v>
      </c>
      <c r="E492" s="4">
        <v>6.0000000000000001E-3</v>
      </c>
      <c r="F492" s="4">
        <v>347190.22</v>
      </c>
      <c r="G492" s="4">
        <v>347190.22600000002</v>
      </c>
      <c r="H492" s="5">
        <f>19 / 86400</f>
        <v>2.199074074074074E-4</v>
      </c>
      <c r="I492" t="s">
        <v>55</v>
      </c>
      <c r="J492" t="s">
        <v>125</v>
      </c>
      <c r="K492" s="5">
        <f>31 / 86400</f>
        <v>3.5879629629629629E-4</v>
      </c>
      <c r="L492" s="5">
        <f>25677 / 86400</f>
        <v>0.29718749999999999</v>
      </c>
    </row>
    <row r="493" spans="1:12" x14ac:dyDescent="0.25">
      <c r="A493" s="3">
        <v>45692.297546296293</v>
      </c>
      <c r="B493" t="s">
        <v>68</v>
      </c>
      <c r="C493" s="3">
        <v>45692.402881944443</v>
      </c>
      <c r="D493" t="s">
        <v>128</v>
      </c>
      <c r="E493" s="4">
        <v>44.475999999999999</v>
      </c>
      <c r="F493" s="4">
        <v>347190.22600000002</v>
      </c>
      <c r="G493" s="4">
        <v>347234.70199999999</v>
      </c>
      <c r="H493" s="5">
        <f>2499 / 86400</f>
        <v>2.8923611111111112E-2</v>
      </c>
      <c r="I493" t="s">
        <v>234</v>
      </c>
      <c r="J493" t="s">
        <v>31</v>
      </c>
      <c r="K493" s="5">
        <f>9101 / 86400</f>
        <v>0.10533564814814815</v>
      </c>
      <c r="L493" s="5">
        <f>324 / 86400</f>
        <v>3.7499999999999999E-3</v>
      </c>
    </row>
    <row r="494" spans="1:12" x14ac:dyDescent="0.25">
      <c r="A494" s="3">
        <v>45692.406631944439</v>
      </c>
      <c r="B494" t="s">
        <v>128</v>
      </c>
      <c r="C494" s="3">
        <v>45692.411666666667</v>
      </c>
      <c r="D494" t="s">
        <v>148</v>
      </c>
      <c r="E494" s="4">
        <v>1.2769999999999999</v>
      </c>
      <c r="F494" s="4">
        <v>347234.70199999999</v>
      </c>
      <c r="G494" s="4">
        <v>347235.97899999999</v>
      </c>
      <c r="H494" s="5">
        <f>80 / 86400</f>
        <v>9.2592592592592596E-4</v>
      </c>
      <c r="I494" t="s">
        <v>235</v>
      </c>
      <c r="J494" t="s">
        <v>174</v>
      </c>
      <c r="K494" s="5">
        <f>435 / 86400</f>
        <v>5.0347222222222225E-3</v>
      </c>
      <c r="L494" s="5">
        <f>4178 / 86400</f>
        <v>4.8356481481481479E-2</v>
      </c>
    </row>
    <row r="495" spans="1:12" x14ac:dyDescent="0.25">
      <c r="A495" s="3">
        <v>45692.460023148145</v>
      </c>
      <c r="B495" t="s">
        <v>148</v>
      </c>
      <c r="C495" s="3">
        <v>45692.684988425928</v>
      </c>
      <c r="D495" t="s">
        <v>68</v>
      </c>
      <c r="E495" s="4">
        <v>74.653000000000006</v>
      </c>
      <c r="F495" s="4">
        <v>347235.97899999999</v>
      </c>
      <c r="G495" s="4">
        <v>347310.63199999998</v>
      </c>
      <c r="H495" s="5">
        <f>7601 / 86400</f>
        <v>8.7974537037037032E-2</v>
      </c>
      <c r="I495" t="s">
        <v>57</v>
      </c>
      <c r="J495" t="s">
        <v>28</v>
      </c>
      <c r="K495" s="5">
        <f>19437 / 86400</f>
        <v>0.22496527777777778</v>
      </c>
      <c r="L495" s="5">
        <f>27216 / 86400</f>
        <v>0.315</v>
      </c>
    </row>
    <row r="496" spans="1:12" x14ac:dyDescent="0.25">
      <c r="A496" s="12"/>
      <c r="B496" s="12"/>
      <c r="C496" s="12"/>
      <c r="D496" s="12"/>
      <c r="E496" s="12"/>
      <c r="F496" s="12"/>
      <c r="G496" s="12"/>
      <c r="H496" s="12"/>
      <c r="I496" s="12"/>
      <c r="J496" s="12"/>
    </row>
    <row r="497" spans="1:12" x14ac:dyDescent="0.25">
      <c r="A497" s="12"/>
      <c r="B497" s="12"/>
      <c r="C497" s="12"/>
      <c r="D497" s="12"/>
      <c r="E497" s="12"/>
      <c r="F497" s="12"/>
      <c r="G497" s="12"/>
      <c r="H497" s="12"/>
      <c r="I497" s="12"/>
      <c r="J497" s="12"/>
    </row>
    <row r="498" spans="1:12" s="10" customFormat="1" ht="20.100000000000001" customHeight="1" x14ac:dyDescent="0.35">
      <c r="A498" s="15" t="s">
        <v>308</v>
      </c>
      <c r="B498" s="15"/>
      <c r="C498" s="15"/>
      <c r="D498" s="15"/>
      <c r="E498" s="15"/>
      <c r="F498" s="15"/>
      <c r="G498" s="15"/>
      <c r="H498" s="15"/>
      <c r="I498" s="15"/>
      <c r="J498" s="15"/>
    </row>
    <row r="499" spans="1:12" x14ac:dyDescent="0.25">
      <c r="A499" s="12"/>
      <c r="B499" s="12"/>
      <c r="C499" s="12"/>
      <c r="D499" s="12"/>
      <c r="E499" s="12"/>
      <c r="F499" s="12"/>
      <c r="G499" s="12"/>
      <c r="H499" s="12"/>
      <c r="I499" s="12"/>
      <c r="J499" s="12"/>
    </row>
    <row r="500" spans="1:12" ht="30" x14ac:dyDescent="0.25">
      <c r="A500" s="2" t="s">
        <v>6</v>
      </c>
      <c r="B500" s="2" t="s">
        <v>7</v>
      </c>
      <c r="C500" s="2" t="s">
        <v>8</v>
      </c>
      <c r="D500" s="2" t="s">
        <v>9</v>
      </c>
      <c r="E500" s="2" t="s">
        <v>10</v>
      </c>
      <c r="F500" s="2" t="s">
        <v>11</v>
      </c>
      <c r="G500" s="2" t="s">
        <v>12</v>
      </c>
      <c r="H500" s="2" t="s">
        <v>13</v>
      </c>
      <c r="I500" s="2" t="s">
        <v>14</v>
      </c>
      <c r="J500" s="2" t="s">
        <v>15</v>
      </c>
      <c r="K500" s="2" t="s">
        <v>16</v>
      </c>
      <c r="L500" s="2" t="s">
        <v>17</v>
      </c>
    </row>
    <row r="501" spans="1:12" x14ac:dyDescent="0.25">
      <c r="A501" s="3">
        <v>45692.118506944447</v>
      </c>
      <c r="B501" t="s">
        <v>69</v>
      </c>
      <c r="C501" s="3">
        <v>45692.192546296297</v>
      </c>
      <c r="D501" t="s">
        <v>236</v>
      </c>
      <c r="E501" s="4">
        <v>40.066000000000003</v>
      </c>
      <c r="F501" s="4">
        <v>39315.538</v>
      </c>
      <c r="G501" s="4">
        <v>39355.603999999999</v>
      </c>
      <c r="H501" s="5">
        <f>1759 / 86400</f>
        <v>2.0358796296296295E-2</v>
      </c>
      <c r="I501" t="s">
        <v>59</v>
      </c>
      <c r="J501" t="s">
        <v>136</v>
      </c>
      <c r="K501" s="5">
        <f>6397 / 86400</f>
        <v>7.4039351851851856E-2</v>
      </c>
      <c r="L501" s="5">
        <f>10594 / 86400</f>
        <v>0.12261574074074075</v>
      </c>
    </row>
    <row r="502" spans="1:12" x14ac:dyDescent="0.25">
      <c r="A502" s="3">
        <v>45692.196655092594</v>
      </c>
      <c r="B502" t="s">
        <v>236</v>
      </c>
      <c r="C502" s="3">
        <v>45692.297037037039</v>
      </c>
      <c r="D502" t="s">
        <v>148</v>
      </c>
      <c r="E502" s="4">
        <v>53.279000000000003</v>
      </c>
      <c r="F502" s="4">
        <v>39355.603999999999</v>
      </c>
      <c r="G502" s="4">
        <v>39408.883000000002</v>
      </c>
      <c r="H502" s="5">
        <f>1899 / 86400</f>
        <v>2.1979166666666668E-2</v>
      </c>
      <c r="I502" t="s">
        <v>57</v>
      </c>
      <c r="J502" t="s">
        <v>122</v>
      </c>
      <c r="K502" s="5">
        <f>8672 / 86400</f>
        <v>0.10037037037037037</v>
      </c>
      <c r="L502" s="5">
        <f>610 / 86400</f>
        <v>7.060185185185185E-3</v>
      </c>
    </row>
    <row r="503" spans="1:12" x14ac:dyDescent="0.25">
      <c r="A503" s="3">
        <v>45692.304097222222</v>
      </c>
      <c r="B503" t="s">
        <v>148</v>
      </c>
      <c r="C503" s="3">
        <v>45692.30872685185</v>
      </c>
      <c r="D503" t="s">
        <v>201</v>
      </c>
      <c r="E503" s="4">
        <v>1.1240000000000001</v>
      </c>
      <c r="F503" s="4">
        <v>39408.883000000002</v>
      </c>
      <c r="G503" s="4">
        <v>39410.006999999998</v>
      </c>
      <c r="H503" s="5">
        <f>119 / 86400</f>
        <v>1.3773148148148147E-3</v>
      </c>
      <c r="I503" t="s">
        <v>134</v>
      </c>
      <c r="J503" t="s">
        <v>158</v>
      </c>
      <c r="K503" s="5">
        <f>400 / 86400</f>
        <v>4.6296296296296294E-3</v>
      </c>
      <c r="L503" s="5">
        <f>1560 / 86400</f>
        <v>1.8055555555555554E-2</v>
      </c>
    </row>
    <row r="504" spans="1:12" x14ac:dyDescent="0.25">
      <c r="A504" s="3">
        <v>45692.326782407406</v>
      </c>
      <c r="B504" t="s">
        <v>201</v>
      </c>
      <c r="C504" s="3">
        <v>45692.329652777778</v>
      </c>
      <c r="D504" t="s">
        <v>146</v>
      </c>
      <c r="E504" s="4">
        <v>0.85</v>
      </c>
      <c r="F504" s="4">
        <v>39410.006999999998</v>
      </c>
      <c r="G504" s="4">
        <v>39410.857000000004</v>
      </c>
      <c r="H504" s="5">
        <f>39 / 86400</f>
        <v>4.5138888888888887E-4</v>
      </c>
      <c r="I504" t="s">
        <v>235</v>
      </c>
      <c r="J504" t="s">
        <v>90</v>
      </c>
      <c r="K504" s="5">
        <f>248 / 86400</f>
        <v>2.8703703703703703E-3</v>
      </c>
      <c r="L504" s="5">
        <f>414 / 86400</f>
        <v>4.7916666666666663E-3</v>
      </c>
    </row>
    <row r="505" spans="1:12" x14ac:dyDescent="0.25">
      <c r="A505" s="3">
        <v>45692.334444444445</v>
      </c>
      <c r="B505" t="s">
        <v>146</v>
      </c>
      <c r="C505" s="3">
        <v>45692.33525462963</v>
      </c>
      <c r="D505" t="s">
        <v>146</v>
      </c>
      <c r="E505" s="4">
        <v>5.0000000000000001E-3</v>
      </c>
      <c r="F505" s="4">
        <v>39410.857000000004</v>
      </c>
      <c r="G505" s="4">
        <v>39410.862000000001</v>
      </c>
      <c r="H505" s="5">
        <f>40 / 86400</f>
        <v>4.6296296296296298E-4</v>
      </c>
      <c r="I505" t="s">
        <v>119</v>
      </c>
      <c r="J505" t="s">
        <v>55</v>
      </c>
      <c r="K505" s="5">
        <f>70 / 86400</f>
        <v>8.1018518518518516E-4</v>
      </c>
      <c r="L505" s="5">
        <f>1588 / 86400</f>
        <v>1.8379629629629631E-2</v>
      </c>
    </row>
    <row r="506" spans="1:12" x14ac:dyDescent="0.25">
      <c r="A506" s="3">
        <v>45692.353634259256</v>
      </c>
      <c r="B506" t="s">
        <v>146</v>
      </c>
      <c r="C506" s="3">
        <v>45692.678043981483</v>
      </c>
      <c r="D506" t="s">
        <v>237</v>
      </c>
      <c r="E506" s="4">
        <v>129.87799999999999</v>
      </c>
      <c r="F506" s="4">
        <v>39410.862000000001</v>
      </c>
      <c r="G506" s="4">
        <v>39540.74</v>
      </c>
      <c r="H506" s="5">
        <f>9537 / 86400</f>
        <v>0.11038194444444445</v>
      </c>
      <c r="I506" t="s">
        <v>24</v>
      </c>
      <c r="J506" t="s">
        <v>25</v>
      </c>
      <c r="K506" s="5">
        <f>28029 / 86400</f>
        <v>0.3244097222222222</v>
      </c>
      <c r="L506" s="5">
        <f>9464 / 86400</f>
        <v>0.10953703703703704</v>
      </c>
    </row>
    <row r="507" spans="1:12" x14ac:dyDescent="0.25">
      <c r="A507" s="3">
        <v>45692.787581018521</v>
      </c>
      <c r="B507" t="s">
        <v>237</v>
      </c>
      <c r="C507" s="3">
        <v>45692.789652777778</v>
      </c>
      <c r="D507" t="s">
        <v>163</v>
      </c>
      <c r="E507" s="4">
        <v>0.13500000000000001</v>
      </c>
      <c r="F507" s="4">
        <v>39540.74</v>
      </c>
      <c r="G507" s="4">
        <v>39540.875</v>
      </c>
      <c r="H507" s="5">
        <f>99 / 86400</f>
        <v>1.1458333333333333E-3</v>
      </c>
      <c r="I507" t="s">
        <v>158</v>
      </c>
      <c r="J507" t="s">
        <v>140</v>
      </c>
      <c r="K507" s="5">
        <f>178 / 86400</f>
        <v>2.0601851851851853E-3</v>
      </c>
      <c r="L507" s="5">
        <f>153 / 86400</f>
        <v>1.7708333333333332E-3</v>
      </c>
    </row>
    <row r="508" spans="1:12" x14ac:dyDescent="0.25">
      <c r="A508" s="3">
        <v>45692.79142361111</v>
      </c>
      <c r="B508" t="s">
        <v>163</v>
      </c>
      <c r="C508" s="3">
        <v>45692.860706018517</v>
      </c>
      <c r="D508" t="s">
        <v>170</v>
      </c>
      <c r="E508" s="4">
        <v>34.42</v>
      </c>
      <c r="F508" s="4">
        <v>39540.875</v>
      </c>
      <c r="G508" s="4">
        <v>39575.294999999998</v>
      </c>
      <c r="H508" s="5">
        <f>1759 / 86400</f>
        <v>2.0358796296296295E-2</v>
      </c>
      <c r="I508" t="s">
        <v>59</v>
      </c>
      <c r="J508" t="s">
        <v>142</v>
      </c>
      <c r="K508" s="5">
        <f>5985 / 86400</f>
        <v>6.9270833333333337E-2</v>
      </c>
      <c r="L508" s="5">
        <f>267 / 86400</f>
        <v>3.0902777777777777E-3</v>
      </c>
    </row>
    <row r="509" spans="1:12" x14ac:dyDescent="0.25">
      <c r="A509" s="3">
        <v>45692.863796296297</v>
      </c>
      <c r="B509" t="s">
        <v>170</v>
      </c>
      <c r="C509" s="3">
        <v>45692.872048611112</v>
      </c>
      <c r="D509" t="s">
        <v>69</v>
      </c>
      <c r="E509" s="4">
        <v>3.2210000000000001</v>
      </c>
      <c r="F509" s="4">
        <v>39575.294999999998</v>
      </c>
      <c r="G509" s="4">
        <v>39578.516000000003</v>
      </c>
      <c r="H509" s="5">
        <f>40 / 86400</f>
        <v>4.6296296296296298E-4</v>
      </c>
      <c r="I509" t="s">
        <v>164</v>
      </c>
      <c r="J509" t="s">
        <v>36</v>
      </c>
      <c r="K509" s="5">
        <f>713 / 86400</f>
        <v>8.2523148148148148E-3</v>
      </c>
      <c r="L509" s="5">
        <f>11054 / 86400</f>
        <v>0.12793981481481481</v>
      </c>
    </row>
    <row r="510" spans="1:12" x14ac:dyDescent="0.25">
      <c r="A510" s="12"/>
      <c r="B510" s="12"/>
      <c r="C510" s="12"/>
      <c r="D510" s="12"/>
      <c r="E510" s="12"/>
      <c r="F510" s="12"/>
      <c r="G510" s="12"/>
      <c r="H510" s="12"/>
      <c r="I510" s="12"/>
      <c r="J510" s="12"/>
    </row>
    <row r="511" spans="1:12" x14ac:dyDescent="0.25">
      <c r="A511" s="12"/>
      <c r="B511" s="12"/>
      <c r="C511" s="12"/>
      <c r="D511" s="12"/>
      <c r="E511" s="12"/>
      <c r="F511" s="12"/>
      <c r="G511" s="12"/>
      <c r="H511" s="12"/>
      <c r="I511" s="12"/>
      <c r="J511" s="12"/>
    </row>
    <row r="512" spans="1:12" s="10" customFormat="1" ht="20.100000000000001" customHeight="1" x14ac:dyDescent="0.35">
      <c r="A512" s="15" t="s">
        <v>309</v>
      </c>
      <c r="B512" s="15"/>
      <c r="C512" s="15"/>
      <c r="D512" s="15"/>
      <c r="E512" s="15"/>
      <c r="F512" s="15"/>
      <c r="G512" s="15"/>
      <c r="H512" s="15"/>
      <c r="I512" s="15"/>
      <c r="J512" s="15"/>
    </row>
    <row r="513" spans="1:12" x14ac:dyDescent="0.25">
      <c r="A513" s="12"/>
      <c r="B513" s="12"/>
      <c r="C513" s="12"/>
      <c r="D513" s="12"/>
      <c r="E513" s="12"/>
      <c r="F513" s="12"/>
      <c r="G513" s="12"/>
      <c r="H513" s="12"/>
      <c r="I513" s="12"/>
      <c r="J513" s="12"/>
    </row>
    <row r="514" spans="1:12" ht="30" x14ac:dyDescent="0.25">
      <c r="A514" s="2" t="s">
        <v>6</v>
      </c>
      <c r="B514" s="2" t="s">
        <v>7</v>
      </c>
      <c r="C514" s="2" t="s">
        <v>8</v>
      </c>
      <c r="D514" s="2" t="s">
        <v>9</v>
      </c>
      <c r="E514" s="2" t="s">
        <v>10</v>
      </c>
      <c r="F514" s="2" t="s">
        <v>11</v>
      </c>
      <c r="G514" s="2" t="s">
        <v>12</v>
      </c>
      <c r="H514" s="2" t="s">
        <v>13</v>
      </c>
      <c r="I514" s="2" t="s">
        <v>14</v>
      </c>
      <c r="J514" s="2" t="s">
        <v>15</v>
      </c>
      <c r="K514" s="2" t="s">
        <v>16</v>
      </c>
      <c r="L514" s="2" t="s">
        <v>17</v>
      </c>
    </row>
    <row r="515" spans="1:12" x14ac:dyDescent="0.25">
      <c r="A515" s="3">
        <v>45692</v>
      </c>
      <c r="B515" t="s">
        <v>71</v>
      </c>
      <c r="C515" s="3">
        <v>45692.010983796295</v>
      </c>
      <c r="D515" t="s">
        <v>34</v>
      </c>
      <c r="E515" s="4">
        <v>8.516</v>
      </c>
      <c r="F515" s="4">
        <v>43874.692999999999</v>
      </c>
      <c r="G515" s="4">
        <v>43883.209000000003</v>
      </c>
      <c r="H515" s="5">
        <f>60 / 86400</f>
        <v>6.9444444444444447E-4</v>
      </c>
      <c r="I515" t="s">
        <v>53</v>
      </c>
      <c r="J515" t="s">
        <v>42</v>
      </c>
      <c r="K515" s="5">
        <f>949 / 86400</f>
        <v>1.0983796296296297E-2</v>
      </c>
      <c r="L515" s="5">
        <f>743 / 86400</f>
        <v>8.5995370370370375E-3</v>
      </c>
    </row>
    <row r="516" spans="1:12" x14ac:dyDescent="0.25">
      <c r="A516" s="3">
        <v>45692.019583333335</v>
      </c>
      <c r="B516" t="s">
        <v>34</v>
      </c>
      <c r="C516" s="3">
        <v>45692.021030092597</v>
      </c>
      <c r="D516" t="s">
        <v>238</v>
      </c>
      <c r="E516" s="4">
        <v>7.8E-2</v>
      </c>
      <c r="F516" s="4">
        <v>43883.209000000003</v>
      </c>
      <c r="G516" s="4">
        <v>43883.286999999997</v>
      </c>
      <c r="H516" s="5">
        <f>59 / 86400</f>
        <v>6.8287037037037036E-4</v>
      </c>
      <c r="I516" t="s">
        <v>54</v>
      </c>
      <c r="J516" t="s">
        <v>161</v>
      </c>
      <c r="K516" s="5">
        <f>125 / 86400</f>
        <v>1.4467592592592592E-3</v>
      </c>
      <c r="L516" s="5">
        <f>1541 / 86400</f>
        <v>1.7835648148148149E-2</v>
      </c>
    </row>
    <row r="517" spans="1:12" x14ac:dyDescent="0.25">
      <c r="A517" s="3">
        <v>45692.038865740746</v>
      </c>
      <c r="B517" t="s">
        <v>238</v>
      </c>
      <c r="C517" s="3">
        <v>45692.053275462968</v>
      </c>
      <c r="D517" t="s">
        <v>239</v>
      </c>
      <c r="E517" s="4">
        <v>1.9890000000000001</v>
      </c>
      <c r="F517" s="4">
        <v>43883.286999999997</v>
      </c>
      <c r="G517" s="4">
        <v>43885.275999999998</v>
      </c>
      <c r="H517" s="5">
        <f>880 / 86400</f>
        <v>1.0185185185185186E-2</v>
      </c>
      <c r="I517" t="s">
        <v>240</v>
      </c>
      <c r="J517" t="s">
        <v>137</v>
      </c>
      <c r="K517" s="5">
        <f>1245 / 86400</f>
        <v>1.4409722222222223E-2</v>
      </c>
      <c r="L517" s="5">
        <f>10757 / 86400</f>
        <v>0.12450231481481482</v>
      </c>
    </row>
    <row r="518" spans="1:12" x14ac:dyDescent="0.25">
      <c r="A518" s="3">
        <v>45692.177777777775</v>
      </c>
      <c r="B518" t="s">
        <v>239</v>
      </c>
      <c r="C518" s="3">
        <v>45692.355324074073</v>
      </c>
      <c r="D518" t="s">
        <v>40</v>
      </c>
      <c r="E518" s="4">
        <v>84.772000000000006</v>
      </c>
      <c r="F518" s="4">
        <v>43885.275999999998</v>
      </c>
      <c r="G518" s="4">
        <v>43970.048000000003</v>
      </c>
      <c r="H518" s="5">
        <f>4060 / 86400</f>
        <v>4.6990740740740743E-2</v>
      </c>
      <c r="I518" t="s">
        <v>30</v>
      </c>
      <c r="J518" t="s">
        <v>114</v>
      </c>
      <c r="K518" s="5">
        <f>15339 / 86400</f>
        <v>0.17753472222222222</v>
      </c>
      <c r="L518" s="5">
        <f>1784 / 86400</f>
        <v>2.0648148148148148E-2</v>
      </c>
    </row>
    <row r="519" spans="1:12" x14ac:dyDescent="0.25">
      <c r="A519" s="3">
        <v>45692.375972222224</v>
      </c>
      <c r="B519" t="s">
        <v>40</v>
      </c>
      <c r="C519" s="3">
        <v>45692.37835648148</v>
      </c>
      <c r="D519" t="s">
        <v>128</v>
      </c>
      <c r="E519" s="4">
        <v>0.79900000000000004</v>
      </c>
      <c r="F519" s="4">
        <v>43970.048000000003</v>
      </c>
      <c r="G519" s="4">
        <v>43970.847000000002</v>
      </c>
      <c r="H519" s="5">
        <f>60 / 86400</f>
        <v>6.9444444444444447E-4</v>
      </c>
      <c r="I519" t="s">
        <v>214</v>
      </c>
      <c r="J519" t="s">
        <v>28</v>
      </c>
      <c r="K519" s="5">
        <f>206 / 86400</f>
        <v>2.3842592592592591E-3</v>
      </c>
      <c r="L519" s="5">
        <f>873 / 86400</f>
        <v>1.0104166666666666E-2</v>
      </c>
    </row>
    <row r="520" spans="1:12" x14ac:dyDescent="0.25">
      <c r="A520" s="3">
        <v>45692.388460648144</v>
      </c>
      <c r="B520" t="s">
        <v>128</v>
      </c>
      <c r="C520" s="3">
        <v>45692.389537037037</v>
      </c>
      <c r="D520" t="s">
        <v>128</v>
      </c>
      <c r="E520" s="4">
        <v>0.108</v>
      </c>
      <c r="F520" s="4">
        <v>43970.847000000002</v>
      </c>
      <c r="G520" s="4">
        <v>43970.955000000002</v>
      </c>
      <c r="H520" s="5">
        <f>0 / 86400</f>
        <v>0</v>
      </c>
      <c r="I520" t="s">
        <v>20</v>
      </c>
      <c r="J520" t="s">
        <v>160</v>
      </c>
      <c r="K520" s="5">
        <f>93 / 86400</f>
        <v>1.0763888888888889E-3</v>
      </c>
      <c r="L520" s="5">
        <f>212 / 86400</f>
        <v>2.4537037037037036E-3</v>
      </c>
    </row>
    <row r="521" spans="1:12" x14ac:dyDescent="0.25">
      <c r="A521" s="3">
        <v>45692.39199074074</v>
      </c>
      <c r="B521" t="s">
        <v>128</v>
      </c>
      <c r="C521" s="3">
        <v>45692.392581018517</v>
      </c>
      <c r="D521" t="s">
        <v>128</v>
      </c>
      <c r="E521" s="4">
        <v>3.1E-2</v>
      </c>
      <c r="F521" s="4">
        <v>43970.955000000002</v>
      </c>
      <c r="G521" s="4">
        <v>43970.985999999997</v>
      </c>
      <c r="H521" s="5">
        <f>0 / 86400</f>
        <v>0</v>
      </c>
      <c r="I521" t="s">
        <v>43</v>
      </c>
      <c r="J521" t="s">
        <v>161</v>
      </c>
      <c r="K521" s="5">
        <f>51 / 86400</f>
        <v>5.9027777777777778E-4</v>
      </c>
      <c r="L521" s="5">
        <f>1014 / 86400</f>
        <v>1.173611111111111E-2</v>
      </c>
    </row>
    <row r="522" spans="1:12" x14ac:dyDescent="0.25">
      <c r="A522" s="3">
        <v>45692.404317129629</v>
      </c>
      <c r="B522" t="s">
        <v>128</v>
      </c>
      <c r="C522" s="3">
        <v>45692.616574074069</v>
      </c>
      <c r="D522" t="s">
        <v>34</v>
      </c>
      <c r="E522" s="4">
        <v>81.543999999999997</v>
      </c>
      <c r="F522" s="4">
        <v>43970.985999999997</v>
      </c>
      <c r="G522" s="4">
        <v>44052.53</v>
      </c>
      <c r="H522" s="5">
        <f>6658 / 86400</f>
        <v>7.706018518518519E-2</v>
      </c>
      <c r="I522" t="s">
        <v>83</v>
      </c>
      <c r="J522" t="s">
        <v>36</v>
      </c>
      <c r="K522" s="5">
        <f>18339 / 86400</f>
        <v>0.21225694444444446</v>
      </c>
      <c r="L522" s="5">
        <f>283 / 86400</f>
        <v>3.2754629629629631E-3</v>
      </c>
    </row>
    <row r="523" spans="1:12" x14ac:dyDescent="0.25">
      <c r="A523" s="3">
        <v>45692.619849537034</v>
      </c>
      <c r="B523" t="s">
        <v>34</v>
      </c>
      <c r="C523" s="3">
        <v>45692.621805555551</v>
      </c>
      <c r="D523" t="s">
        <v>34</v>
      </c>
      <c r="E523" s="4">
        <v>1.371</v>
      </c>
      <c r="F523" s="4">
        <v>44052.53</v>
      </c>
      <c r="G523" s="4">
        <v>44053.900999999998</v>
      </c>
      <c r="H523" s="5">
        <f>0 / 86400</f>
        <v>0</v>
      </c>
      <c r="I523" t="s">
        <v>241</v>
      </c>
      <c r="J523" t="s">
        <v>155</v>
      </c>
      <c r="K523" s="5">
        <f>169 / 86400</f>
        <v>1.9560185185185184E-3</v>
      </c>
      <c r="L523" s="5">
        <f>2184 / 86400</f>
        <v>2.5277777777777777E-2</v>
      </c>
    </row>
    <row r="524" spans="1:12" x14ac:dyDescent="0.25">
      <c r="A524" s="3">
        <v>45692.64708333333</v>
      </c>
      <c r="B524" t="s">
        <v>34</v>
      </c>
      <c r="C524" s="3">
        <v>45692.99998842593</v>
      </c>
      <c r="D524" t="s">
        <v>72</v>
      </c>
      <c r="E524" s="4">
        <v>131.89599999999999</v>
      </c>
      <c r="F524" s="4">
        <v>44053.900999999998</v>
      </c>
      <c r="G524" s="4">
        <v>44185.796999999999</v>
      </c>
      <c r="H524" s="5">
        <f>12227 / 86400</f>
        <v>0.14151620370370371</v>
      </c>
      <c r="I524" t="s">
        <v>38</v>
      </c>
      <c r="J524" t="s">
        <v>36</v>
      </c>
      <c r="K524" s="5">
        <f>30491 / 86400</f>
        <v>0.35290509259259262</v>
      </c>
      <c r="L524" s="5">
        <f>0 / 86400</f>
        <v>0</v>
      </c>
    </row>
    <row r="525" spans="1:12" x14ac:dyDescent="0.25">
      <c r="A525" s="12"/>
      <c r="B525" s="12"/>
      <c r="C525" s="12"/>
      <c r="D525" s="12"/>
      <c r="E525" s="12"/>
      <c r="F525" s="12"/>
      <c r="G525" s="12"/>
      <c r="H525" s="12"/>
      <c r="I525" s="12"/>
      <c r="J525" s="12"/>
    </row>
    <row r="526" spans="1:12" x14ac:dyDescent="0.25">
      <c r="A526" s="12"/>
      <c r="B526" s="12"/>
      <c r="C526" s="12"/>
      <c r="D526" s="12"/>
      <c r="E526" s="12"/>
      <c r="F526" s="12"/>
      <c r="G526" s="12"/>
      <c r="H526" s="12"/>
      <c r="I526" s="12"/>
      <c r="J526" s="12"/>
    </row>
    <row r="527" spans="1:12" s="10" customFormat="1" ht="20.100000000000001" customHeight="1" x14ac:dyDescent="0.35">
      <c r="A527" s="15" t="s">
        <v>310</v>
      </c>
      <c r="B527" s="15"/>
      <c r="C527" s="15"/>
      <c r="D527" s="15"/>
      <c r="E527" s="15"/>
      <c r="F527" s="15"/>
      <c r="G527" s="15"/>
      <c r="H527" s="15"/>
      <c r="I527" s="15"/>
      <c r="J527" s="15"/>
    </row>
    <row r="528" spans="1:12" x14ac:dyDescent="0.25">
      <c r="A528" s="12"/>
      <c r="B528" s="12"/>
      <c r="C528" s="12"/>
      <c r="D528" s="12"/>
      <c r="E528" s="12"/>
      <c r="F528" s="12"/>
      <c r="G528" s="12"/>
      <c r="H528" s="12"/>
      <c r="I528" s="12"/>
      <c r="J528" s="12"/>
    </row>
    <row r="529" spans="1:12" ht="30" x14ac:dyDescent="0.25">
      <c r="A529" s="2" t="s">
        <v>6</v>
      </c>
      <c r="B529" s="2" t="s">
        <v>7</v>
      </c>
      <c r="C529" s="2" t="s">
        <v>8</v>
      </c>
      <c r="D529" s="2" t="s">
        <v>9</v>
      </c>
      <c r="E529" s="2" t="s">
        <v>10</v>
      </c>
      <c r="F529" s="2" t="s">
        <v>11</v>
      </c>
      <c r="G529" s="2" t="s">
        <v>12</v>
      </c>
      <c r="H529" s="2" t="s">
        <v>13</v>
      </c>
      <c r="I529" s="2" t="s">
        <v>14</v>
      </c>
      <c r="J529" s="2" t="s">
        <v>15</v>
      </c>
      <c r="K529" s="2" t="s">
        <v>16</v>
      </c>
      <c r="L529" s="2" t="s">
        <v>17</v>
      </c>
    </row>
    <row r="530" spans="1:12" x14ac:dyDescent="0.25">
      <c r="A530" s="3">
        <v>45692</v>
      </c>
      <c r="B530" t="s">
        <v>73</v>
      </c>
      <c r="C530" s="3">
        <v>45692.006284722222</v>
      </c>
      <c r="D530" t="s">
        <v>74</v>
      </c>
      <c r="E530" s="4">
        <v>2.6490000001192091</v>
      </c>
      <c r="F530" s="4">
        <v>525252.89599999995</v>
      </c>
      <c r="G530" s="4">
        <v>525255.54500000004</v>
      </c>
      <c r="H530" s="5">
        <f>300 / 86400</f>
        <v>3.472222222222222E-3</v>
      </c>
      <c r="I530" t="s">
        <v>59</v>
      </c>
      <c r="J530" t="s">
        <v>31</v>
      </c>
      <c r="K530" s="5">
        <f>543 / 86400</f>
        <v>6.2847222222222219E-3</v>
      </c>
      <c r="L530" s="5">
        <f>1981 / 86400</f>
        <v>2.2928240740740742E-2</v>
      </c>
    </row>
    <row r="531" spans="1:12" x14ac:dyDescent="0.25">
      <c r="A531" s="3">
        <v>45692.029212962967</v>
      </c>
      <c r="B531" t="s">
        <v>74</v>
      </c>
      <c r="C531" s="3">
        <v>45692.029293981483</v>
      </c>
      <c r="D531" t="s">
        <v>74</v>
      </c>
      <c r="E531" s="4">
        <v>0</v>
      </c>
      <c r="F531" s="4">
        <v>525255.54500000004</v>
      </c>
      <c r="G531" s="4">
        <v>525255.54500000004</v>
      </c>
      <c r="H531" s="5">
        <f>0 / 86400</f>
        <v>0</v>
      </c>
      <c r="I531" t="s">
        <v>161</v>
      </c>
      <c r="J531" t="s">
        <v>55</v>
      </c>
      <c r="K531" s="5">
        <f>6 / 86400</f>
        <v>6.9444444444444444E-5</v>
      </c>
      <c r="L531" s="5">
        <f>1554 / 86400</f>
        <v>1.7986111111111112E-2</v>
      </c>
    </row>
    <row r="532" spans="1:12" x14ac:dyDescent="0.25">
      <c r="A532" s="3">
        <v>45692.047280092593</v>
      </c>
      <c r="B532" t="s">
        <v>74</v>
      </c>
      <c r="C532" s="3">
        <v>45692.107824074075</v>
      </c>
      <c r="D532" t="s">
        <v>242</v>
      </c>
      <c r="E532" s="4">
        <v>28.555999999940397</v>
      </c>
      <c r="F532" s="4">
        <v>525255.54500000004</v>
      </c>
      <c r="G532" s="4">
        <v>525284.10100000002</v>
      </c>
      <c r="H532" s="5">
        <f>1179 / 86400</f>
        <v>1.3645833333333333E-2</v>
      </c>
      <c r="I532" t="s">
        <v>67</v>
      </c>
      <c r="J532" t="s">
        <v>114</v>
      </c>
      <c r="K532" s="5">
        <f>5231 / 86400</f>
        <v>6.0543981481481483E-2</v>
      </c>
      <c r="L532" s="5">
        <f>558 / 86400</f>
        <v>6.4583333333333333E-3</v>
      </c>
    </row>
    <row r="533" spans="1:12" x14ac:dyDescent="0.25">
      <c r="A533" s="3">
        <v>45692.114282407405</v>
      </c>
      <c r="B533" t="s">
        <v>243</v>
      </c>
      <c r="C533" s="3">
        <v>45692.129687499997</v>
      </c>
      <c r="D533" t="s">
        <v>34</v>
      </c>
      <c r="E533" s="4">
        <v>6.3360000000596051</v>
      </c>
      <c r="F533" s="4">
        <v>525284.10100000002</v>
      </c>
      <c r="G533" s="4">
        <v>525290.43700000003</v>
      </c>
      <c r="H533" s="5">
        <f>300 / 86400</f>
        <v>3.472222222222222E-3</v>
      </c>
      <c r="I533" t="s">
        <v>147</v>
      </c>
      <c r="J533" t="s">
        <v>25</v>
      </c>
      <c r="K533" s="5">
        <f>1330 / 86400</f>
        <v>1.5393518518518518E-2</v>
      </c>
      <c r="L533" s="5">
        <f>924 / 86400</f>
        <v>1.0694444444444444E-2</v>
      </c>
    </row>
    <row r="534" spans="1:12" x14ac:dyDescent="0.25">
      <c r="A534" s="3">
        <v>45692.140381944446</v>
      </c>
      <c r="B534" t="s">
        <v>34</v>
      </c>
      <c r="C534" s="3">
        <v>45692.143877314811</v>
      </c>
      <c r="D534" t="s">
        <v>205</v>
      </c>
      <c r="E534" s="4">
        <v>0.83199999994039531</v>
      </c>
      <c r="F534" s="4">
        <v>525290.43700000003</v>
      </c>
      <c r="G534" s="4">
        <v>525291.26899999997</v>
      </c>
      <c r="H534" s="5">
        <f>60 / 86400</f>
        <v>6.9444444444444447E-4</v>
      </c>
      <c r="I534" t="s">
        <v>114</v>
      </c>
      <c r="J534" t="s">
        <v>158</v>
      </c>
      <c r="K534" s="5">
        <f>302 / 86400</f>
        <v>3.4953703703703705E-3</v>
      </c>
      <c r="L534" s="5">
        <f>3388 / 86400</f>
        <v>3.9212962962962963E-2</v>
      </c>
    </row>
    <row r="535" spans="1:12" x14ac:dyDescent="0.25">
      <c r="A535" s="3">
        <v>45692.183090277773</v>
      </c>
      <c r="B535" t="s">
        <v>205</v>
      </c>
      <c r="C535" s="3">
        <v>45692.339016203703</v>
      </c>
      <c r="D535" t="s">
        <v>148</v>
      </c>
      <c r="E535" s="4">
        <v>83.929000000000002</v>
      </c>
      <c r="F535" s="4">
        <v>525291.26899999997</v>
      </c>
      <c r="G535" s="4">
        <v>525375.19799999997</v>
      </c>
      <c r="H535" s="5">
        <f>3319 / 86400</f>
        <v>3.8414351851851852E-2</v>
      </c>
      <c r="I535" t="s">
        <v>33</v>
      </c>
      <c r="J535" t="s">
        <v>122</v>
      </c>
      <c r="K535" s="5">
        <f>13472 / 86400</f>
        <v>0.15592592592592591</v>
      </c>
      <c r="L535" s="5">
        <f>621 / 86400</f>
        <v>7.1875000000000003E-3</v>
      </c>
    </row>
    <row r="536" spans="1:12" x14ac:dyDescent="0.25">
      <c r="A536" s="3">
        <v>45692.346203703702</v>
      </c>
      <c r="B536" t="s">
        <v>148</v>
      </c>
      <c r="C536" s="3">
        <v>45692.34993055556</v>
      </c>
      <c r="D536" t="s">
        <v>196</v>
      </c>
      <c r="E536" s="4">
        <v>1.145</v>
      </c>
      <c r="F536" s="4">
        <v>525375.19799999997</v>
      </c>
      <c r="G536" s="4">
        <v>525376.34299999999</v>
      </c>
      <c r="H536" s="5">
        <f>100 / 86400</f>
        <v>1.1574074074074073E-3</v>
      </c>
      <c r="I536" t="s">
        <v>203</v>
      </c>
      <c r="J536" t="s">
        <v>58</v>
      </c>
      <c r="K536" s="5">
        <f>322 / 86400</f>
        <v>3.7268518518518519E-3</v>
      </c>
      <c r="L536" s="5">
        <f>96 / 86400</f>
        <v>1.1111111111111111E-3</v>
      </c>
    </row>
    <row r="537" spans="1:12" x14ac:dyDescent="0.25">
      <c r="A537" s="3">
        <v>45692.351041666669</v>
      </c>
      <c r="B537" t="s">
        <v>196</v>
      </c>
      <c r="C537" s="3">
        <v>45692.351307870369</v>
      </c>
      <c r="D537" t="s">
        <v>196</v>
      </c>
      <c r="E537" s="4">
        <v>8.9999999403953552E-3</v>
      </c>
      <c r="F537" s="4">
        <v>525376.34299999999</v>
      </c>
      <c r="G537" s="4">
        <v>525376.35199999996</v>
      </c>
      <c r="H537" s="5">
        <f>19 / 86400</f>
        <v>2.199074074074074E-4</v>
      </c>
      <c r="I537" t="s">
        <v>55</v>
      </c>
      <c r="J537" t="s">
        <v>125</v>
      </c>
      <c r="K537" s="5">
        <f>23 / 86400</f>
        <v>2.6620370370370372E-4</v>
      </c>
      <c r="L537" s="5">
        <f>3576 / 86400</f>
        <v>4.1388888888888892E-2</v>
      </c>
    </row>
    <row r="538" spans="1:12" x14ac:dyDescent="0.25">
      <c r="A538" s="3">
        <v>45692.392696759256</v>
      </c>
      <c r="B538" t="s">
        <v>196</v>
      </c>
      <c r="C538" s="3">
        <v>45692.506874999999</v>
      </c>
      <c r="D538" t="s">
        <v>133</v>
      </c>
      <c r="E538" s="4">
        <v>50.764000000119211</v>
      </c>
      <c r="F538" s="4">
        <v>525376.35199999996</v>
      </c>
      <c r="G538" s="4">
        <v>525427.11600000004</v>
      </c>
      <c r="H538" s="5">
        <f>3226 / 86400</f>
        <v>3.7337962962962962E-2</v>
      </c>
      <c r="I538" t="s">
        <v>107</v>
      </c>
      <c r="J538" t="s">
        <v>70</v>
      </c>
      <c r="K538" s="5">
        <f>9865 / 86400</f>
        <v>0.11417824074074075</v>
      </c>
      <c r="L538" s="5">
        <f>193 / 86400</f>
        <v>2.2337962962962962E-3</v>
      </c>
    </row>
    <row r="539" spans="1:12" x14ac:dyDescent="0.25">
      <c r="A539" s="3">
        <v>45692.509108796294</v>
      </c>
      <c r="B539" t="s">
        <v>133</v>
      </c>
      <c r="C539" s="3">
        <v>45692.637523148151</v>
      </c>
      <c r="D539" t="s">
        <v>128</v>
      </c>
      <c r="E539" s="4">
        <v>49.633999999940393</v>
      </c>
      <c r="F539" s="4">
        <v>525427.11600000004</v>
      </c>
      <c r="G539" s="4">
        <v>525476.75</v>
      </c>
      <c r="H539" s="5">
        <f>3719 / 86400</f>
        <v>4.3043981481481482E-2</v>
      </c>
      <c r="I539" t="s">
        <v>244</v>
      </c>
      <c r="J539" t="s">
        <v>36</v>
      </c>
      <c r="K539" s="5">
        <f>11095 / 86400</f>
        <v>0.12841435185185185</v>
      </c>
      <c r="L539" s="5">
        <f>347 / 86400</f>
        <v>4.0162037037037041E-3</v>
      </c>
    </row>
    <row r="540" spans="1:12" x14ac:dyDescent="0.25">
      <c r="A540" s="3">
        <v>45692.641539351855</v>
      </c>
      <c r="B540" t="s">
        <v>128</v>
      </c>
      <c r="C540" s="3">
        <v>45692.645023148143</v>
      </c>
      <c r="D540" t="s">
        <v>146</v>
      </c>
      <c r="E540" s="4">
        <v>0.27099999994039536</v>
      </c>
      <c r="F540" s="4">
        <v>525476.75</v>
      </c>
      <c r="G540" s="4">
        <v>525477.02099999995</v>
      </c>
      <c r="H540" s="5">
        <f>200 / 86400</f>
        <v>2.3148148148148147E-3</v>
      </c>
      <c r="I540" t="s">
        <v>36</v>
      </c>
      <c r="J540" t="s">
        <v>140</v>
      </c>
      <c r="K540" s="5">
        <f>301 / 86400</f>
        <v>3.4837962962962965E-3</v>
      </c>
      <c r="L540" s="5">
        <f>2503 / 86400</f>
        <v>2.8969907407407406E-2</v>
      </c>
    </row>
    <row r="541" spans="1:12" x14ac:dyDescent="0.25">
      <c r="A541" s="3">
        <v>45692.673993055556</v>
      </c>
      <c r="B541" t="s">
        <v>146</v>
      </c>
      <c r="C541" s="3">
        <v>45692.676620370374</v>
      </c>
      <c r="D541" t="s">
        <v>121</v>
      </c>
      <c r="E541" s="4">
        <v>0.29600000011920929</v>
      </c>
      <c r="F541" s="4">
        <v>525477.02099999995</v>
      </c>
      <c r="G541" s="4">
        <v>525477.31700000004</v>
      </c>
      <c r="H541" s="5">
        <f>100 / 86400</f>
        <v>1.1574074074074073E-3</v>
      </c>
      <c r="I541" t="s">
        <v>122</v>
      </c>
      <c r="J541" t="s">
        <v>119</v>
      </c>
      <c r="K541" s="5">
        <f>226 / 86400</f>
        <v>2.6157407407407405E-3</v>
      </c>
      <c r="L541" s="5">
        <f>1260 / 86400</f>
        <v>1.4583333333333334E-2</v>
      </c>
    </row>
    <row r="542" spans="1:12" x14ac:dyDescent="0.25">
      <c r="A542" s="3">
        <v>45692.691203703704</v>
      </c>
      <c r="B542" t="s">
        <v>121</v>
      </c>
      <c r="C542" s="3">
        <v>45692.693171296298</v>
      </c>
      <c r="D542" t="s">
        <v>196</v>
      </c>
      <c r="E542" s="4">
        <v>0.74299999999999999</v>
      </c>
      <c r="F542" s="4">
        <v>525477.31700000004</v>
      </c>
      <c r="G542" s="4">
        <v>525478.06000000006</v>
      </c>
      <c r="H542" s="5">
        <f>0 / 86400</f>
        <v>0</v>
      </c>
      <c r="I542" t="s">
        <v>203</v>
      </c>
      <c r="J542" t="s">
        <v>36</v>
      </c>
      <c r="K542" s="5">
        <f>170 / 86400</f>
        <v>1.9675925925925924E-3</v>
      </c>
      <c r="L542" s="5">
        <f>456 / 86400</f>
        <v>5.2777777777777779E-3</v>
      </c>
    </row>
    <row r="543" spans="1:12" x14ac:dyDescent="0.25">
      <c r="A543" s="3">
        <v>45692.698449074072</v>
      </c>
      <c r="B543" t="s">
        <v>196</v>
      </c>
      <c r="C543" s="3">
        <v>45692.700439814813</v>
      </c>
      <c r="D543" t="s">
        <v>40</v>
      </c>
      <c r="E543" s="4">
        <v>0.21199999994039537</v>
      </c>
      <c r="F543" s="4">
        <v>525478.06000000006</v>
      </c>
      <c r="G543" s="4">
        <v>525478.272</v>
      </c>
      <c r="H543" s="5">
        <f>39 / 86400</f>
        <v>4.5138888888888887E-4</v>
      </c>
      <c r="I543" t="s">
        <v>28</v>
      </c>
      <c r="J543" t="s">
        <v>160</v>
      </c>
      <c r="K543" s="5">
        <f>171 / 86400</f>
        <v>1.9791666666666668E-3</v>
      </c>
      <c r="L543" s="5">
        <f>225 / 86400</f>
        <v>2.6041666666666665E-3</v>
      </c>
    </row>
    <row r="544" spans="1:12" x14ac:dyDescent="0.25">
      <c r="A544" s="3">
        <v>45692.703043981484</v>
      </c>
      <c r="B544" t="s">
        <v>40</v>
      </c>
      <c r="C544" s="3">
        <v>45692.791921296295</v>
      </c>
      <c r="D544" t="s">
        <v>245</v>
      </c>
      <c r="E544" s="4">
        <v>39.778000000059606</v>
      </c>
      <c r="F544" s="4">
        <v>525478.272</v>
      </c>
      <c r="G544" s="4">
        <v>525518.05000000005</v>
      </c>
      <c r="H544" s="5">
        <f>2660 / 86400</f>
        <v>3.0787037037037036E-2</v>
      </c>
      <c r="I544" t="s">
        <v>86</v>
      </c>
      <c r="J544" t="s">
        <v>70</v>
      </c>
      <c r="K544" s="5">
        <f>7679 / 86400</f>
        <v>8.8877314814814812E-2</v>
      </c>
      <c r="L544" s="5">
        <f>650 / 86400</f>
        <v>7.5231481481481477E-3</v>
      </c>
    </row>
    <row r="545" spans="1:12" x14ac:dyDescent="0.25">
      <c r="A545" s="3">
        <v>45692.799444444448</v>
      </c>
      <c r="B545" t="s">
        <v>245</v>
      </c>
      <c r="C545" s="3">
        <v>45692.885300925926</v>
      </c>
      <c r="D545" t="s">
        <v>178</v>
      </c>
      <c r="E545" s="4">
        <v>36.456999999940393</v>
      </c>
      <c r="F545" s="4">
        <v>525518.05000000005</v>
      </c>
      <c r="G545" s="4">
        <v>525554.50699999998</v>
      </c>
      <c r="H545" s="5">
        <f>2760 / 86400</f>
        <v>3.1944444444444442E-2</v>
      </c>
      <c r="I545" t="s">
        <v>244</v>
      </c>
      <c r="J545" t="s">
        <v>31</v>
      </c>
      <c r="K545" s="5">
        <f>7418 / 86400</f>
        <v>8.5856481481481478E-2</v>
      </c>
      <c r="L545" s="5">
        <f>484 / 86400</f>
        <v>5.6018518518518518E-3</v>
      </c>
    </row>
    <row r="546" spans="1:12" x14ac:dyDescent="0.25">
      <c r="A546" s="3">
        <v>45692.890902777777</v>
      </c>
      <c r="B546" t="s">
        <v>178</v>
      </c>
      <c r="C546" s="3">
        <v>45692.891064814816</v>
      </c>
      <c r="D546" t="s">
        <v>178</v>
      </c>
      <c r="E546" s="4">
        <v>1.7999999999999999E-2</v>
      </c>
      <c r="F546" s="4">
        <v>525554.50699999998</v>
      </c>
      <c r="G546" s="4">
        <v>525554.52500000002</v>
      </c>
      <c r="H546" s="5">
        <f>0 / 86400</f>
        <v>0</v>
      </c>
      <c r="I546" t="s">
        <v>119</v>
      </c>
      <c r="J546" t="s">
        <v>119</v>
      </c>
      <c r="K546" s="5">
        <f>14 / 86400</f>
        <v>1.6203703703703703E-4</v>
      </c>
      <c r="L546" s="5">
        <f>689 / 86400</f>
        <v>7.9745370370370369E-3</v>
      </c>
    </row>
    <row r="547" spans="1:12" x14ac:dyDescent="0.25">
      <c r="A547" s="3">
        <v>45692.899039351847</v>
      </c>
      <c r="B547" t="s">
        <v>178</v>
      </c>
      <c r="C547" s="3">
        <v>45692.988738425927</v>
      </c>
      <c r="D547" t="s">
        <v>74</v>
      </c>
      <c r="E547" s="4">
        <v>43.986000000059605</v>
      </c>
      <c r="F547" s="4">
        <v>525554.52500000002</v>
      </c>
      <c r="G547" s="4">
        <v>525598.51100000006</v>
      </c>
      <c r="H547" s="5">
        <f>2840 / 86400</f>
        <v>3.2870370370370369E-2</v>
      </c>
      <c r="I547" t="s">
        <v>75</v>
      </c>
      <c r="J547" t="s">
        <v>114</v>
      </c>
      <c r="K547" s="5">
        <f>7750 / 86400</f>
        <v>8.969907407407407E-2</v>
      </c>
      <c r="L547" s="5">
        <f>972 / 86400</f>
        <v>1.125E-2</v>
      </c>
    </row>
    <row r="548" spans="1:12" x14ac:dyDescent="0.25">
      <c r="A548" s="12"/>
      <c r="B548" s="12"/>
      <c r="C548" s="12"/>
      <c r="D548" s="12"/>
      <c r="E548" s="12"/>
      <c r="F548" s="12"/>
      <c r="G548" s="12"/>
      <c r="H548" s="12"/>
      <c r="I548" s="12"/>
      <c r="J548" s="12"/>
    </row>
    <row r="549" spans="1:12" x14ac:dyDescent="0.25">
      <c r="A549" s="12"/>
      <c r="B549" s="12"/>
      <c r="C549" s="12"/>
      <c r="D549" s="12"/>
      <c r="E549" s="12"/>
      <c r="F549" s="12"/>
      <c r="G549" s="12"/>
      <c r="H549" s="12"/>
      <c r="I549" s="12"/>
      <c r="J549" s="12"/>
    </row>
    <row r="550" spans="1:12" s="10" customFormat="1" ht="20.100000000000001" customHeight="1" x14ac:dyDescent="0.35">
      <c r="A550" s="15" t="s">
        <v>311</v>
      </c>
      <c r="B550" s="15"/>
      <c r="C550" s="15"/>
      <c r="D550" s="15"/>
      <c r="E550" s="15"/>
      <c r="F550" s="15"/>
      <c r="G550" s="15"/>
      <c r="H550" s="15"/>
      <c r="I550" s="15"/>
      <c r="J550" s="15"/>
    </row>
    <row r="551" spans="1:12" x14ac:dyDescent="0.25">
      <c r="A551" s="12"/>
      <c r="B551" s="12"/>
      <c r="C551" s="12"/>
      <c r="D551" s="12"/>
      <c r="E551" s="12"/>
      <c r="F551" s="12"/>
      <c r="G551" s="12"/>
      <c r="H551" s="12"/>
      <c r="I551" s="12"/>
      <c r="J551" s="12"/>
    </row>
    <row r="552" spans="1:12" ht="30" x14ac:dyDescent="0.25">
      <c r="A552" s="2" t="s">
        <v>6</v>
      </c>
      <c r="B552" s="2" t="s">
        <v>7</v>
      </c>
      <c r="C552" s="2" t="s">
        <v>8</v>
      </c>
      <c r="D552" s="2" t="s">
        <v>9</v>
      </c>
      <c r="E552" s="2" t="s">
        <v>10</v>
      </c>
      <c r="F552" s="2" t="s">
        <v>11</v>
      </c>
      <c r="G552" s="2" t="s">
        <v>12</v>
      </c>
      <c r="H552" s="2" t="s">
        <v>13</v>
      </c>
      <c r="I552" s="2" t="s">
        <v>14</v>
      </c>
      <c r="J552" s="2" t="s">
        <v>15</v>
      </c>
      <c r="K552" s="2" t="s">
        <v>16</v>
      </c>
      <c r="L552" s="2" t="s">
        <v>17</v>
      </c>
    </row>
    <row r="553" spans="1:12" x14ac:dyDescent="0.25">
      <c r="A553" s="3">
        <v>45692.199537037042</v>
      </c>
      <c r="B553" t="s">
        <v>26</v>
      </c>
      <c r="C553" s="3">
        <v>45692.211053240739</v>
      </c>
      <c r="D553" t="s">
        <v>218</v>
      </c>
      <c r="E553" s="4">
        <v>4.266</v>
      </c>
      <c r="F553" s="4">
        <v>566135.96699999995</v>
      </c>
      <c r="G553" s="4">
        <v>566140.23300000001</v>
      </c>
      <c r="H553" s="5">
        <f>439 / 86400</f>
        <v>5.0810185185185186E-3</v>
      </c>
      <c r="I553" t="s">
        <v>157</v>
      </c>
      <c r="J553" t="s">
        <v>20</v>
      </c>
      <c r="K553" s="5">
        <f>994 / 86400</f>
        <v>1.150462962962963E-2</v>
      </c>
      <c r="L553" s="5">
        <f>17630 / 86400</f>
        <v>0.20405092592592591</v>
      </c>
    </row>
    <row r="554" spans="1:12" x14ac:dyDescent="0.25">
      <c r="A554" s="3">
        <v>45692.215567129635</v>
      </c>
      <c r="B554" t="s">
        <v>218</v>
      </c>
      <c r="C554" s="3">
        <v>45692.215717592597</v>
      </c>
      <c r="D554" t="s">
        <v>218</v>
      </c>
      <c r="E554" s="4">
        <v>1.2E-2</v>
      </c>
      <c r="F554" s="4">
        <v>566140.23300000001</v>
      </c>
      <c r="G554" s="4">
        <v>566140.245</v>
      </c>
      <c r="H554" s="5">
        <f>0 / 86400</f>
        <v>0</v>
      </c>
      <c r="I554" t="s">
        <v>43</v>
      </c>
      <c r="J554" t="s">
        <v>140</v>
      </c>
      <c r="K554" s="5">
        <f>13 / 86400</f>
        <v>1.5046296296296297E-4</v>
      </c>
      <c r="L554" s="5">
        <f>15 / 86400</f>
        <v>1.7361111111111112E-4</v>
      </c>
    </row>
    <row r="555" spans="1:12" x14ac:dyDescent="0.25">
      <c r="A555" s="3">
        <v>45692.215891203705</v>
      </c>
      <c r="B555" t="s">
        <v>218</v>
      </c>
      <c r="C555" s="3">
        <v>45692.216006944444</v>
      </c>
      <c r="D555" t="s">
        <v>218</v>
      </c>
      <c r="E555" s="4">
        <v>3.0000000000000001E-3</v>
      </c>
      <c r="F555" s="4">
        <v>566140.245</v>
      </c>
      <c r="G555" s="4">
        <v>566140.24800000002</v>
      </c>
      <c r="H555" s="5">
        <f>0 / 86400</f>
        <v>0</v>
      </c>
      <c r="I555" t="s">
        <v>55</v>
      </c>
      <c r="J555" t="s">
        <v>125</v>
      </c>
      <c r="K555" s="5">
        <f>10 / 86400</f>
        <v>1.1574074074074075E-4</v>
      </c>
      <c r="L555" s="5">
        <f>107 / 86400</f>
        <v>1.238425925925926E-3</v>
      </c>
    </row>
    <row r="556" spans="1:12" x14ac:dyDescent="0.25">
      <c r="A556" s="3">
        <v>45692.217245370368</v>
      </c>
      <c r="B556" t="s">
        <v>218</v>
      </c>
      <c r="C556" s="3">
        <v>45692.21739583333</v>
      </c>
      <c r="D556" t="s">
        <v>218</v>
      </c>
      <c r="E556" s="4">
        <v>2E-3</v>
      </c>
      <c r="F556" s="4">
        <v>566140.24800000002</v>
      </c>
      <c r="G556" s="4">
        <v>566140.25</v>
      </c>
      <c r="H556" s="5">
        <f>0 / 86400</f>
        <v>0</v>
      </c>
      <c r="I556" t="s">
        <v>55</v>
      </c>
      <c r="J556" t="s">
        <v>125</v>
      </c>
      <c r="K556" s="5">
        <f>13 / 86400</f>
        <v>1.5046296296296297E-4</v>
      </c>
      <c r="L556" s="5">
        <f>378 / 86400</f>
        <v>4.3750000000000004E-3</v>
      </c>
    </row>
    <row r="557" spans="1:12" x14ac:dyDescent="0.25">
      <c r="A557" s="3">
        <v>45692.221770833334</v>
      </c>
      <c r="B557" t="s">
        <v>218</v>
      </c>
      <c r="C557" s="3">
        <v>45692.317094907412</v>
      </c>
      <c r="D557" t="s">
        <v>246</v>
      </c>
      <c r="E557" s="4">
        <v>33.927999999999997</v>
      </c>
      <c r="F557" s="4">
        <v>566140.25</v>
      </c>
      <c r="G557" s="4">
        <v>566174.17799999996</v>
      </c>
      <c r="H557" s="5">
        <f>3259 / 86400</f>
        <v>3.771990740740741E-2</v>
      </c>
      <c r="I557" t="s">
        <v>220</v>
      </c>
      <c r="J557" t="s">
        <v>20</v>
      </c>
      <c r="K557" s="5">
        <f>8236 / 86400</f>
        <v>9.5324074074074075E-2</v>
      </c>
      <c r="L557" s="5">
        <f>33 / 86400</f>
        <v>3.8194444444444446E-4</v>
      </c>
    </row>
    <row r="558" spans="1:12" x14ac:dyDescent="0.25">
      <c r="A558" s="3">
        <v>45692.317476851851</v>
      </c>
      <c r="B558" t="s">
        <v>246</v>
      </c>
      <c r="C558" s="3">
        <v>45692.345590277779</v>
      </c>
      <c r="D558" t="s">
        <v>247</v>
      </c>
      <c r="E558" s="4">
        <v>9.2309999999999999</v>
      </c>
      <c r="F558" s="4">
        <v>566174.17799999996</v>
      </c>
      <c r="G558" s="4">
        <v>566183.40899999999</v>
      </c>
      <c r="H558" s="5">
        <f>660 / 86400</f>
        <v>7.6388888888888886E-3</v>
      </c>
      <c r="I558" t="s">
        <v>164</v>
      </c>
      <c r="J558" t="s">
        <v>28</v>
      </c>
      <c r="K558" s="5">
        <f>2429 / 86400</f>
        <v>2.8113425925925927E-2</v>
      </c>
      <c r="L558" s="5">
        <f>50 / 86400</f>
        <v>5.7870370370370367E-4</v>
      </c>
    </row>
    <row r="559" spans="1:12" x14ac:dyDescent="0.25">
      <c r="A559" s="3">
        <v>45692.346168981487</v>
      </c>
      <c r="B559" t="s">
        <v>247</v>
      </c>
      <c r="C559" s="3">
        <v>45692.346284722225</v>
      </c>
      <c r="D559" t="s">
        <v>247</v>
      </c>
      <c r="E559" s="4">
        <v>0</v>
      </c>
      <c r="F559" s="4">
        <v>566183.40899999999</v>
      </c>
      <c r="G559" s="4">
        <v>566183.40899999999</v>
      </c>
      <c r="H559" s="5">
        <f>0 / 86400</f>
        <v>0</v>
      </c>
      <c r="I559" t="s">
        <v>55</v>
      </c>
      <c r="J559" t="s">
        <v>55</v>
      </c>
      <c r="K559" s="5">
        <f>9 / 86400</f>
        <v>1.0416666666666667E-4</v>
      </c>
      <c r="L559" s="5">
        <f>2679 / 86400</f>
        <v>3.1006944444444445E-2</v>
      </c>
    </row>
    <row r="560" spans="1:12" x14ac:dyDescent="0.25">
      <c r="A560" s="3">
        <v>45692.377291666664</v>
      </c>
      <c r="B560" t="s">
        <v>247</v>
      </c>
      <c r="C560" s="3">
        <v>45692.458090277782</v>
      </c>
      <c r="D560" t="s">
        <v>40</v>
      </c>
      <c r="E560" s="4">
        <v>39.798000000000002</v>
      </c>
      <c r="F560" s="4">
        <v>566183.40899999999</v>
      </c>
      <c r="G560" s="4">
        <v>566223.20700000005</v>
      </c>
      <c r="H560" s="5">
        <f>1756 / 86400</f>
        <v>2.0324074074074074E-2</v>
      </c>
      <c r="I560" t="s">
        <v>59</v>
      </c>
      <c r="J560" t="s">
        <v>142</v>
      </c>
      <c r="K560" s="5">
        <f>6981 / 86400</f>
        <v>8.0798611111111113E-2</v>
      </c>
      <c r="L560" s="5">
        <f>1882 / 86400</f>
        <v>2.1782407407407407E-2</v>
      </c>
    </row>
    <row r="561" spans="1:12" x14ac:dyDescent="0.25">
      <c r="A561" s="3">
        <v>45692.479872685188</v>
      </c>
      <c r="B561" t="s">
        <v>40</v>
      </c>
      <c r="C561" s="3">
        <v>45692.483854166669</v>
      </c>
      <c r="D561" t="s">
        <v>148</v>
      </c>
      <c r="E561" s="4">
        <v>1.234</v>
      </c>
      <c r="F561" s="4">
        <v>566223.20700000005</v>
      </c>
      <c r="G561" s="4">
        <v>566224.44099999999</v>
      </c>
      <c r="H561" s="5">
        <f>20 / 86400</f>
        <v>2.3148148148148149E-4</v>
      </c>
      <c r="I561" t="s">
        <v>122</v>
      </c>
      <c r="J561" t="s">
        <v>58</v>
      </c>
      <c r="K561" s="5">
        <f>343 / 86400</f>
        <v>3.9699074074074072E-3</v>
      </c>
      <c r="L561" s="5">
        <f>661 / 86400</f>
        <v>7.6504629629629631E-3</v>
      </c>
    </row>
    <row r="562" spans="1:12" x14ac:dyDescent="0.25">
      <c r="A562" s="3">
        <v>45692.49150462963</v>
      </c>
      <c r="B562" t="s">
        <v>148</v>
      </c>
      <c r="C562" s="3">
        <v>45692.618923611109</v>
      </c>
      <c r="D562" t="s">
        <v>156</v>
      </c>
      <c r="E562" s="4">
        <v>50.317999999999998</v>
      </c>
      <c r="F562" s="4">
        <v>566224.44099999999</v>
      </c>
      <c r="G562" s="4">
        <v>566274.75899999996</v>
      </c>
      <c r="H562" s="5">
        <f>3939 / 86400</f>
        <v>4.5590277777777778E-2</v>
      </c>
      <c r="I562" t="s">
        <v>67</v>
      </c>
      <c r="J562" t="s">
        <v>36</v>
      </c>
      <c r="K562" s="5">
        <f>11008 / 86400</f>
        <v>0.12740740740740741</v>
      </c>
      <c r="L562" s="5">
        <f>1803 / 86400</f>
        <v>2.0868055555555556E-2</v>
      </c>
    </row>
    <row r="563" spans="1:12" x14ac:dyDescent="0.25">
      <c r="A563" s="3">
        <v>45692.639791666668</v>
      </c>
      <c r="B563" t="s">
        <v>156</v>
      </c>
      <c r="C563" s="3">
        <v>45692.767268518517</v>
      </c>
      <c r="D563" t="s">
        <v>34</v>
      </c>
      <c r="E563" s="4">
        <v>39.53</v>
      </c>
      <c r="F563" s="4">
        <v>566274.75899999996</v>
      </c>
      <c r="G563" s="4">
        <v>566314.28899999999</v>
      </c>
      <c r="H563" s="5">
        <f>3979 / 86400</f>
        <v>4.6053240740740742E-2</v>
      </c>
      <c r="I563" t="s">
        <v>248</v>
      </c>
      <c r="J563" t="s">
        <v>58</v>
      </c>
      <c r="K563" s="5">
        <f>11013 / 86400</f>
        <v>0.12746527777777777</v>
      </c>
      <c r="L563" s="5">
        <f>451 / 86400</f>
        <v>5.2199074074074075E-3</v>
      </c>
    </row>
    <row r="564" spans="1:12" x14ac:dyDescent="0.25">
      <c r="A564" s="3">
        <v>45692.772488425922</v>
      </c>
      <c r="B564" t="s">
        <v>34</v>
      </c>
      <c r="C564" s="3">
        <v>45692.776851851857</v>
      </c>
      <c r="D564" t="s">
        <v>34</v>
      </c>
      <c r="E564" s="4">
        <v>1.425</v>
      </c>
      <c r="F564" s="4">
        <v>566314.28899999999</v>
      </c>
      <c r="G564" s="4">
        <v>566315.71400000004</v>
      </c>
      <c r="H564" s="5">
        <f>139 / 86400</f>
        <v>1.6087962962962963E-3</v>
      </c>
      <c r="I564" t="s">
        <v>130</v>
      </c>
      <c r="J564" t="s">
        <v>28</v>
      </c>
      <c r="K564" s="5">
        <f>377 / 86400</f>
        <v>4.363425925925926E-3</v>
      </c>
      <c r="L564" s="5">
        <f>19279 / 86400</f>
        <v>0.22313657407407408</v>
      </c>
    </row>
    <row r="565" spans="1:12" x14ac:dyDescent="0.25">
      <c r="A565" s="12"/>
      <c r="B565" s="12"/>
      <c r="C565" s="12"/>
      <c r="D565" s="12"/>
      <c r="E565" s="12"/>
      <c r="F565" s="12"/>
      <c r="G565" s="12"/>
      <c r="H565" s="12"/>
      <c r="I565" s="12"/>
      <c r="J565" s="12"/>
    </row>
    <row r="566" spans="1:12" x14ac:dyDescent="0.25">
      <c r="A566" s="12"/>
      <c r="B566" s="12"/>
      <c r="C566" s="12"/>
      <c r="D566" s="12"/>
      <c r="E566" s="12"/>
      <c r="F566" s="12"/>
      <c r="G566" s="12"/>
      <c r="H566" s="12"/>
      <c r="I566" s="12"/>
      <c r="J566" s="12"/>
    </row>
    <row r="567" spans="1:12" s="10" customFormat="1" ht="20.100000000000001" customHeight="1" x14ac:dyDescent="0.35">
      <c r="A567" s="15" t="s">
        <v>312</v>
      </c>
      <c r="B567" s="15"/>
      <c r="C567" s="15"/>
      <c r="D567" s="15"/>
      <c r="E567" s="15"/>
      <c r="F567" s="15"/>
      <c r="G567" s="15"/>
      <c r="H567" s="15"/>
      <c r="I567" s="15"/>
      <c r="J567" s="15"/>
    </row>
    <row r="568" spans="1:12" x14ac:dyDescent="0.25">
      <c r="A568" s="12"/>
      <c r="B568" s="12"/>
      <c r="C568" s="12"/>
      <c r="D568" s="12"/>
      <c r="E568" s="12"/>
      <c r="F568" s="12"/>
      <c r="G568" s="12"/>
      <c r="H568" s="12"/>
      <c r="I568" s="12"/>
      <c r="J568" s="12"/>
    </row>
    <row r="569" spans="1:12" ht="30" x14ac:dyDescent="0.25">
      <c r="A569" s="2" t="s">
        <v>6</v>
      </c>
      <c r="B569" s="2" t="s">
        <v>7</v>
      </c>
      <c r="C569" s="2" t="s">
        <v>8</v>
      </c>
      <c r="D569" s="2" t="s">
        <v>9</v>
      </c>
      <c r="E569" s="2" t="s">
        <v>10</v>
      </c>
      <c r="F569" s="2" t="s">
        <v>11</v>
      </c>
      <c r="G569" s="2" t="s">
        <v>12</v>
      </c>
      <c r="H569" s="2" t="s">
        <v>13</v>
      </c>
      <c r="I569" s="2" t="s">
        <v>14</v>
      </c>
      <c r="J569" s="2" t="s">
        <v>15</v>
      </c>
      <c r="K569" s="2" t="s">
        <v>16</v>
      </c>
      <c r="L569" s="2" t="s">
        <v>17</v>
      </c>
    </row>
    <row r="570" spans="1:12" x14ac:dyDescent="0.25">
      <c r="A570" s="3">
        <v>45692.286087962959</v>
      </c>
      <c r="B570" t="s">
        <v>76</v>
      </c>
      <c r="C570" s="3">
        <v>45692.358182870375</v>
      </c>
      <c r="D570" t="s">
        <v>148</v>
      </c>
      <c r="E570" s="4">
        <v>38.048000000000002</v>
      </c>
      <c r="F570" s="4">
        <v>434170.58</v>
      </c>
      <c r="G570" s="4">
        <v>434208.62800000003</v>
      </c>
      <c r="H570" s="5">
        <f>1139 / 86400</f>
        <v>1.3182870370370371E-2</v>
      </c>
      <c r="I570" t="s">
        <v>220</v>
      </c>
      <c r="J570" t="s">
        <v>122</v>
      </c>
      <c r="K570" s="5">
        <f>6228 / 86400</f>
        <v>7.2083333333333333E-2</v>
      </c>
      <c r="L570" s="5">
        <f>26829 / 86400</f>
        <v>0.31052083333333336</v>
      </c>
    </row>
    <row r="571" spans="1:12" x14ac:dyDescent="0.25">
      <c r="A571" s="3">
        <v>45692.382615740746</v>
      </c>
      <c r="B571" t="s">
        <v>148</v>
      </c>
      <c r="C571" s="3">
        <v>45692.385868055557</v>
      </c>
      <c r="D571" t="s">
        <v>146</v>
      </c>
      <c r="E571" s="4">
        <v>1.1060000000000001</v>
      </c>
      <c r="F571" s="4">
        <v>434208.62800000003</v>
      </c>
      <c r="G571" s="4">
        <v>434209.734</v>
      </c>
      <c r="H571" s="5">
        <f>39 / 86400</f>
        <v>4.5138888888888887E-4</v>
      </c>
      <c r="I571" t="s">
        <v>150</v>
      </c>
      <c r="J571" t="s">
        <v>28</v>
      </c>
      <c r="K571" s="5">
        <f>280 / 86400</f>
        <v>3.2407407407407406E-3</v>
      </c>
      <c r="L571" s="5">
        <f>2836 / 86400</f>
        <v>3.2824074074074075E-2</v>
      </c>
    </row>
    <row r="572" spans="1:12" x14ac:dyDescent="0.25">
      <c r="A572" s="3">
        <v>45692.418692129635</v>
      </c>
      <c r="B572" t="s">
        <v>146</v>
      </c>
      <c r="C572" s="3">
        <v>45692.420486111107</v>
      </c>
      <c r="D572" t="s">
        <v>128</v>
      </c>
      <c r="E572" s="4">
        <v>0.104</v>
      </c>
      <c r="F572" s="4">
        <v>434209.734</v>
      </c>
      <c r="G572" s="4">
        <v>434209.83799999999</v>
      </c>
      <c r="H572" s="5">
        <f>99 / 86400</f>
        <v>1.1458333333333333E-3</v>
      </c>
      <c r="I572" t="s">
        <v>135</v>
      </c>
      <c r="J572" t="s">
        <v>161</v>
      </c>
      <c r="K572" s="5">
        <f>154 / 86400</f>
        <v>1.7824074074074075E-3</v>
      </c>
      <c r="L572" s="5">
        <f>979 / 86400</f>
        <v>1.1331018518518518E-2</v>
      </c>
    </row>
    <row r="573" spans="1:12" x14ac:dyDescent="0.25">
      <c r="A573" s="3">
        <v>45692.431817129633</v>
      </c>
      <c r="B573" t="s">
        <v>146</v>
      </c>
      <c r="C573" s="3">
        <v>45692.431967592594</v>
      </c>
      <c r="D573" t="s">
        <v>146</v>
      </c>
      <c r="E573" s="4">
        <v>0</v>
      </c>
      <c r="F573" s="4">
        <v>434209.83799999999</v>
      </c>
      <c r="G573" s="4">
        <v>434209.83799999999</v>
      </c>
      <c r="H573" s="5">
        <f>0 / 86400</f>
        <v>0</v>
      </c>
      <c r="I573" t="s">
        <v>55</v>
      </c>
      <c r="J573" t="s">
        <v>55</v>
      </c>
      <c r="K573" s="5">
        <f>13 / 86400</f>
        <v>1.5046296296296297E-4</v>
      </c>
      <c r="L573" s="5">
        <f>137 / 86400</f>
        <v>1.5856481481481481E-3</v>
      </c>
    </row>
    <row r="574" spans="1:12" x14ac:dyDescent="0.25">
      <c r="A574" s="3">
        <v>45692.433553240742</v>
      </c>
      <c r="B574" t="s">
        <v>146</v>
      </c>
      <c r="C574" s="3">
        <v>45692.677199074074</v>
      </c>
      <c r="D574" t="s">
        <v>128</v>
      </c>
      <c r="E574" s="4">
        <v>100.70399999999999</v>
      </c>
      <c r="F574" s="4">
        <v>434209.83799999999</v>
      </c>
      <c r="G574" s="4">
        <v>434310.54200000002</v>
      </c>
      <c r="H574" s="5">
        <f>6639 / 86400</f>
        <v>7.6840277777777771E-2</v>
      </c>
      <c r="I574" t="s">
        <v>65</v>
      </c>
      <c r="J574" t="s">
        <v>25</v>
      </c>
      <c r="K574" s="5">
        <f>21050 / 86400</f>
        <v>0.24363425925925927</v>
      </c>
      <c r="L574" s="5">
        <f>3060 / 86400</f>
        <v>3.5416666666666666E-2</v>
      </c>
    </row>
    <row r="575" spans="1:12" x14ac:dyDescent="0.25">
      <c r="A575" s="3">
        <v>45692.71261574074</v>
      </c>
      <c r="B575" t="s">
        <v>146</v>
      </c>
      <c r="C575" s="3">
        <v>45692.715439814812</v>
      </c>
      <c r="D575" t="s">
        <v>128</v>
      </c>
      <c r="E575" s="4">
        <v>0.28699999999999998</v>
      </c>
      <c r="F575" s="4">
        <v>434310.54200000002</v>
      </c>
      <c r="G575" s="4">
        <v>434310.82900000003</v>
      </c>
      <c r="H575" s="5">
        <f>119 / 86400</f>
        <v>1.3773148148148147E-3</v>
      </c>
      <c r="I575" t="s">
        <v>122</v>
      </c>
      <c r="J575" t="s">
        <v>160</v>
      </c>
      <c r="K575" s="5">
        <f>243 / 86400</f>
        <v>2.8124999999999999E-3</v>
      </c>
      <c r="L575" s="5">
        <f>878 / 86400</f>
        <v>1.0162037037037037E-2</v>
      </c>
    </row>
    <row r="576" spans="1:12" x14ac:dyDescent="0.25">
      <c r="A576" s="3">
        <v>45692.725601851853</v>
      </c>
      <c r="B576" t="s">
        <v>128</v>
      </c>
      <c r="C576" s="3">
        <v>45692.726064814815</v>
      </c>
      <c r="D576" t="s">
        <v>128</v>
      </c>
      <c r="E576" s="4">
        <v>0.01</v>
      </c>
      <c r="F576" s="4">
        <v>434310.82900000003</v>
      </c>
      <c r="G576" s="4">
        <v>434310.83899999998</v>
      </c>
      <c r="H576" s="5">
        <f>0 / 86400</f>
        <v>0</v>
      </c>
      <c r="I576" t="s">
        <v>140</v>
      </c>
      <c r="J576" t="s">
        <v>125</v>
      </c>
      <c r="K576" s="5">
        <f>39 / 86400</f>
        <v>4.5138888888888887E-4</v>
      </c>
      <c r="L576" s="5">
        <f>3195 / 86400</f>
        <v>3.6979166666666667E-2</v>
      </c>
    </row>
    <row r="577" spans="1:12" x14ac:dyDescent="0.25">
      <c r="A577" s="3">
        <v>45692.763043981482</v>
      </c>
      <c r="B577" t="s">
        <v>128</v>
      </c>
      <c r="C577" s="3">
        <v>45692.916805555556</v>
      </c>
      <c r="D577" t="s">
        <v>249</v>
      </c>
      <c r="E577" s="4">
        <v>63.078000000000003</v>
      </c>
      <c r="F577" s="4">
        <v>434310.83899999998</v>
      </c>
      <c r="G577" s="4">
        <v>434373.91700000002</v>
      </c>
      <c r="H577" s="5">
        <f>4120 / 86400</f>
        <v>4.7685185185185185E-2</v>
      </c>
      <c r="I577" t="s">
        <v>65</v>
      </c>
      <c r="J577" t="s">
        <v>25</v>
      </c>
      <c r="K577" s="5">
        <f>13284 / 86400</f>
        <v>0.15375</v>
      </c>
      <c r="L577" s="5">
        <f>249 / 86400</f>
        <v>2.8819444444444444E-3</v>
      </c>
    </row>
    <row r="578" spans="1:12" x14ac:dyDescent="0.25">
      <c r="A578" s="3">
        <v>45692.919687500005</v>
      </c>
      <c r="B578" t="s">
        <v>249</v>
      </c>
      <c r="C578" s="3">
        <v>45692.920902777776</v>
      </c>
      <c r="D578" t="s">
        <v>250</v>
      </c>
      <c r="E578" s="4">
        <v>0.12</v>
      </c>
      <c r="F578" s="4">
        <v>434373.91700000002</v>
      </c>
      <c r="G578" s="4">
        <v>434374.03700000001</v>
      </c>
      <c r="H578" s="5">
        <f>39 / 86400</f>
        <v>4.5138888888888887E-4</v>
      </c>
      <c r="I578" t="s">
        <v>158</v>
      </c>
      <c r="J578" t="s">
        <v>160</v>
      </c>
      <c r="K578" s="5">
        <f>104 / 86400</f>
        <v>1.2037037037037038E-3</v>
      </c>
      <c r="L578" s="5">
        <f>513 / 86400</f>
        <v>5.9375000000000001E-3</v>
      </c>
    </row>
    <row r="579" spans="1:12" x14ac:dyDescent="0.25">
      <c r="A579" s="3">
        <v>45692.926840277782</v>
      </c>
      <c r="B579" t="s">
        <v>250</v>
      </c>
      <c r="C579" s="3">
        <v>45692.934710648144</v>
      </c>
      <c r="D579" t="s">
        <v>251</v>
      </c>
      <c r="E579" s="4">
        <v>3.363</v>
      </c>
      <c r="F579" s="4">
        <v>434374.03700000001</v>
      </c>
      <c r="G579" s="4">
        <v>434377.4</v>
      </c>
      <c r="H579" s="5">
        <f>120 / 86400</f>
        <v>1.3888888888888889E-3</v>
      </c>
      <c r="I579" t="s">
        <v>232</v>
      </c>
      <c r="J579" t="s">
        <v>31</v>
      </c>
      <c r="K579" s="5">
        <f>679 / 86400</f>
        <v>7.858796296296296E-3</v>
      </c>
      <c r="L579" s="5">
        <f>4180 / 86400</f>
        <v>4.8379629629629627E-2</v>
      </c>
    </row>
    <row r="580" spans="1:12" x14ac:dyDescent="0.25">
      <c r="A580" s="3">
        <v>45692.983090277776</v>
      </c>
      <c r="B580" t="s">
        <v>251</v>
      </c>
      <c r="C580" s="3">
        <v>45692.989039351851</v>
      </c>
      <c r="D580" t="s">
        <v>76</v>
      </c>
      <c r="E580" s="4">
        <v>0.76700000000000002</v>
      </c>
      <c r="F580" s="4">
        <v>434377.4</v>
      </c>
      <c r="G580" s="4">
        <v>434378.16700000002</v>
      </c>
      <c r="H580" s="5">
        <f>200 / 86400</f>
        <v>2.3148148148148147E-3</v>
      </c>
      <c r="I580" t="s">
        <v>152</v>
      </c>
      <c r="J580" t="s">
        <v>119</v>
      </c>
      <c r="K580" s="5">
        <f>514 / 86400</f>
        <v>5.9490740740740745E-3</v>
      </c>
      <c r="L580" s="5">
        <f>317 / 86400</f>
        <v>3.6689814814814814E-3</v>
      </c>
    </row>
    <row r="581" spans="1:12" x14ac:dyDescent="0.25">
      <c r="A581" s="3">
        <v>45692.992708333331</v>
      </c>
      <c r="B581" t="s">
        <v>76</v>
      </c>
      <c r="C581" s="3">
        <v>45692.993171296301</v>
      </c>
      <c r="D581" t="s">
        <v>76</v>
      </c>
      <c r="E581" s="4">
        <v>0</v>
      </c>
      <c r="F581" s="4">
        <v>434378.16700000002</v>
      </c>
      <c r="G581" s="4">
        <v>434378.16700000002</v>
      </c>
      <c r="H581" s="5">
        <f>19 / 86400</f>
        <v>2.199074074074074E-4</v>
      </c>
      <c r="I581" t="s">
        <v>55</v>
      </c>
      <c r="J581" t="s">
        <v>55</v>
      </c>
      <c r="K581" s="5">
        <f>40 / 86400</f>
        <v>4.6296296296296298E-4</v>
      </c>
      <c r="L581" s="5">
        <f>20 / 86400</f>
        <v>2.3148148148148149E-4</v>
      </c>
    </row>
    <row r="582" spans="1:12" x14ac:dyDescent="0.25">
      <c r="A582" s="3">
        <v>45692.993402777778</v>
      </c>
      <c r="B582" t="s">
        <v>76</v>
      </c>
      <c r="C582" s="3">
        <v>45692.993761574078</v>
      </c>
      <c r="D582" t="s">
        <v>76</v>
      </c>
      <c r="E582" s="4">
        <v>0</v>
      </c>
      <c r="F582" s="4">
        <v>434378.16700000002</v>
      </c>
      <c r="G582" s="4">
        <v>434378.16700000002</v>
      </c>
      <c r="H582" s="5">
        <f>19 / 86400</f>
        <v>2.199074074074074E-4</v>
      </c>
      <c r="I582" t="s">
        <v>55</v>
      </c>
      <c r="J582" t="s">
        <v>55</v>
      </c>
      <c r="K582" s="5">
        <f>30 / 86400</f>
        <v>3.4722222222222224E-4</v>
      </c>
      <c r="L582" s="5">
        <f>538 / 86400</f>
        <v>6.2268518518518515E-3</v>
      </c>
    </row>
    <row r="583" spans="1:12" x14ac:dyDescent="0.25">
      <c r="A583" s="12"/>
      <c r="B583" s="12"/>
      <c r="C583" s="12"/>
      <c r="D583" s="12"/>
      <c r="E583" s="12"/>
      <c r="F583" s="12"/>
      <c r="G583" s="12"/>
      <c r="H583" s="12"/>
      <c r="I583" s="12"/>
      <c r="J583" s="12"/>
    </row>
    <row r="584" spans="1:12" x14ac:dyDescent="0.25">
      <c r="A584" s="12"/>
      <c r="B584" s="12"/>
      <c r="C584" s="12"/>
      <c r="D584" s="12"/>
      <c r="E584" s="12"/>
      <c r="F584" s="12"/>
      <c r="G584" s="12"/>
      <c r="H584" s="12"/>
      <c r="I584" s="12"/>
      <c r="J584" s="12"/>
    </row>
    <row r="585" spans="1:12" s="10" customFormat="1" ht="20.100000000000001" customHeight="1" x14ac:dyDescent="0.35">
      <c r="A585" s="15" t="s">
        <v>313</v>
      </c>
      <c r="B585" s="15"/>
      <c r="C585" s="15"/>
      <c r="D585" s="15"/>
      <c r="E585" s="15"/>
      <c r="F585" s="15"/>
      <c r="G585" s="15"/>
      <c r="H585" s="15"/>
      <c r="I585" s="15"/>
      <c r="J585" s="15"/>
    </row>
    <row r="586" spans="1:12" x14ac:dyDescent="0.25">
      <c r="A586" s="12"/>
      <c r="B586" s="12"/>
      <c r="C586" s="12"/>
      <c r="D586" s="12"/>
      <c r="E586" s="12"/>
      <c r="F586" s="12"/>
      <c r="G586" s="12"/>
      <c r="H586" s="12"/>
      <c r="I586" s="12"/>
      <c r="J586" s="12"/>
    </row>
    <row r="587" spans="1:12" ht="30" x14ac:dyDescent="0.25">
      <c r="A587" s="2" t="s">
        <v>6</v>
      </c>
      <c r="B587" s="2" t="s">
        <v>7</v>
      </c>
      <c r="C587" s="2" t="s">
        <v>8</v>
      </c>
      <c r="D587" s="2" t="s">
        <v>9</v>
      </c>
      <c r="E587" s="2" t="s">
        <v>10</v>
      </c>
      <c r="F587" s="2" t="s">
        <v>11</v>
      </c>
      <c r="G587" s="2" t="s">
        <v>12</v>
      </c>
      <c r="H587" s="2" t="s">
        <v>13</v>
      </c>
      <c r="I587" s="2" t="s">
        <v>14</v>
      </c>
      <c r="J587" s="2" t="s">
        <v>15</v>
      </c>
      <c r="K587" s="2" t="s">
        <v>16</v>
      </c>
      <c r="L587" s="2" t="s">
        <v>17</v>
      </c>
    </row>
    <row r="588" spans="1:12" x14ac:dyDescent="0.25">
      <c r="A588" s="3">
        <v>45692.239074074074</v>
      </c>
      <c r="B588" t="s">
        <v>46</v>
      </c>
      <c r="C588" s="3">
        <v>45692.244259259256</v>
      </c>
      <c r="D588" t="s">
        <v>146</v>
      </c>
      <c r="E588" s="4">
        <v>0.874</v>
      </c>
      <c r="F588" s="4">
        <v>513570.212</v>
      </c>
      <c r="G588" s="4">
        <v>513571.08600000001</v>
      </c>
      <c r="H588" s="5">
        <f>240 / 86400</f>
        <v>2.7777777777777779E-3</v>
      </c>
      <c r="I588" t="s">
        <v>130</v>
      </c>
      <c r="J588" t="s">
        <v>43</v>
      </c>
      <c r="K588" s="5">
        <f>448 / 86400</f>
        <v>5.185185185185185E-3</v>
      </c>
      <c r="L588" s="5">
        <f>20663 / 86400</f>
        <v>0.2391550925925926</v>
      </c>
    </row>
    <row r="589" spans="1:12" x14ac:dyDescent="0.25">
      <c r="A589" s="3">
        <v>45692.244340277779</v>
      </c>
      <c r="B589" t="s">
        <v>146</v>
      </c>
      <c r="C589" s="3">
        <v>45692.246701388889</v>
      </c>
      <c r="D589" t="s">
        <v>186</v>
      </c>
      <c r="E589" s="4">
        <v>1.651</v>
      </c>
      <c r="F589" s="4">
        <v>513571.08600000001</v>
      </c>
      <c r="G589" s="4">
        <v>513572.73700000002</v>
      </c>
      <c r="H589" s="5">
        <f>121 / 86400</f>
        <v>1.4004629629629629E-3</v>
      </c>
      <c r="I589" t="s">
        <v>252</v>
      </c>
      <c r="J589" t="s">
        <v>155</v>
      </c>
      <c r="K589" s="5">
        <f>204 / 86400</f>
        <v>2.3611111111111111E-3</v>
      </c>
      <c r="L589" s="5">
        <f>12 / 86400</f>
        <v>1.3888888888888889E-4</v>
      </c>
    </row>
    <row r="590" spans="1:12" x14ac:dyDescent="0.25">
      <c r="A590" s="3">
        <v>45692.246840277774</v>
      </c>
      <c r="B590" t="s">
        <v>186</v>
      </c>
      <c r="C590" s="3">
        <v>45692.470960648148</v>
      </c>
      <c r="D590" t="s">
        <v>201</v>
      </c>
      <c r="E590" s="4">
        <v>102.97</v>
      </c>
      <c r="F590" s="4">
        <v>513572.76699999999</v>
      </c>
      <c r="G590" s="4">
        <v>513675.73700000002</v>
      </c>
      <c r="H590" s="5">
        <f>6004 / 86400</f>
        <v>6.9490740740740742E-2</v>
      </c>
      <c r="I590" t="s">
        <v>77</v>
      </c>
      <c r="J590" t="s">
        <v>70</v>
      </c>
      <c r="K590" s="5">
        <f>19364 / 86400</f>
        <v>0.22412037037037036</v>
      </c>
      <c r="L590" s="5">
        <f>2010 / 86400</f>
        <v>2.326388888888889E-2</v>
      </c>
    </row>
    <row r="591" spans="1:12" x14ac:dyDescent="0.25">
      <c r="A591" s="3">
        <v>45692.494224537033</v>
      </c>
      <c r="B591" t="s">
        <v>201</v>
      </c>
      <c r="C591" s="3">
        <v>45692.495937500003</v>
      </c>
      <c r="D591" t="s">
        <v>40</v>
      </c>
      <c r="E591" s="4">
        <v>0.20599999999999999</v>
      </c>
      <c r="F591" s="4">
        <v>513675.73700000002</v>
      </c>
      <c r="G591" s="4">
        <v>513675.94300000003</v>
      </c>
      <c r="H591" s="5">
        <f>30 / 86400</f>
        <v>3.4722222222222224E-4</v>
      </c>
      <c r="I591" t="s">
        <v>158</v>
      </c>
      <c r="J591" t="s">
        <v>119</v>
      </c>
      <c r="K591" s="5">
        <f>148 / 86400</f>
        <v>1.712962962962963E-3</v>
      </c>
      <c r="L591" s="5">
        <f>422 / 86400</f>
        <v>4.8842592592592592E-3</v>
      </c>
    </row>
    <row r="592" spans="1:12" x14ac:dyDescent="0.25">
      <c r="A592" s="3">
        <v>45692.500821759255</v>
      </c>
      <c r="B592" t="s">
        <v>40</v>
      </c>
      <c r="C592" s="3">
        <v>45692.505219907413</v>
      </c>
      <c r="D592" t="s">
        <v>148</v>
      </c>
      <c r="E592" s="4">
        <v>1.298</v>
      </c>
      <c r="F592" s="4">
        <v>513675.94300000003</v>
      </c>
      <c r="G592" s="4">
        <v>513677.24099999998</v>
      </c>
      <c r="H592" s="5">
        <f>0 / 86400</f>
        <v>0</v>
      </c>
      <c r="I592" t="s">
        <v>31</v>
      </c>
      <c r="J592" t="s">
        <v>90</v>
      </c>
      <c r="K592" s="5">
        <f>380 / 86400</f>
        <v>4.3981481481481484E-3</v>
      </c>
      <c r="L592" s="5">
        <f>1041 / 86400</f>
        <v>1.2048611111111111E-2</v>
      </c>
    </row>
    <row r="593" spans="1:12" x14ac:dyDescent="0.25">
      <c r="A593" s="3">
        <v>45692.517268518517</v>
      </c>
      <c r="B593" t="s">
        <v>148</v>
      </c>
      <c r="C593" s="3">
        <v>45692.546388888892</v>
      </c>
      <c r="D593" t="s">
        <v>104</v>
      </c>
      <c r="E593" s="4">
        <v>14.260999999999999</v>
      </c>
      <c r="F593" s="4">
        <v>513677.24099999998</v>
      </c>
      <c r="G593" s="4">
        <v>513691.50199999998</v>
      </c>
      <c r="H593" s="5">
        <f>780 / 86400</f>
        <v>9.0277777777777769E-3</v>
      </c>
      <c r="I593" t="s">
        <v>99</v>
      </c>
      <c r="J593" t="s">
        <v>114</v>
      </c>
      <c r="K593" s="5">
        <f>2516 / 86400</f>
        <v>2.9120370370370369E-2</v>
      </c>
      <c r="L593" s="5">
        <f>4 / 86400</f>
        <v>4.6296296296296294E-5</v>
      </c>
    </row>
    <row r="594" spans="1:12" x14ac:dyDescent="0.25">
      <c r="A594" s="3">
        <v>45692.546435185184</v>
      </c>
      <c r="B594" t="s">
        <v>171</v>
      </c>
      <c r="C594" s="3">
        <v>45692.584872685184</v>
      </c>
      <c r="D594" t="s">
        <v>253</v>
      </c>
      <c r="E594" s="4">
        <v>22.452999999999999</v>
      </c>
      <c r="F594" s="4">
        <v>513691.51400000002</v>
      </c>
      <c r="G594" s="4">
        <v>513713.967</v>
      </c>
      <c r="H594" s="5">
        <f>870 / 86400</f>
        <v>1.0069444444444445E-2</v>
      </c>
      <c r="I594" t="s">
        <v>220</v>
      </c>
      <c r="J594" t="s">
        <v>150</v>
      </c>
      <c r="K594" s="5">
        <f>3321 / 86400</f>
        <v>3.8437499999999999E-2</v>
      </c>
      <c r="L594" s="5">
        <f>30 / 86400</f>
        <v>3.4722222222222224E-4</v>
      </c>
    </row>
    <row r="595" spans="1:12" x14ac:dyDescent="0.25">
      <c r="A595" s="3">
        <v>45692.585219907407</v>
      </c>
      <c r="B595" t="s">
        <v>253</v>
      </c>
      <c r="C595" s="3">
        <v>45692.67768518519</v>
      </c>
      <c r="D595" t="s">
        <v>254</v>
      </c>
      <c r="E595" s="4">
        <v>28.335000000000001</v>
      </c>
      <c r="F595" s="4">
        <v>513714.30099999998</v>
      </c>
      <c r="G595" s="4">
        <v>513742.636</v>
      </c>
      <c r="H595" s="5">
        <f>3779 / 86400</f>
        <v>4.3738425925925924E-2</v>
      </c>
      <c r="I595" t="s">
        <v>185</v>
      </c>
      <c r="J595" t="s">
        <v>58</v>
      </c>
      <c r="K595" s="5">
        <f>7989 / 86400</f>
        <v>9.2465277777777771E-2</v>
      </c>
      <c r="L595" s="5">
        <f>4 / 86400</f>
        <v>4.6296296296296294E-5</v>
      </c>
    </row>
    <row r="596" spans="1:12" x14ac:dyDescent="0.25">
      <c r="A596" s="3">
        <v>45692.677731481483</v>
      </c>
      <c r="B596" t="s">
        <v>254</v>
      </c>
      <c r="C596" s="3">
        <v>45692.765578703707</v>
      </c>
      <c r="D596" t="s">
        <v>146</v>
      </c>
      <c r="E596" s="4">
        <v>40.043999999999997</v>
      </c>
      <c r="F596" s="4">
        <v>513742.65</v>
      </c>
      <c r="G596" s="4">
        <v>513782.69400000002</v>
      </c>
      <c r="H596" s="5">
        <f>4200 / 86400</f>
        <v>4.8611111111111112E-2</v>
      </c>
      <c r="I596" t="s">
        <v>248</v>
      </c>
      <c r="J596" t="s">
        <v>70</v>
      </c>
      <c r="K596" s="5">
        <f>7590 / 86400</f>
        <v>8.7847222222222215E-2</v>
      </c>
      <c r="L596" s="5">
        <f>47 / 86400</f>
        <v>5.4398148148148144E-4</v>
      </c>
    </row>
    <row r="597" spans="1:12" x14ac:dyDescent="0.25">
      <c r="A597" s="3">
        <v>45692.766122685185</v>
      </c>
      <c r="B597" t="s">
        <v>146</v>
      </c>
      <c r="C597" s="3">
        <v>45692.766446759255</v>
      </c>
      <c r="D597" t="s">
        <v>128</v>
      </c>
      <c r="E597" s="4">
        <v>0</v>
      </c>
      <c r="F597" s="4">
        <v>513782.69400000002</v>
      </c>
      <c r="G597" s="4">
        <v>513782.69400000002</v>
      </c>
      <c r="H597" s="5">
        <f>0 / 86400</f>
        <v>0</v>
      </c>
      <c r="I597" t="s">
        <v>55</v>
      </c>
      <c r="J597" t="s">
        <v>55</v>
      </c>
      <c r="K597" s="5">
        <f>28 / 86400</f>
        <v>3.2407407407407406E-4</v>
      </c>
      <c r="L597" s="5">
        <f>1136 / 86400</f>
        <v>1.3148148148148148E-2</v>
      </c>
    </row>
    <row r="598" spans="1:12" x14ac:dyDescent="0.25">
      <c r="A598" s="3">
        <v>45692.779594907406</v>
      </c>
      <c r="B598" t="s">
        <v>128</v>
      </c>
      <c r="C598" s="3">
        <v>45692.784212962964</v>
      </c>
      <c r="D598" t="s">
        <v>46</v>
      </c>
      <c r="E598" s="4">
        <v>0.92700000000000005</v>
      </c>
      <c r="F598" s="4">
        <v>513782.69400000002</v>
      </c>
      <c r="G598" s="4">
        <v>513783.62099999998</v>
      </c>
      <c r="H598" s="5">
        <f>90 / 86400</f>
        <v>1.0416666666666667E-3</v>
      </c>
      <c r="I598" t="s">
        <v>173</v>
      </c>
      <c r="J598" t="s">
        <v>135</v>
      </c>
      <c r="K598" s="5">
        <f>399 / 86400</f>
        <v>4.6180555555555558E-3</v>
      </c>
      <c r="L598" s="5">
        <f>18643 / 86400</f>
        <v>0.21577546296296296</v>
      </c>
    </row>
    <row r="599" spans="1:12" x14ac:dyDescent="0.25">
      <c r="A599" s="12"/>
      <c r="B599" s="12"/>
      <c r="C599" s="12"/>
      <c r="D599" s="12"/>
      <c r="E599" s="12"/>
      <c r="F599" s="12"/>
      <c r="G599" s="12"/>
      <c r="H599" s="12"/>
      <c r="I599" s="12"/>
      <c r="J599" s="12"/>
    </row>
    <row r="600" spans="1:12" x14ac:dyDescent="0.25">
      <c r="A600" s="12"/>
      <c r="B600" s="12"/>
      <c r="C600" s="12"/>
      <c r="D600" s="12"/>
      <c r="E600" s="12"/>
      <c r="F600" s="12"/>
      <c r="G600" s="12"/>
      <c r="H600" s="12"/>
      <c r="I600" s="12"/>
      <c r="J600" s="12"/>
    </row>
    <row r="601" spans="1:12" s="10" customFormat="1" ht="20.100000000000001" customHeight="1" x14ac:dyDescent="0.35">
      <c r="A601" s="15" t="s">
        <v>314</v>
      </c>
      <c r="B601" s="15"/>
      <c r="C601" s="15"/>
      <c r="D601" s="15"/>
      <c r="E601" s="15"/>
      <c r="F601" s="15"/>
      <c r="G601" s="15"/>
      <c r="H601" s="15"/>
      <c r="I601" s="15"/>
      <c r="J601" s="15"/>
    </row>
    <row r="602" spans="1:12" x14ac:dyDescent="0.25">
      <c r="A602" s="12"/>
      <c r="B602" s="12"/>
      <c r="C602" s="12"/>
      <c r="D602" s="12"/>
      <c r="E602" s="12"/>
      <c r="F602" s="12"/>
      <c r="G602" s="12"/>
      <c r="H602" s="12"/>
      <c r="I602" s="12"/>
      <c r="J602" s="12"/>
    </row>
    <row r="603" spans="1:12" ht="30" x14ac:dyDescent="0.25">
      <c r="A603" s="2" t="s">
        <v>6</v>
      </c>
      <c r="B603" s="2" t="s">
        <v>7</v>
      </c>
      <c r="C603" s="2" t="s">
        <v>8</v>
      </c>
      <c r="D603" s="2" t="s">
        <v>9</v>
      </c>
      <c r="E603" s="2" t="s">
        <v>10</v>
      </c>
      <c r="F603" s="2" t="s">
        <v>11</v>
      </c>
      <c r="G603" s="2" t="s">
        <v>12</v>
      </c>
      <c r="H603" s="2" t="s">
        <v>13</v>
      </c>
      <c r="I603" s="2" t="s">
        <v>14</v>
      </c>
      <c r="J603" s="2" t="s">
        <v>15</v>
      </c>
      <c r="K603" s="2" t="s">
        <v>16</v>
      </c>
      <c r="L603" s="2" t="s">
        <v>17</v>
      </c>
    </row>
    <row r="604" spans="1:12" x14ac:dyDescent="0.25">
      <c r="A604" s="3">
        <v>45692</v>
      </c>
      <c r="B604" t="s">
        <v>78</v>
      </c>
      <c r="C604" s="3">
        <v>45692.958333333328</v>
      </c>
      <c r="D604" t="s">
        <v>78</v>
      </c>
      <c r="E604" s="4">
        <v>202.81899999999999</v>
      </c>
      <c r="F604" s="4">
        <v>503770.44300000003</v>
      </c>
      <c r="G604" s="4">
        <v>503973.26199999999</v>
      </c>
      <c r="H604" s="5">
        <f>52982 / 86400</f>
        <v>0.61321759259259256</v>
      </c>
      <c r="I604" t="s">
        <v>30</v>
      </c>
      <c r="J604" t="s">
        <v>54</v>
      </c>
      <c r="K604" s="5">
        <f>82800 / 86400</f>
        <v>0.95833333333333337</v>
      </c>
      <c r="L604" s="5">
        <f>0 / 86400</f>
        <v>0</v>
      </c>
    </row>
    <row r="605" spans="1:12" x14ac:dyDescent="0.25">
      <c r="A605" s="12"/>
      <c r="B605" s="12"/>
      <c r="C605" s="12"/>
      <c r="D605" s="12"/>
      <c r="E605" s="12"/>
      <c r="F605" s="12"/>
      <c r="G605" s="12"/>
      <c r="H605" s="12"/>
      <c r="I605" s="12"/>
      <c r="J605" s="12"/>
    </row>
    <row r="606" spans="1:12" x14ac:dyDescent="0.25">
      <c r="A606" s="12"/>
      <c r="B606" s="12"/>
      <c r="C606" s="12"/>
      <c r="D606" s="12"/>
      <c r="E606" s="12"/>
      <c r="F606" s="12"/>
      <c r="G606" s="12"/>
      <c r="H606" s="12"/>
      <c r="I606" s="12"/>
      <c r="J606" s="12"/>
    </row>
    <row r="607" spans="1:12" s="10" customFormat="1" ht="20.100000000000001" customHeight="1" x14ac:dyDescent="0.35">
      <c r="A607" s="15" t="s">
        <v>315</v>
      </c>
      <c r="B607" s="15"/>
      <c r="C607" s="15"/>
      <c r="D607" s="15"/>
      <c r="E607" s="15"/>
      <c r="F607" s="15"/>
      <c r="G607" s="15"/>
      <c r="H607" s="15"/>
      <c r="I607" s="15"/>
      <c r="J607" s="15"/>
    </row>
    <row r="608" spans="1:12" x14ac:dyDescent="0.25">
      <c r="A608" s="12"/>
      <c r="B608" s="12"/>
      <c r="C608" s="12"/>
      <c r="D608" s="12"/>
      <c r="E608" s="12"/>
      <c r="F608" s="12"/>
      <c r="G608" s="12"/>
      <c r="H608" s="12"/>
      <c r="I608" s="12"/>
      <c r="J608" s="12"/>
    </row>
    <row r="609" spans="1:12" ht="30" x14ac:dyDescent="0.25">
      <c r="A609" s="2" t="s">
        <v>6</v>
      </c>
      <c r="B609" s="2" t="s">
        <v>7</v>
      </c>
      <c r="C609" s="2" t="s">
        <v>8</v>
      </c>
      <c r="D609" s="2" t="s">
        <v>9</v>
      </c>
      <c r="E609" s="2" t="s">
        <v>10</v>
      </c>
      <c r="F609" s="2" t="s">
        <v>11</v>
      </c>
      <c r="G609" s="2" t="s">
        <v>12</v>
      </c>
      <c r="H609" s="2" t="s">
        <v>13</v>
      </c>
      <c r="I609" s="2" t="s">
        <v>14</v>
      </c>
      <c r="J609" s="2" t="s">
        <v>15</v>
      </c>
      <c r="K609" s="2" t="s">
        <v>16</v>
      </c>
      <c r="L609" s="2" t="s">
        <v>17</v>
      </c>
    </row>
    <row r="610" spans="1:12" x14ac:dyDescent="0.25">
      <c r="A610" s="3">
        <v>45692.244814814811</v>
      </c>
      <c r="B610" t="s">
        <v>79</v>
      </c>
      <c r="C610" s="3">
        <v>45692.257777777777</v>
      </c>
      <c r="D610" t="s">
        <v>148</v>
      </c>
      <c r="E610" s="4">
        <v>5.952</v>
      </c>
      <c r="F610" s="4">
        <v>350514.72</v>
      </c>
      <c r="G610" s="4">
        <v>350520.67200000002</v>
      </c>
      <c r="H610" s="5">
        <f>140 / 86400</f>
        <v>1.6203703703703703E-3</v>
      </c>
      <c r="I610" t="s">
        <v>130</v>
      </c>
      <c r="J610" t="s">
        <v>70</v>
      </c>
      <c r="K610" s="5">
        <f>1120 / 86400</f>
        <v>1.2962962962962963E-2</v>
      </c>
      <c r="L610" s="5">
        <f>21474 / 86400</f>
        <v>0.24854166666666666</v>
      </c>
    </row>
    <row r="611" spans="1:12" x14ac:dyDescent="0.25">
      <c r="A611" s="3">
        <v>45692.261504629627</v>
      </c>
      <c r="B611" t="s">
        <v>148</v>
      </c>
      <c r="C611" s="3">
        <v>45692.265729166669</v>
      </c>
      <c r="D611" t="s">
        <v>129</v>
      </c>
      <c r="E611" s="4">
        <v>0.755</v>
      </c>
      <c r="F611" s="4">
        <v>350520.67200000002</v>
      </c>
      <c r="G611" s="4">
        <v>350521.42700000003</v>
      </c>
      <c r="H611" s="5">
        <f>179 / 86400</f>
        <v>2.0717592592592593E-3</v>
      </c>
      <c r="I611" t="s">
        <v>122</v>
      </c>
      <c r="J611" t="s">
        <v>43</v>
      </c>
      <c r="K611" s="5">
        <f>365 / 86400</f>
        <v>4.2245370370370371E-3</v>
      </c>
      <c r="L611" s="5">
        <f>244 / 86400</f>
        <v>2.8240740740740739E-3</v>
      </c>
    </row>
    <row r="612" spans="1:12" x14ac:dyDescent="0.25">
      <c r="A612" s="3">
        <v>45692.268553240741</v>
      </c>
      <c r="B612" t="s">
        <v>129</v>
      </c>
      <c r="C612" s="3">
        <v>45692.269548611112</v>
      </c>
      <c r="D612" t="s">
        <v>138</v>
      </c>
      <c r="E612" s="4">
        <v>3.0000000000000001E-3</v>
      </c>
      <c r="F612" s="4">
        <v>350521.42700000003</v>
      </c>
      <c r="G612" s="4">
        <v>350521.43</v>
      </c>
      <c r="H612" s="5">
        <f>79 / 86400</f>
        <v>9.1435185185185185E-4</v>
      </c>
      <c r="I612" t="s">
        <v>55</v>
      </c>
      <c r="J612" t="s">
        <v>55</v>
      </c>
      <c r="K612" s="5">
        <f>86 / 86400</f>
        <v>9.9537037037037042E-4</v>
      </c>
      <c r="L612" s="5">
        <f>188 / 86400</f>
        <v>2.1759259259259258E-3</v>
      </c>
    </row>
    <row r="613" spans="1:12" x14ac:dyDescent="0.25">
      <c r="A613" s="3">
        <v>45692.271724537037</v>
      </c>
      <c r="B613" t="s">
        <v>129</v>
      </c>
      <c r="C613" s="3">
        <v>45692.396678240737</v>
      </c>
      <c r="D613" t="s">
        <v>133</v>
      </c>
      <c r="E613" s="4">
        <v>50.143000000000001</v>
      </c>
      <c r="F613" s="4">
        <v>350521.43</v>
      </c>
      <c r="G613" s="4">
        <v>350571.57299999997</v>
      </c>
      <c r="H613" s="5">
        <f>3859 / 86400</f>
        <v>4.4664351851851851E-2</v>
      </c>
      <c r="I613" t="s">
        <v>80</v>
      </c>
      <c r="J613" t="s">
        <v>25</v>
      </c>
      <c r="K613" s="5">
        <f>10796 / 86400</f>
        <v>0.12495370370370371</v>
      </c>
      <c r="L613" s="5">
        <f>296 / 86400</f>
        <v>3.425925925925926E-3</v>
      </c>
    </row>
    <row r="614" spans="1:12" x14ac:dyDescent="0.25">
      <c r="A614" s="3">
        <v>45692.400104166663</v>
      </c>
      <c r="B614" t="s">
        <v>133</v>
      </c>
      <c r="C614" s="3">
        <v>45692.400312500002</v>
      </c>
      <c r="D614" t="s">
        <v>133</v>
      </c>
      <c r="E614" s="4">
        <v>8.0000000000000002E-3</v>
      </c>
      <c r="F614" s="4">
        <v>350571.57299999997</v>
      </c>
      <c r="G614" s="4">
        <v>350571.58100000001</v>
      </c>
      <c r="H614" s="5">
        <f>12 / 86400</f>
        <v>1.3888888888888889E-4</v>
      </c>
      <c r="I614" t="s">
        <v>55</v>
      </c>
      <c r="J614" t="s">
        <v>161</v>
      </c>
      <c r="K614" s="5">
        <f>18 / 86400</f>
        <v>2.0833333333333335E-4</v>
      </c>
      <c r="L614" s="5">
        <f>493 / 86400</f>
        <v>5.7060185185185183E-3</v>
      </c>
    </row>
    <row r="615" spans="1:12" x14ac:dyDescent="0.25">
      <c r="A615" s="3">
        <v>45692.406018518523</v>
      </c>
      <c r="B615" t="s">
        <v>133</v>
      </c>
      <c r="C615" s="3">
        <v>45692.548946759256</v>
      </c>
      <c r="D615" t="s">
        <v>146</v>
      </c>
      <c r="E615" s="4">
        <v>50.331000000000003</v>
      </c>
      <c r="F615" s="4">
        <v>350571.58100000001</v>
      </c>
      <c r="G615" s="4">
        <v>350621.91200000001</v>
      </c>
      <c r="H615" s="5">
        <f>4720 / 86400</f>
        <v>5.4629629629629632E-2</v>
      </c>
      <c r="I615" t="s">
        <v>177</v>
      </c>
      <c r="J615" t="s">
        <v>20</v>
      </c>
      <c r="K615" s="5">
        <f>12348 / 86400</f>
        <v>0.14291666666666666</v>
      </c>
      <c r="L615" s="5">
        <f>695 / 86400</f>
        <v>8.0439814814814818E-3</v>
      </c>
    </row>
    <row r="616" spans="1:12" x14ac:dyDescent="0.25">
      <c r="A616" s="3">
        <v>45692.556990740741</v>
      </c>
      <c r="B616" t="s">
        <v>128</v>
      </c>
      <c r="C616" s="3">
        <v>45692.557916666672</v>
      </c>
      <c r="D616" t="s">
        <v>128</v>
      </c>
      <c r="E616" s="4">
        <v>0.122</v>
      </c>
      <c r="F616" s="4">
        <v>350621.91200000001</v>
      </c>
      <c r="G616" s="4">
        <v>350622.03399999999</v>
      </c>
      <c r="H616" s="5">
        <f>19 / 86400</f>
        <v>2.199074074074074E-4</v>
      </c>
      <c r="I616" t="s">
        <v>54</v>
      </c>
      <c r="J616" t="s">
        <v>119</v>
      </c>
      <c r="K616" s="5">
        <f>80 / 86400</f>
        <v>9.2592592592592596E-4</v>
      </c>
      <c r="L616" s="5">
        <f>44 / 86400</f>
        <v>5.0925925925925921E-4</v>
      </c>
    </row>
    <row r="617" spans="1:12" x14ac:dyDescent="0.25">
      <c r="A617" s="3">
        <v>45692.558425925927</v>
      </c>
      <c r="B617" t="s">
        <v>128</v>
      </c>
      <c r="C617" s="3">
        <v>45692.644918981481</v>
      </c>
      <c r="D617" t="s">
        <v>255</v>
      </c>
      <c r="E617" s="4">
        <v>38.323999999999998</v>
      </c>
      <c r="F617" s="4">
        <v>350622.03399999999</v>
      </c>
      <c r="G617" s="4">
        <v>350660.35800000001</v>
      </c>
      <c r="H617" s="5">
        <f>2660 / 86400</f>
        <v>3.0787037037037036E-2</v>
      </c>
      <c r="I617" t="s">
        <v>80</v>
      </c>
      <c r="J617" t="s">
        <v>31</v>
      </c>
      <c r="K617" s="5">
        <f>7473 / 86400</f>
        <v>8.6493055555555559E-2</v>
      </c>
      <c r="L617" s="5">
        <f>87 / 86400</f>
        <v>1.0069444444444444E-3</v>
      </c>
    </row>
    <row r="618" spans="1:12" x14ac:dyDescent="0.25">
      <c r="A618" s="3">
        <v>45692.645925925928</v>
      </c>
      <c r="B618" t="s">
        <v>255</v>
      </c>
      <c r="C618" s="3">
        <v>45692.744166666671</v>
      </c>
      <c r="D618" t="s">
        <v>230</v>
      </c>
      <c r="E618" s="4">
        <v>38.392000000000003</v>
      </c>
      <c r="F618" s="4">
        <v>350660.35800000001</v>
      </c>
      <c r="G618" s="4">
        <v>350698.75</v>
      </c>
      <c r="H618" s="5">
        <f>2719 / 86400</f>
        <v>3.1469907407407405E-2</v>
      </c>
      <c r="I618" t="s">
        <v>53</v>
      </c>
      <c r="J618" t="s">
        <v>36</v>
      </c>
      <c r="K618" s="5">
        <f>8487 / 86400</f>
        <v>9.8229166666666673E-2</v>
      </c>
      <c r="L618" s="5">
        <f>233 / 86400</f>
        <v>2.6967592592592594E-3</v>
      </c>
    </row>
    <row r="619" spans="1:12" x14ac:dyDescent="0.25">
      <c r="A619" s="3">
        <v>45692.746863425928</v>
      </c>
      <c r="B619" t="s">
        <v>230</v>
      </c>
      <c r="C619" s="3">
        <v>45692.959918981476</v>
      </c>
      <c r="D619" t="s">
        <v>231</v>
      </c>
      <c r="E619" s="4">
        <v>91.73</v>
      </c>
      <c r="F619" s="4">
        <v>350698.75</v>
      </c>
      <c r="G619" s="4">
        <v>350790.48</v>
      </c>
      <c r="H619" s="5">
        <f>5603 / 86400</f>
        <v>6.4849537037037039E-2</v>
      </c>
      <c r="I619" t="s">
        <v>27</v>
      </c>
      <c r="J619" t="s">
        <v>31</v>
      </c>
      <c r="K619" s="5">
        <f>18407 / 86400</f>
        <v>0.21304398148148149</v>
      </c>
      <c r="L619" s="5">
        <f>174 / 86400</f>
        <v>2.0138888888888888E-3</v>
      </c>
    </row>
    <row r="620" spans="1:12" x14ac:dyDescent="0.25">
      <c r="A620" s="3">
        <v>45692.96193287037</v>
      </c>
      <c r="B620" t="s">
        <v>231</v>
      </c>
      <c r="C620" s="3">
        <v>45692.965486111112</v>
      </c>
      <c r="D620" t="s">
        <v>79</v>
      </c>
      <c r="E620" s="4">
        <v>0.84399999999999997</v>
      </c>
      <c r="F620" s="4">
        <v>350790.48</v>
      </c>
      <c r="G620" s="4">
        <v>350791.32400000002</v>
      </c>
      <c r="H620" s="5">
        <f>80 / 86400</f>
        <v>9.2592592592592596E-4</v>
      </c>
      <c r="I620" t="s">
        <v>149</v>
      </c>
      <c r="J620" t="s">
        <v>158</v>
      </c>
      <c r="K620" s="5">
        <f>306 / 86400</f>
        <v>3.5416666666666665E-3</v>
      </c>
      <c r="L620" s="5">
        <f>2981 / 86400</f>
        <v>3.4502314814814812E-2</v>
      </c>
    </row>
    <row r="621" spans="1:12" x14ac:dyDescent="0.25">
      <c r="A621" s="12"/>
      <c r="B621" s="12"/>
      <c r="C621" s="12"/>
      <c r="D621" s="12"/>
      <c r="E621" s="12"/>
      <c r="F621" s="12"/>
      <c r="G621" s="12"/>
      <c r="H621" s="12"/>
      <c r="I621" s="12"/>
      <c r="J621" s="12"/>
    </row>
    <row r="622" spans="1:12" x14ac:dyDescent="0.25">
      <c r="A622" s="12"/>
      <c r="B622" s="12"/>
      <c r="C622" s="12"/>
      <c r="D622" s="12"/>
      <c r="E622" s="12"/>
      <c r="F622" s="12"/>
      <c r="G622" s="12"/>
      <c r="H622" s="12"/>
      <c r="I622" s="12"/>
      <c r="J622" s="12"/>
    </row>
    <row r="623" spans="1:12" s="10" customFormat="1" ht="20.100000000000001" customHeight="1" x14ac:dyDescent="0.35">
      <c r="A623" s="15" t="s">
        <v>316</v>
      </c>
      <c r="B623" s="15"/>
      <c r="C623" s="15"/>
      <c r="D623" s="15"/>
      <c r="E623" s="15"/>
      <c r="F623" s="15"/>
      <c r="G623" s="15"/>
      <c r="H623" s="15"/>
      <c r="I623" s="15"/>
      <c r="J623" s="15"/>
    </row>
    <row r="624" spans="1:12" x14ac:dyDescent="0.25">
      <c r="A624" s="12"/>
      <c r="B624" s="12"/>
      <c r="C624" s="12"/>
      <c r="D624" s="12"/>
      <c r="E624" s="12"/>
      <c r="F624" s="12"/>
      <c r="G624" s="12"/>
      <c r="H624" s="12"/>
      <c r="I624" s="12"/>
      <c r="J624" s="12"/>
    </row>
    <row r="625" spans="1:12" ht="30" x14ac:dyDescent="0.25">
      <c r="A625" s="2" t="s">
        <v>6</v>
      </c>
      <c r="B625" s="2" t="s">
        <v>7</v>
      </c>
      <c r="C625" s="2" t="s">
        <v>8</v>
      </c>
      <c r="D625" s="2" t="s">
        <v>9</v>
      </c>
      <c r="E625" s="2" t="s">
        <v>10</v>
      </c>
      <c r="F625" s="2" t="s">
        <v>11</v>
      </c>
      <c r="G625" s="2" t="s">
        <v>12</v>
      </c>
      <c r="H625" s="2" t="s">
        <v>13</v>
      </c>
      <c r="I625" s="2" t="s">
        <v>14</v>
      </c>
      <c r="J625" s="2" t="s">
        <v>15</v>
      </c>
      <c r="K625" s="2" t="s">
        <v>16</v>
      </c>
      <c r="L625" s="2" t="s">
        <v>17</v>
      </c>
    </row>
    <row r="626" spans="1:12" x14ac:dyDescent="0.25">
      <c r="A626" s="3">
        <v>45692.155162037037</v>
      </c>
      <c r="B626" t="s">
        <v>26</v>
      </c>
      <c r="C626" s="3">
        <v>45692.223958333328</v>
      </c>
      <c r="D626" t="s">
        <v>133</v>
      </c>
      <c r="E626" s="4">
        <v>34.564999999999998</v>
      </c>
      <c r="F626" s="4">
        <v>440323.18599999999</v>
      </c>
      <c r="G626" s="4">
        <v>440357.75099999999</v>
      </c>
      <c r="H626" s="5">
        <f>1161 / 86400</f>
        <v>1.34375E-2</v>
      </c>
      <c r="I626" t="s">
        <v>27</v>
      </c>
      <c r="J626" t="s">
        <v>142</v>
      </c>
      <c r="K626" s="5">
        <f>5944 / 86400</f>
        <v>6.87962962962963E-2</v>
      </c>
      <c r="L626" s="5">
        <f>13880 / 86400</f>
        <v>0.16064814814814815</v>
      </c>
    </row>
    <row r="627" spans="1:12" x14ac:dyDescent="0.25">
      <c r="A627" s="3">
        <v>45692.229444444441</v>
      </c>
      <c r="B627" t="s">
        <v>133</v>
      </c>
      <c r="C627" s="3">
        <v>45692.33017361111</v>
      </c>
      <c r="D627" t="s">
        <v>175</v>
      </c>
      <c r="E627" s="4">
        <v>50.002000000000002</v>
      </c>
      <c r="F627" s="4">
        <v>440357.75099999999</v>
      </c>
      <c r="G627" s="4">
        <v>440407.75300000003</v>
      </c>
      <c r="H627" s="5">
        <f>1920 / 86400</f>
        <v>2.2222222222222223E-2</v>
      </c>
      <c r="I627" t="s">
        <v>59</v>
      </c>
      <c r="J627" t="s">
        <v>142</v>
      </c>
      <c r="K627" s="5">
        <f>8703 / 86400</f>
        <v>0.10072916666666666</v>
      </c>
      <c r="L627" s="5">
        <f>229 / 86400</f>
        <v>2.650462962962963E-3</v>
      </c>
    </row>
    <row r="628" spans="1:12" x14ac:dyDescent="0.25">
      <c r="A628" s="3">
        <v>45692.332824074074</v>
      </c>
      <c r="B628" t="s">
        <v>175</v>
      </c>
      <c r="C628" s="3">
        <v>45692.335266203707</v>
      </c>
      <c r="D628" t="s">
        <v>148</v>
      </c>
      <c r="E628" s="4">
        <v>0.72299999999999998</v>
      </c>
      <c r="F628" s="4">
        <v>440407.75400000002</v>
      </c>
      <c r="G628" s="4">
        <v>440408.47700000001</v>
      </c>
      <c r="H628" s="5">
        <f>0 / 86400</f>
        <v>0</v>
      </c>
      <c r="I628" t="s">
        <v>122</v>
      </c>
      <c r="J628" t="s">
        <v>90</v>
      </c>
      <c r="K628" s="5">
        <f>210 / 86400</f>
        <v>2.4305555555555556E-3</v>
      </c>
      <c r="L628" s="5">
        <f>1221 / 86400</f>
        <v>1.4131944444444445E-2</v>
      </c>
    </row>
    <row r="629" spans="1:12" x14ac:dyDescent="0.25">
      <c r="A629" s="3">
        <v>45692.349398148144</v>
      </c>
      <c r="B629" t="s">
        <v>148</v>
      </c>
      <c r="C629" s="3">
        <v>45692.353599537033</v>
      </c>
      <c r="D629" t="s">
        <v>128</v>
      </c>
      <c r="E629" s="4">
        <v>1.345</v>
      </c>
      <c r="F629" s="4">
        <v>440408.47700000001</v>
      </c>
      <c r="G629" s="4">
        <v>440409.82199999999</v>
      </c>
      <c r="H629" s="5">
        <f>40 / 86400</f>
        <v>4.6296296296296298E-4</v>
      </c>
      <c r="I629" t="s">
        <v>187</v>
      </c>
      <c r="J629" t="s">
        <v>58</v>
      </c>
      <c r="K629" s="5">
        <f>362 / 86400</f>
        <v>4.1898148148148146E-3</v>
      </c>
      <c r="L629" s="5">
        <f>321 / 86400</f>
        <v>3.7152777777777778E-3</v>
      </c>
    </row>
    <row r="630" spans="1:12" x14ac:dyDescent="0.25">
      <c r="A630" s="3">
        <v>45692.357314814813</v>
      </c>
      <c r="B630" t="s">
        <v>128</v>
      </c>
      <c r="C630" s="3">
        <v>45692.478854166664</v>
      </c>
      <c r="D630" t="s">
        <v>156</v>
      </c>
      <c r="E630" s="4">
        <v>49.512</v>
      </c>
      <c r="F630" s="4">
        <v>440409.82199999999</v>
      </c>
      <c r="G630" s="4">
        <v>440459.33399999997</v>
      </c>
      <c r="H630" s="5">
        <f>3280 / 86400</f>
        <v>3.7962962962962962E-2</v>
      </c>
      <c r="I630" t="s">
        <v>35</v>
      </c>
      <c r="J630" t="s">
        <v>25</v>
      </c>
      <c r="K630" s="5">
        <f>10500 / 86400</f>
        <v>0.12152777777777778</v>
      </c>
      <c r="L630" s="5">
        <f>3601 / 86400</f>
        <v>4.1678240740740738E-2</v>
      </c>
    </row>
    <row r="631" spans="1:12" x14ac:dyDescent="0.25">
      <c r="A631" s="3">
        <v>45692.520532407405</v>
      </c>
      <c r="B631" t="s">
        <v>156</v>
      </c>
      <c r="C631" s="3">
        <v>45692.686655092592</v>
      </c>
      <c r="D631" t="s">
        <v>162</v>
      </c>
      <c r="E631" s="4">
        <v>67.620999999999995</v>
      </c>
      <c r="F631" s="4">
        <v>440459.33399999997</v>
      </c>
      <c r="G631" s="4">
        <v>440526.95500000002</v>
      </c>
      <c r="H631" s="5">
        <f>4272 / 86400</f>
        <v>4.9444444444444444E-2</v>
      </c>
      <c r="I631" t="s">
        <v>108</v>
      </c>
      <c r="J631" t="s">
        <v>25</v>
      </c>
      <c r="K631" s="5">
        <f>14353 / 86400</f>
        <v>0.16612268518518519</v>
      </c>
      <c r="L631" s="5">
        <f>396 / 86400</f>
        <v>4.5833333333333334E-3</v>
      </c>
    </row>
    <row r="632" spans="1:12" x14ac:dyDescent="0.25">
      <c r="A632" s="3">
        <v>45692.691238425927</v>
      </c>
      <c r="B632" t="s">
        <v>162</v>
      </c>
      <c r="C632" s="3">
        <v>45692.701099537036</v>
      </c>
      <c r="D632" t="s">
        <v>154</v>
      </c>
      <c r="E632" s="4">
        <v>2.8490000000000002</v>
      </c>
      <c r="F632" s="4">
        <v>440526.95500000002</v>
      </c>
      <c r="G632" s="4">
        <v>440529.804</v>
      </c>
      <c r="H632" s="5">
        <f>199 / 86400</f>
        <v>2.3032407407407407E-3</v>
      </c>
      <c r="I632" t="s">
        <v>223</v>
      </c>
      <c r="J632" t="s">
        <v>90</v>
      </c>
      <c r="K632" s="5">
        <f>851 / 86400</f>
        <v>9.8495370370370369E-3</v>
      </c>
      <c r="L632" s="5">
        <f>342 / 86400</f>
        <v>3.9583333333333337E-3</v>
      </c>
    </row>
    <row r="633" spans="1:12" x14ac:dyDescent="0.25">
      <c r="A633" s="3">
        <v>45692.705057870371</v>
      </c>
      <c r="B633" t="s">
        <v>154</v>
      </c>
      <c r="C633" s="3">
        <v>45692.706087962964</v>
      </c>
      <c r="D633" t="s">
        <v>154</v>
      </c>
      <c r="E633" s="4">
        <v>0.10199999999999999</v>
      </c>
      <c r="F633" s="4">
        <v>440529.804</v>
      </c>
      <c r="G633" s="4">
        <v>440529.90600000002</v>
      </c>
      <c r="H633" s="5">
        <f>39 / 86400</f>
        <v>4.5138888888888887E-4</v>
      </c>
      <c r="I633" t="s">
        <v>43</v>
      </c>
      <c r="J633" t="s">
        <v>160</v>
      </c>
      <c r="K633" s="5">
        <f>89 / 86400</f>
        <v>1.0300925925925926E-3</v>
      </c>
      <c r="L633" s="5">
        <f>118 / 86400</f>
        <v>1.3657407407407407E-3</v>
      </c>
    </row>
    <row r="634" spans="1:12" x14ac:dyDescent="0.25">
      <c r="A634" s="3">
        <v>45692.707453703704</v>
      </c>
      <c r="B634" t="s">
        <v>154</v>
      </c>
      <c r="C634" s="3">
        <v>45692.710219907407</v>
      </c>
      <c r="D634" t="s">
        <v>26</v>
      </c>
      <c r="E634" s="4">
        <v>0.51</v>
      </c>
      <c r="F634" s="4">
        <v>440529.90600000002</v>
      </c>
      <c r="G634" s="4">
        <v>440530.41600000003</v>
      </c>
      <c r="H634" s="5">
        <f>0 / 86400</f>
        <v>0</v>
      </c>
      <c r="I634" t="s">
        <v>174</v>
      </c>
      <c r="J634" t="s">
        <v>135</v>
      </c>
      <c r="K634" s="5">
        <f>239 / 86400</f>
        <v>2.7662037037037039E-3</v>
      </c>
      <c r="L634" s="5">
        <f>25036 / 86400</f>
        <v>0.28976851851851854</v>
      </c>
    </row>
    <row r="635" spans="1:12" x14ac:dyDescent="0.25">
      <c r="A635" s="12"/>
      <c r="B635" s="12"/>
      <c r="C635" s="12"/>
      <c r="D635" s="12"/>
      <c r="E635" s="12"/>
      <c r="F635" s="12"/>
      <c r="G635" s="12"/>
      <c r="H635" s="12"/>
      <c r="I635" s="12"/>
      <c r="J635" s="12"/>
    </row>
    <row r="636" spans="1:12" x14ac:dyDescent="0.25">
      <c r="A636" s="12"/>
      <c r="B636" s="12"/>
      <c r="C636" s="12"/>
      <c r="D636" s="12"/>
      <c r="E636" s="12"/>
      <c r="F636" s="12"/>
      <c r="G636" s="12"/>
      <c r="H636" s="12"/>
      <c r="I636" s="12"/>
      <c r="J636" s="12"/>
    </row>
    <row r="637" spans="1:12" s="10" customFormat="1" ht="20.100000000000001" customHeight="1" x14ac:dyDescent="0.35">
      <c r="A637" s="15" t="s">
        <v>317</v>
      </c>
      <c r="B637" s="15"/>
      <c r="C637" s="15"/>
      <c r="D637" s="15"/>
      <c r="E637" s="15"/>
      <c r="F637" s="15"/>
      <c r="G637" s="15"/>
      <c r="H637" s="15"/>
      <c r="I637" s="15"/>
      <c r="J637" s="15"/>
    </row>
    <row r="638" spans="1:12" x14ac:dyDescent="0.25">
      <c r="A638" s="12"/>
      <c r="B638" s="12"/>
      <c r="C638" s="12"/>
      <c r="D638" s="12"/>
      <c r="E638" s="12"/>
      <c r="F638" s="12"/>
      <c r="G638" s="12"/>
      <c r="H638" s="12"/>
      <c r="I638" s="12"/>
      <c r="J638" s="12"/>
    </row>
    <row r="639" spans="1:12" ht="30" x14ac:dyDescent="0.25">
      <c r="A639" s="2" t="s">
        <v>6</v>
      </c>
      <c r="B639" s="2" t="s">
        <v>7</v>
      </c>
      <c r="C639" s="2" t="s">
        <v>8</v>
      </c>
      <c r="D639" s="2" t="s">
        <v>9</v>
      </c>
      <c r="E639" s="2" t="s">
        <v>10</v>
      </c>
      <c r="F639" s="2" t="s">
        <v>11</v>
      </c>
      <c r="G639" s="2" t="s">
        <v>12</v>
      </c>
      <c r="H639" s="2" t="s">
        <v>13</v>
      </c>
      <c r="I639" s="2" t="s">
        <v>14</v>
      </c>
      <c r="J639" s="2" t="s">
        <v>15</v>
      </c>
      <c r="K639" s="2" t="s">
        <v>16</v>
      </c>
      <c r="L639" s="2" t="s">
        <v>17</v>
      </c>
    </row>
    <row r="640" spans="1:12" x14ac:dyDescent="0.25">
      <c r="A640" s="3">
        <v>45692.260428240741</v>
      </c>
      <c r="B640" t="s">
        <v>81</v>
      </c>
      <c r="C640" s="3">
        <v>45692.403043981481</v>
      </c>
      <c r="D640" t="s">
        <v>133</v>
      </c>
      <c r="E640" s="4">
        <v>46.9</v>
      </c>
      <c r="F640" s="4">
        <v>472917.16100000002</v>
      </c>
      <c r="G640" s="4">
        <v>472964.06099999999</v>
      </c>
      <c r="H640" s="5">
        <f>5779 / 86400</f>
        <v>6.6886574074074071E-2</v>
      </c>
      <c r="I640" t="s">
        <v>82</v>
      </c>
      <c r="J640" t="s">
        <v>28</v>
      </c>
      <c r="K640" s="5">
        <f>12322 / 86400</f>
        <v>0.14261574074074074</v>
      </c>
      <c r="L640" s="5">
        <f>22626 / 86400</f>
        <v>0.26187500000000002</v>
      </c>
    </row>
    <row r="641" spans="1:12" x14ac:dyDescent="0.25">
      <c r="A641" s="3">
        <v>45692.404490740737</v>
      </c>
      <c r="B641" t="s">
        <v>133</v>
      </c>
      <c r="C641" s="3">
        <v>45692.406446759254</v>
      </c>
      <c r="D641" t="s">
        <v>256</v>
      </c>
      <c r="E641" s="4">
        <v>0.32500000000000001</v>
      </c>
      <c r="F641" s="4">
        <v>472964.06099999999</v>
      </c>
      <c r="G641" s="4">
        <v>472964.386</v>
      </c>
      <c r="H641" s="5">
        <f>20 / 86400</f>
        <v>2.3148148148148149E-4</v>
      </c>
      <c r="I641" t="s">
        <v>158</v>
      </c>
      <c r="J641" t="s">
        <v>43</v>
      </c>
      <c r="K641" s="5">
        <f>169 / 86400</f>
        <v>1.9560185185185184E-3</v>
      </c>
      <c r="L641" s="5">
        <f>40 / 86400</f>
        <v>4.6296296296296298E-4</v>
      </c>
    </row>
    <row r="642" spans="1:12" x14ac:dyDescent="0.25">
      <c r="A642" s="3">
        <v>45692.406909722224</v>
      </c>
      <c r="B642" t="s">
        <v>256</v>
      </c>
      <c r="C642" s="3">
        <v>45692.40724537037</v>
      </c>
      <c r="D642" t="s">
        <v>256</v>
      </c>
      <c r="E642" s="4">
        <v>8.9999999999999993E-3</v>
      </c>
      <c r="F642" s="4">
        <v>472964.386</v>
      </c>
      <c r="G642" s="4">
        <v>472964.39500000002</v>
      </c>
      <c r="H642" s="5">
        <f>19 / 86400</f>
        <v>2.199074074074074E-4</v>
      </c>
      <c r="I642" t="s">
        <v>55</v>
      </c>
      <c r="J642" t="s">
        <v>125</v>
      </c>
      <c r="K642" s="5">
        <f>29 / 86400</f>
        <v>3.3564814814814812E-4</v>
      </c>
      <c r="L642" s="5">
        <f>838 / 86400</f>
        <v>9.6990740740740735E-3</v>
      </c>
    </row>
    <row r="643" spans="1:12" x14ac:dyDescent="0.25">
      <c r="A643" s="3">
        <v>45692.416944444441</v>
      </c>
      <c r="B643" t="s">
        <v>256</v>
      </c>
      <c r="C643" s="3">
        <v>45692.563981481479</v>
      </c>
      <c r="D643" t="s">
        <v>141</v>
      </c>
      <c r="E643" s="4">
        <v>49.167000000000002</v>
      </c>
      <c r="F643" s="4">
        <v>472964.39500000002</v>
      </c>
      <c r="G643" s="4">
        <v>473013.56199999998</v>
      </c>
      <c r="H643" s="5">
        <f>5017 / 86400</f>
        <v>5.8067129629629628E-2</v>
      </c>
      <c r="I643" t="s">
        <v>35</v>
      </c>
      <c r="J643" t="s">
        <v>28</v>
      </c>
      <c r="K643" s="5">
        <f>12703 / 86400</f>
        <v>0.14702546296296296</v>
      </c>
      <c r="L643" s="5">
        <f>464 / 86400</f>
        <v>5.37037037037037E-3</v>
      </c>
    </row>
    <row r="644" spans="1:12" x14ac:dyDescent="0.25">
      <c r="A644" s="3">
        <v>45692.569351851853</v>
      </c>
      <c r="B644" t="s">
        <v>141</v>
      </c>
      <c r="C644" s="3">
        <v>45692.571168981478</v>
      </c>
      <c r="D644" t="s">
        <v>44</v>
      </c>
      <c r="E644" s="4">
        <v>0.248</v>
      </c>
      <c r="F644" s="4">
        <v>473013.56199999998</v>
      </c>
      <c r="G644" s="4">
        <v>473013.81</v>
      </c>
      <c r="H644" s="5">
        <f>60 / 86400</f>
        <v>6.9444444444444447E-4</v>
      </c>
      <c r="I644" t="s">
        <v>134</v>
      </c>
      <c r="J644" t="s">
        <v>137</v>
      </c>
      <c r="K644" s="5">
        <f>157 / 86400</f>
        <v>1.8171296296296297E-3</v>
      </c>
      <c r="L644" s="5">
        <f>3053 / 86400</f>
        <v>3.5335648148148151E-2</v>
      </c>
    </row>
    <row r="645" spans="1:12" x14ac:dyDescent="0.25">
      <c r="A645" s="3">
        <v>45692.606504629628</v>
      </c>
      <c r="B645" t="s">
        <v>44</v>
      </c>
      <c r="C645" s="3">
        <v>45692.617662037039</v>
      </c>
      <c r="D645" t="s">
        <v>79</v>
      </c>
      <c r="E645" s="4">
        <v>4.2190000000000003</v>
      </c>
      <c r="F645" s="4">
        <v>473013.81</v>
      </c>
      <c r="G645" s="4">
        <v>473018.02899999998</v>
      </c>
      <c r="H645" s="5">
        <f>299 / 86400</f>
        <v>3.460648148148148E-3</v>
      </c>
      <c r="I645" t="s">
        <v>214</v>
      </c>
      <c r="J645" t="s">
        <v>36</v>
      </c>
      <c r="K645" s="5">
        <f>964 / 86400</f>
        <v>1.1157407407407408E-2</v>
      </c>
      <c r="L645" s="5">
        <f>33033 / 86400</f>
        <v>0.38232638888888887</v>
      </c>
    </row>
    <row r="646" spans="1:12" x14ac:dyDescent="0.25">
      <c r="A646" s="12"/>
      <c r="B646" s="12"/>
      <c r="C646" s="12"/>
      <c r="D646" s="12"/>
      <c r="E646" s="12"/>
      <c r="F646" s="12"/>
      <c r="G646" s="12"/>
      <c r="H646" s="12"/>
      <c r="I646" s="12"/>
      <c r="J646" s="12"/>
    </row>
    <row r="647" spans="1:12" x14ac:dyDescent="0.25">
      <c r="A647" s="12"/>
      <c r="B647" s="12"/>
      <c r="C647" s="12"/>
      <c r="D647" s="12"/>
      <c r="E647" s="12"/>
      <c r="F647" s="12"/>
      <c r="G647" s="12"/>
      <c r="H647" s="12"/>
      <c r="I647" s="12"/>
      <c r="J647" s="12"/>
    </row>
    <row r="648" spans="1:12" s="10" customFormat="1" ht="20.100000000000001" customHeight="1" x14ac:dyDescent="0.35">
      <c r="A648" s="15" t="s">
        <v>318</v>
      </c>
      <c r="B648" s="15"/>
      <c r="C648" s="15"/>
      <c r="D648" s="15"/>
      <c r="E648" s="15"/>
      <c r="F648" s="15"/>
      <c r="G648" s="15"/>
      <c r="H648" s="15"/>
      <c r="I648" s="15"/>
      <c r="J648" s="15"/>
    </row>
    <row r="649" spans="1:12" x14ac:dyDescent="0.25">
      <c r="A649" s="12"/>
      <c r="B649" s="12"/>
      <c r="C649" s="12"/>
      <c r="D649" s="12"/>
      <c r="E649" s="12"/>
      <c r="F649" s="12"/>
      <c r="G649" s="12"/>
      <c r="H649" s="12"/>
      <c r="I649" s="12"/>
      <c r="J649" s="12"/>
    </row>
    <row r="650" spans="1:12" ht="30" x14ac:dyDescent="0.25">
      <c r="A650" s="2" t="s">
        <v>6</v>
      </c>
      <c r="B650" s="2" t="s">
        <v>7</v>
      </c>
      <c r="C650" s="2" t="s">
        <v>8</v>
      </c>
      <c r="D650" s="2" t="s">
        <v>9</v>
      </c>
      <c r="E650" s="2" t="s">
        <v>10</v>
      </c>
      <c r="F650" s="2" t="s">
        <v>11</v>
      </c>
      <c r="G650" s="2" t="s">
        <v>12</v>
      </c>
      <c r="H650" s="2" t="s">
        <v>13</v>
      </c>
      <c r="I650" s="2" t="s">
        <v>14</v>
      </c>
      <c r="J650" s="2" t="s">
        <v>15</v>
      </c>
      <c r="K650" s="2" t="s">
        <v>16</v>
      </c>
      <c r="L650" s="2" t="s">
        <v>17</v>
      </c>
    </row>
    <row r="651" spans="1:12" x14ac:dyDescent="0.25">
      <c r="A651" s="3">
        <v>45692.124340277776</v>
      </c>
      <c r="B651" t="s">
        <v>78</v>
      </c>
      <c r="C651" s="3">
        <v>45692.323495370365</v>
      </c>
      <c r="D651" t="s">
        <v>148</v>
      </c>
      <c r="E651" s="4">
        <v>87.903999999999996</v>
      </c>
      <c r="F651" s="4">
        <v>411876.08899999998</v>
      </c>
      <c r="G651" s="4">
        <v>411963.99300000002</v>
      </c>
      <c r="H651" s="5">
        <f>5500 / 86400</f>
        <v>6.3657407407407413E-2</v>
      </c>
      <c r="I651" t="s">
        <v>220</v>
      </c>
      <c r="J651" t="s">
        <v>31</v>
      </c>
      <c r="K651" s="5">
        <f>17206 / 86400</f>
        <v>0.19914351851851853</v>
      </c>
      <c r="L651" s="5">
        <f>14153 / 86400</f>
        <v>0.16380787037037037</v>
      </c>
    </row>
    <row r="652" spans="1:12" x14ac:dyDescent="0.25">
      <c r="A652" s="3">
        <v>45692.362962962958</v>
      </c>
      <c r="B652" t="s">
        <v>148</v>
      </c>
      <c r="C652" s="3">
        <v>45692.369398148148</v>
      </c>
      <c r="D652" t="s">
        <v>128</v>
      </c>
      <c r="E652" s="4">
        <v>1.3779999999999999</v>
      </c>
      <c r="F652" s="4">
        <v>411963.99300000002</v>
      </c>
      <c r="G652" s="4">
        <v>411965.37099999998</v>
      </c>
      <c r="H652" s="5">
        <f>239 / 86400</f>
        <v>2.7662037037037039E-3</v>
      </c>
      <c r="I652" t="s">
        <v>173</v>
      </c>
      <c r="J652" t="s">
        <v>54</v>
      </c>
      <c r="K652" s="5">
        <f>555 / 86400</f>
        <v>6.4236111111111108E-3</v>
      </c>
      <c r="L652" s="5">
        <f>437 / 86400</f>
        <v>5.0578703703703706E-3</v>
      </c>
    </row>
    <row r="653" spans="1:12" x14ac:dyDescent="0.25">
      <c r="A653" s="3">
        <v>45692.374456018515</v>
      </c>
      <c r="B653" t="s">
        <v>128</v>
      </c>
      <c r="C653" s="3">
        <v>45692.46570601852</v>
      </c>
      <c r="D653" t="s">
        <v>257</v>
      </c>
      <c r="E653" s="4">
        <v>38.957000000000001</v>
      </c>
      <c r="F653" s="4">
        <v>411965.37099999998</v>
      </c>
      <c r="G653" s="4">
        <v>412004.32799999998</v>
      </c>
      <c r="H653" s="5">
        <f>2741 / 86400</f>
        <v>3.1724537037037037E-2</v>
      </c>
      <c r="I653" t="s">
        <v>107</v>
      </c>
      <c r="J653" t="s">
        <v>31</v>
      </c>
      <c r="K653" s="5">
        <f>7883 / 86400</f>
        <v>9.1238425925925931E-2</v>
      </c>
      <c r="L653" s="5">
        <f>76 / 86400</f>
        <v>8.7962962962962962E-4</v>
      </c>
    </row>
    <row r="654" spans="1:12" x14ac:dyDescent="0.25">
      <c r="A654" s="3">
        <v>45692.466585648144</v>
      </c>
      <c r="B654" t="s">
        <v>257</v>
      </c>
      <c r="C654" s="3">
        <v>45692.540856481486</v>
      </c>
      <c r="D654" t="s">
        <v>111</v>
      </c>
      <c r="E654" s="4">
        <v>34.204000000000001</v>
      </c>
      <c r="F654" s="4">
        <v>412004.32799999998</v>
      </c>
      <c r="G654" s="4">
        <v>412038.53200000001</v>
      </c>
      <c r="H654" s="5">
        <f>2279 / 86400</f>
        <v>2.6377314814814815E-2</v>
      </c>
      <c r="I654" t="s">
        <v>83</v>
      </c>
      <c r="J654" t="s">
        <v>70</v>
      </c>
      <c r="K654" s="5">
        <f>6417 / 86400</f>
        <v>7.4270833333333328E-2</v>
      </c>
      <c r="L654" s="5">
        <f>421 / 86400</f>
        <v>4.8726851851851848E-3</v>
      </c>
    </row>
    <row r="655" spans="1:12" x14ac:dyDescent="0.25">
      <c r="A655" s="3">
        <v>45692.545729166668</v>
      </c>
      <c r="B655" t="s">
        <v>111</v>
      </c>
      <c r="C655" s="3">
        <v>45692.550798611112</v>
      </c>
      <c r="D655" t="s">
        <v>78</v>
      </c>
      <c r="E655" s="4">
        <v>1.6990000000000001</v>
      </c>
      <c r="F655" s="4">
        <v>412038.53200000001</v>
      </c>
      <c r="G655" s="4">
        <v>412040.23100000003</v>
      </c>
      <c r="H655" s="5">
        <f>40 / 86400</f>
        <v>4.6296296296296298E-4</v>
      </c>
      <c r="I655" t="s">
        <v>167</v>
      </c>
      <c r="J655" t="s">
        <v>28</v>
      </c>
      <c r="K655" s="5">
        <f>437 / 86400</f>
        <v>5.0578703703703706E-3</v>
      </c>
      <c r="L655" s="5">
        <f>35 / 86400</f>
        <v>4.0509259259259258E-4</v>
      </c>
    </row>
    <row r="656" spans="1:12" x14ac:dyDescent="0.25">
      <c r="A656" s="3">
        <v>45692.551203703704</v>
      </c>
      <c r="B656" t="s">
        <v>78</v>
      </c>
      <c r="C656" s="3">
        <v>45692.551539351851</v>
      </c>
      <c r="D656" t="s">
        <v>78</v>
      </c>
      <c r="E656" s="4">
        <v>1.7000000000000001E-2</v>
      </c>
      <c r="F656" s="4">
        <v>412040.23100000003</v>
      </c>
      <c r="G656" s="4">
        <v>412040.24800000002</v>
      </c>
      <c r="H656" s="5">
        <f>0 / 86400</f>
        <v>0</v>
      </c>
      <c r="I656" t="s">
        <v>137</v>
      </c>
      <c r="J656" t="s">
        <v>161</v>
      </c>
      <c r="K656" s="5">
        <f>29 / 86400</f>
        <v>3.3564814814814812E-4</v>
      </c>
      <c r="L656" s="5">
        <f>4169 / 86400</f>
        <v>4.8252314814814817E-2</v>
      </c>
    </row>
    <row r="657" spans="1:12" x14ac:dyDescent="0.25">
      <c r="A657" s="3">
        <v>45692.599791666667</v>
      </c>
      <c r="B657" t="s">
        <v>78</v>
      </c>
      <c r="C657" s="3">
        <v>45692.601458333331</v>
      </c>
      <c r="D657" t="s">
        <v>78</v>
      </c>
      <c r="E657" s="4">
        <v>3.3000000000000002E-2</v>
      </c>
      <c r="F657" s="4">
        <v>412040.24800000002</v>
      </c>
      <c r="G657" s="4">
        <v>412040.28100000002</v>
      </c>
      <c r="H657" s="5">
        <f>99 / 86400</f>
        <v>1.1458333333333333E-3</v>
      </c>
      <c r="I657" t="s">
        <v>119</v>
      </c>
      <c r="J657" t="s">
        <v>125</v>
      </c>
      <c r="K657" s="5">
        <f>144 / 86400</f>
        <v>1.6666666666666668E-3</v>
      </c>
      <c r="L657" s="5">
        <f>544 / 86400</f>
        <v>6.2962962962962964E-3</v>
      </c>
    </row>
    <row r="658" spans="1:12" x14ac:dyDescent="0.25">
      <c r="A658" s="3">
        <v>45692.607754629629</v>
      </c>
      <c r="B658" t="s">
        <v>78</v>
      </c>
      <c r="C658" s="3">
        <v>45692.613564814819</v>
      </c>
      <c r="D658" t="s">
        <v>154</v>
      </c>
      <c r="E658" s="4">
        <v>2.5470000000000002</v>
      </c>
      <c r="F658" s="4">
        <v>412040.28100000002</v>
      </c>
      <c r="G658" s="4">
        <v>412042.82799999998</v>
      </c>
      <c r="H658" s="5">
        <f>40 / 86400</f>
        <v>4.6296296296296298E-4</v>
      </c>
      <c r="I658" t="s">
        <v>204</v>
      </c>
      <c r="J658" t="s">
        <v>31</v>
      </c>
      <c r="K658" s="5">
        <f>502 / 86400</f>
        <v>5.8101851851851856E-3</v>
      </c>
      <c r="L658" s="5">
        <f>891 / 86400</f>
        <v>1.03125E-2</v>
      </c>
    </row>
    <row r="659" spans="1:12" x14ac:dyDescent="0.25">
      <c r="A659" s="3">
        <v>45692.623877314814</v>
      </c>
      <c r="B659" t="s">
        <v>154</v>
      </c>
      <c r="C659" s="3">
        <v>45692.62736111111</v>
      </c>
      <c r="D659" t="s">
        <v>154</v>
      </c>
      <c r="E659" s="4">
        <v>0.98799999999999999</v>
      </c>
      <c r="F659" s="4">
        <v>412042.82799999998</v>
      </c>
      <c r="G659" s="4">
        <v>412043.81599999999</v>
      </c>
      <c r="H659" s="5">
        <f>40 / 86400</f>
        <v>4.6296296296296298E-4</v>
      </c>
      <c r="I659" t="s">
        <v>167</v>
      </c>
      <c r="J659" t="s">
        <v>90</v>
      </c>
      <c r="K659" s="5">
        <f>300 / 86400</f>
        <v>3.472222222222222E-3</v>
      </c>
      <c r="L659" s="5">
        <f>2394 / 86400</f>
        <v>2.7708333333333335E-2</v>
      </c>
    </row>
    <row r="660" spans="1:12" x14ac:dyDescent="0.25">
      <c r="A660" s="3">
        <v>45692.655069444445</v>
      </c>
      <c r="B660" t="s">
        <v>154</v>
      </c>
      <c r="C660" s="3">
        <v>45692.663865740746</v>
      </c>
      <c r="D660" t="s">
        <v>78</v>
      </c>
      <c r="E660" s="4">
        <v>2.9449999999999998</v>
      </c>
      <c r="F660" s="4">
        <v>412043.81599999999</v>
      </c>
      <c r="G660" s="4">
        <v>412046.761</v>
      </c>
      <c r="H660" s="5">
        <f>140 / 86400</f>
        <v>1.6203703703703703E-3</v>
      </c>
      <c r="I660" t="s">
        <v>203</v>
      </c>
      <c r="J660" t="s">
        <v>28</v>
      </c>
      <c r="K660" s="5">
        <f>759 / 86400</f>
        <v>8.7847222222222215E-3</v>
      </c>
      <c r="L660" s="5">
        <f>5217 / 86400</f>
        <v>6.0381944444444446E-2</v>
      </c>
    </row>
    <row r="661" spans="1:12" x14ac:dyDescent="0.25">
      <c r="A661" s="3">
        <v>45692.724247685182</v>
      </c>
      <c r="B661" t="s">
        <v>78</v>
      </c>
      <c r="C661" s="3">
        <v>45692.726354166662</v>
      </c>
      <c r="D661" t="s">
        <v>78</v>
      </c>
      <c r="E661" s="4">
        <v>3.2000000000000001E-2</v>
      </c>
      <c r="F661" s="4">
        <v>412046.761</v>
      </c>
      <c r="G661" s="4">
        <v>412046.79300000001</v>
      </c>
      <c r="H661" s="5">
        <f>139 / 86400</f>
        <v>1.6087962962962963E-3</v>
      </c>
      <c r="I661" t="s">
        <v>119</v>
      </c>
      <c r="J661" t="s">
        <v>125</v>
      </c>
      <c r="K661" s="5">
        <f>181 / 86400</f>
        <v>2.0949074074074073E-3</v>
      </c>
      <c r="L661" s="5">
        <f>23642 / 86400</f>
        <v>0.27363425925925927</v>
      </c>
    </row>
    <row r="662" spans="1:12" x14ac:dyDescent="0.25">
      <c r="A662" s="12"/>
      <c r="B662" s="12"/>
      <c r="C662" s="12"/>
      <c r="D662" s="12"/>
      <c r="E662" s="12"/>
      <c r="F662" s="12"/>
      <c r="G662" s="12"/>
      <c r="H662" s="12"/>
      <c r="I662" s="12"/>
      <c r="J662" s="12"/>
    </row>
    <row r="663" spans="1:12" x14ac:dyDescent="0.25">
      <c r="A663" s="12"/>
      <c r="B663" s="12"/>
      <c r="C663" s="12"/>
      <c r="D663" s="12"/>
      <c r="E663" s="12"/>
      <c r="F663" s="12"/>
      <c r="G663" s="12"/>
      <c r="H663" s="12"/>
      <c r="I663" s="12"/>
      <c r="J663" s="12"/>
    </row>
    <row r="664" spans="1:12" s="10" customFormat="1" ht="20.100000000000001" customHeight="1" x14ac:dyDescent="0.35">
      <c r="A664" s="15" t="s">
        <v>319</v>
      </c>
      <c r="B664" s="15"/>
      <c r="C664" s="15"/>
      <c r="D664" s="15"/>
      <c r="E664" s="15"/>
      <c r="F664" s="15"/>
      <c r="G664" s="15"/>
      <c r="H664" s="15"/>
      <c r="I664" s="15"/>
      <c r="J664" s="15"/>
    </row>
    <row r="665" spans="1:12" x14ac:dyDescent="0.25">
      <c r="A665" s="12"/>
      <c r="B665" s="12"/>
      <c r="C665" s="12"/>
      <c r="D665" s="12"/>
      <c r="E665" s="12"/>
      <c r="F665" s="12"/>
      <c r="G665" s="12"/>
      <c r="H665" s="12"/>
      <c r="I665" s="12"/>
      <c r="J665" s="12"/>
    </row>
    <row r="666" spans="1:12" ht="30" x14ac:dyDescent="0.25">
      <c r="A666" s="2" t="s">
        <v>6</v>
      </c>
      <c r="B666" s="2" t="s">
        <v>7</v>
      </c>
      <c r="C666" s="2" t="s">
        <v>8</v>
      </c>
      <c r="D666" s="2" t="s">
        <v>9</v>
      </c>
      <c r="E666" s="2" t="s">
        <v>10</v>
      </c>
      <c r="F666" s="2" t="s">
        <v>11</v>
      </c>
      <c r="G666" s="2" t="s">
        <v>12</v>
      </c>
      <c r="H666" s="2" t="s">
        <v>13</v>
      </c>
      <c r="I666" s="2" t="s">
        <v>14</v>
      </c>
      <c r="J666" s="2" t="s">
        <v>15</v>
      </c>
      <c r="K666" s="2" t="s">
        <v>16</v>
      </c>
      <c r="L666" s="2" t="s">
        <v>17</v>
      </c>
    </row>
    <row r="667" spans="1:12" x14ac:dyDescent="0.25">
      <c r="A667" s="3">
        <v>45692.004016203704</v>
      </c>
      <c r="B667" t="s">
        <v>84</v>
      </c>
      <c r="C667" s="3">
        <v>45692.006377314814</v>
      </c>
      <c r="D667" t="s">
        <v>26</v>
      </c>
      <c r="E667" s="4">
        <v>0.42199999999999999</v>
      </c>
      <c r="F667" s="4">
        <v>325903.61300000001</v>
      </c>
      <c r="G667" s="4">
        <v>325904.03499999997</v>
      </c>
      <c r="H667" s="5">
        <f>100 / 86400</f>
        <v>1.1574074074074073E-3</v>
      </c>
      <c r="I667" t="s">
        <v>70</v>
      </c>
      <c r="J667" t="s">
        <v>43</v>
      </c>
      <c r="K667" s="5">
        <f>203 / 86400</f>
        <v>2.3495370370370371E-3</v>
      </c>
      <c r="L667" s="5">
        <f>14580 / 86400</f>
        <v>0.16875000000000001</v>
      </c>
    </row>
    <row r="668" spans="1:12" x14ac:dyDescent="0.25">
      <c r="A668" s="3">
        <v>45692.171111111107</v>
      </c>
      <c r="B668" t="s">
        <v>26</v>
      </c>
      <c r="C668" s="3">
        <v>45692.172326388885</v>
      </c>
      <c r="D668" t="s">
        <v>26</v>
      </c>
      <c r="E668" s="4">
        <v>3.7999999999999999E-2</v>
      </c>
      <c r="F668" s="4">
        <v>325904.03499999997</v>
      </c>
      <c r="G668" s="4">
        <v>325904.07299999997</v>
      </c>
      <c r="H668" s="5">
        <f>59 / 86400</f>
        <v>6.8287037037037036E-4</v>
      </c>
      <c r="I668" t="s">
        <v>137</v>
      </c>
      <c r="J668" t="s">
        <v>125</v>
      </c>
      <c r="K668" s="5">
        <f>105 / 86400</f>
        <v>1.2152777777777778E-3</v>
      </c>
      <c r="L668" s="5">
        <f>176 / 86400</f>
        <v>2.0370370370370369E-3</v>
      </c>
    </row>
    <row r="669" spans="1:12" x14ac:dyDescent="0.25">
      <c r="A669" s="3">
        <v>45692.174363425926</v>
      </c>
      <c r="B669" t="s">
        <v>26</v>
      </c>
      <c r="C669" s="3">
        <v>45692.333634259259</v>
      </c>
      <c r="D669" t="s">
        <v>40</v>
      </c>
      <c r="E669" s="4">
        <v>81.649000000000001</v>
      </c>
      <c r="F669" s="4">
        <v>325904.07299999997</v>
      </c>
      <c r="G669" s="4">
        <v>325985.72200000001</v>
      </c>
      <c r="H669" s="5">
        <f>2768 / 86400</f>
        <v>3.2037037037037037E-2</v>
      </c>
      <c r="I669" t="s">
        <v>32</v>
      </c>
      <c r="J669" t="s">
        <v>142</v>
      </c>
      <c r="K669" s="5">
        <f>13761 / 86400</f>
        <v>0.15927083333333333</v>
      </c>
      <c r="L669" s="5">
        <f>3626 / 86400</f>
        <v>4.1967592592592591E-2</v>
      </c>
    </row>
    <row r="670" spans="1:12" x14ac:dyDescent="0.25">
      <c r="A670" s="3">
        <v>45692.375601851847</v>
      </c>
      <c r="B670" t="s">
        <v>40</v>
      </c>
      <c r="C670" s="3">
        <v>45692.379548611112</v>
      </c>
      <c r="D670" t="s">
        <v>128</v>
      </c>
      <c r="E670" s="4">
        <v>0.97699999999999998</v>
      </c>
      <c r="F670" s="4">
        <v>325985.72200000001</v>
      </c>
      <c r="G670" s="4">
        <v>325986.69900000002</v>
      </c>
      <c r="H670" s="5">
        <f>79 / 86400</f>
        <v>9.1435185185185185E-4</v>
      </c>
      <c r="I670" t="s">
        <v>134</v>
      </c>
      <c r="J670" t="s">
        <v>158</v>
      </c>
      <c r="K670" s="5">
        <f>340 / 86400</f>
        <v>3.9351851851851848E-3</v>
      </c>
      <c r="L670" s="5">
        <f>934 / 86400</f>
        <v>1.0810185185185185E-2</v>
      </c>
    </row>
    <row r="671" spans="1:12" x14ac:dyDescent="0.25">
      <c r="A671" s="3">
        <v>45692.3903587963</v>
      </c>
      <c r="B671" t="s">
        <v>128</v>
      </c>
      <c r="C671" s="3">
        <v>45692.390775462962</v>
      </c>
      <c r="D671" t="s">
        <v>128</v>
      </c>
      <c r="E671" s="4">
        <v>0</v>
      </c>
      <c r="F671" s="4">
        <v>325986.69900000002</v>
      </c>
      <c r="G671" s="4">
        <v>325986.69900000002</v>
      </c>
      <c r="H671" s="5">
        <f>19 / 86400</f>
        <v>2.199074074074074E-4</v>
      </c>
      <c r="I671" t="s">
        <v>55</v>
      </c>
      <c r="J671" t="s">
        <v>55</v>
      </c>
      <c r="K671" s="5">
        <f>36 / 86400</f>
        <v>4.1666666666666669E-4</v>
      </c>
      <c r="L671" s="5">
        <f>311 / 86400</f>
        <v>3.5995370370370369E-3</v>
      </c>
    </row>
    <row r="672" spans="1:12" x14ac:dyDescent="0.25">
      <c r="A672" s="3">
        <v>45692.394375000003</v>
      </c>
      <c r="B672" t="s">
        <v>128</v>
      </c>
      <c r="C672" s="3">
        <v>45692.397719907407</v>
      </c>
      <c r="D672" t="s">
        <v>148</v>
      </c>
      <c r="E672" s="4">
        <v>1.2809999999999999</v>
      </c>
      <c r="F672" s="4">
        <v>325986.69900000002</v>
      </c>
      <c r="G672" s="4">
        <v>325987.98</v>
      </c>
      <c r="H672" s="5">
        <f>0 / 86400</f>
        <v>0</v>
      </c>
      <c r="I672" t="s">
        <v>203</v>
      </c>
      <c r="J672" t="s">
        <v>36</v>
      </c>
      <c r="K672" s="5">
        <f>289 / 86400</f>
        <v>3.3449074074074076E-3</v>
      </c>
      <c r="L672" s="5">
        <f>774 / 86400</f>
        <v>8.9583333333333338E-3</v>
      </c>
    </row>
    <row r="673" spans="1:12" x14ac:dyDescent="0.25">
      <c r="A673" s="3">
        <v>45692.406678240739</v>
      </c>
      <c r="B673" t="s">
        <v>148</v>
      </c>
      <c r="C673" s="3">
        <v>45692.410300925927</v>
      </c>
      <c r="D673" t="s">
        <v>146</v>
      </c>
      <c r="E673" s="4">
        <v>1.282</v>
      </c>
      <c r="F673" s="4">
        <v>325987.98</v>
      </c>
      <c r="G673" s="4">
        <v>325989.26199999999</v>
      </c>
      <c r="H673" s="5">
        <f>0 / 86400</f>
        <v>0</v>
      </c>
      <c r="I673" t="s">
        <v>134</v>
      </c>
      <c r="J673" t="s">
        <v>20</v>
      </c>
      <c r="K673" s="5">
        <f>313 / 86400</f>
        <v>3.6226851851851854E-3</v>
      </c>
      <c r="L673" s="5">
        <f>162 / 86400</f>
        <v>1.8749999999999999E-3</v>
      </c>
    </row>
    <row r="674" spans="1:12" x14ac:dyDescent="0.25">
      <c r="A674" s="3">
        <v>45692.412175925929</v>
      </c>
      <c r="B674" t="s">
        <v>146</v>
      </c>
      <c r="C674" s="3">
        <v>45692.412465277783</v>
      </c>
      <c r="D674" t="s">
        <v>146</v>
      </c>
      <c r="E674" s="4">
        <v>3.3000000000000002E-2</v>
      </c>
      <c r="F674" s="4">
        <v>325989.26199999999</v>
      </c>
      <c r="G674" s="4">
        <v>325989.29499999998</v>
      </c>
      <c r="H674" s="5">
        <f>0 / 86400</f>
        <v>0</v>
      </c>
      <c r="I674" t="s">
        <v>119</v>
      </c>
      <c r="J674" t="s">
        <v>119</v>
      </c>
      <c r="K674" s="5">
        <f>25 / 86400</f>
        <v>2.8935185185185184E-4</v>
      </c>
      <c r="L674" s="5">
        <f>167 / 86400</f>
        <v>1.9328703703703704E-3</v>
      </c>
    </row>
    <row r="675" spans="1:12" x14ac:dyDescent="0.25">
      <c r="A675" s="3">
        <v>45692.414398148147</v>
      </c>
      <c r="B675" t="s">
        <v>146</v>
      </c>
      <c r="C675" s="3">
        <v>45692.531284722223</v>
      </c>
      <c r="D675" t="s">
        <v>258</v>
      </c>
      <c r="E675" s="4">
        <v>49.643000000000001</v>
      </c>
      <c r="F675" s="4">
        <v>325989.29499999998</v>
      </c>
      <c r="G675" s="4">
        <v>326038.93800000002</v>
      </c>
      <c r="H675" s="5">
        <f>2819 / 86400</f>
        <v>3.2627314814814817E-2</v>
      </c>
      <c r="I675" t="s">
        <v>27</v>
      </c>
      <c r="J675" t="s">
        <v>31</v>
      </c>
      <c r="K675" s="5">
        <f>10099 / 86400</f>
        <v>0.11688657407407407</v>
      </c>
      <c r="L675" s="5">
        <f>362 / 86400</f>
        <v>4.1898148148148146E-3</v>
      </c>
    </row>
    <row r="676" spans="1:12" x14ac:dyDescent="0.25">
      <c r="A676" s="3">
        <v>45692.535474537042</v>
      </c>
      <c r="B676" t="s">
        <v>259</v>
      </c>
      <c r="C676" s="3">
        <v>45692.535682870366</v>
      </c>
      <c r="D676" t="s">
        <v>258</v>
      </c>
      <c r="E676" s="4">
        <v>5.0000000000000001E-3</v>
      </c>
      <c r="F676" s="4">
        <v>326038.93800000002</v>
      </c>
      <c r="G676" s="4">
        <v>326038.94300000003</v>
      </c>
      <c r="H676" s="5">
        <f>0 / 86400</f>
        <v>0</v>
      </c>
      <c r="I676" t="s">
        <v>55</v>
      </c>
      <c r="J676" t="s">
        <v>125</v>
      </c>
      <c r="K676" s="5">
        <f>17 / 86400</f>
        <v>1.9675925925925926E-4</v>
      </c>
      <c r="L676" s="5">
        <f>718 / 86400</f>
        <v>8.3101851851851843E-3</v>
      </c>
    </row>
    <row r="677" spans="1:12" x14ac:dyDescent="0.25">
      <c r="A677" s="3">
        <v>45692.543993055559</v>
      </c>
      <c r="B677" t="s">
        <v>258</v>
      </c>
      <c r="C677" s="3">
        <v>45692.668182870373</v>
      </c>
      <c r="D677" t="s">
        <v>84</v>
      </c>
      <c r="E677" s="4">
        <v>48.487000000000002</v>
      </c>
      <c r="F677" s="4">
        <v>326038.94300000003</v>
      </c>
      <c r="G677" s="4">
        <v>326087.43</v>
      </c>
      <c r="H677" s="5">
        <f>3440 / 86400</f>
        <v>3.9814814814814817E-2</v>
      </c>
      <c r="I677" t="s">
        <v>177</v>
      </c>
      <c r="J677" t="s">
        <v>36</v>
      </c>
      <c r="K677" s="5">
        <f>10729 / 86400</f>
        <v>0.12417824074074074</v>
      </c>
      <c r="L677" s="5">
        <f>430 / 86400</f>
        <v>4.9768518518518521E-3</v>
      </c>
    </row>
    <row r="678" spans="1:12" x14ac:dyDescent="0.25">
      <c r="A678" s="3">
        <v>45692.673159722224</v>
      </c>
      <c r="B678" t="s">
        <v>84</v>
      </c>
      <c r="C678" s="3">
        <v>45692.676064814819</v>
      </c>
      <c r="D678" t="s">
        <v>26</v>
      </c>
      <c r="E678" s="4">
        <v>0.46300000000000002</v>
      </c>
      <c r="F678" s="4">
        <v>326087.43</v>
      </c>
      <c r="G678" s="4">
        <v>326087.89299999998</v>
      </c>
      <c r="H678" s="5">
        <f>79 / 86400</f>
        <v>9.1435185185185185E-4</v>
      </c>
      <c r="I678" t="s">
        <v>70</v>
      </c>
      <c r="J678" t="s">
        <v>43</v>
      </c>
      <c r="K678" s="5">
        <f>250 / 86400</f>
        <v>2.8935185185185184E-3</v>
      </c>
      <c r="L678" s="5">
        <f>191 / 86400</f>
        <v>2.2106481481481482E-3</v>
      </c>
    </row>
    <row r="679" spans="1:12" x14ac:dyDescent="0.25">
      <c r="A679" s="3">
        <v>45692.678275462968</v>
      </c>
      <c r="B679" t="s">
        <v>26</v>
      </c>
      <c r="C679" s="3">
        <v>45692.679560185185</v>
      </c>
      <c r="D679" t="s">
        <v>154</v>
      </c>
      <c r="E679" s="4">
        <v>0.374</v>
      </c>
      <c r="F679" s="4">
        <v>326087.89299999998</v>
      </c>
      <c r="G679" s="4">
        <v>326088.26699999999</v>
      </c>
      <c r="H679" s="5">
        <f>0 / 86400</f>
        <v>0</v>
      </c>
      <c r="I679" t="s">
        <v>70</v>
      </c>
      <c r="J679" t="s">
        <v>90</v>
      </c>
      <c r="K679" s="5">
        <f>111 / 86400</f>
        <v>1.2847222222222223E-3</v>
      </c>
      <c r="L679" s="5">
        <f>13 / 86400</f>
        <v>1.5046296296296297E-4</v>
      </c>
    </row>
    <row r="680" spans="1:12" x14ac:dyDescent="0.25">
      <c r="A680" s="3">
        <v>45692.679710648154</v>
      </c>
      <c r="B680" t="s">
        <v>154</v>
      </c>
      <c r="C680" s="3">
        <v>45692.827187499999</v>
      </c>
      <c r="D680" t="s">
        <v>260</v>
      </c>
      <c r="E680" s="4">
        <v>57.311999999999998</v>
      </c>
      <c r="F680" s="4">
        <v>326088.26699999999</v>
      </c>
      <c r="G680" s="4">
        <v>326145.57900000003</v>
      </c>
      <c r="H680" s="5">
        <f>4298 / 86400</f>
        <v>4.974537037037037E-2</v>
      </c>
      <c r="I680" t="s">
        <v>67</v>
      </c>
      <c r="J680" t="s">
        <v>36</v>
      </c>
      <c r="K680" s="5">
        <f>12741 / 86400</f>
        <v>0.14746527777777776</v>
      </c>
      <c r="L680" s="5">
        <f>43 / 86400</f>
        <v>4.9768518518518521E-4</v>
      </c>
    </row>
    <row r="681" spans="1:12" x14ac:dyDescent="0.25">
      <c r="A681" s="3">
        <v>45692.827685185184</v>
      </c>
      <c r="B681" t="s">
        <v>260</v>
      </c>
      <c r="C681" s="3">
        <v>45692.967997685184</v>
      </c>
      <c r="D681" t="s">
        <v>194</v>
      </c>
      <c r="E681" s="4">
        <v>47.975000000000001</v>
      </c>
      <c r="F681" s="4">
        <v>326145.57900000003</v>
      </c>
      <c r="G681" s="4">
        <v>326193.554</v>
      </c>
      <c r="H681" s="5">
        <f>4920 / 86400</f>
        <v>5.6944444444444443E-2</v>
      </c>
      <c r="I681" t="s">
        <v>86</v>
      </c>
      <c r="J681" t="s">
        <v>28</v>
      </c>
      <c r="K681" s="5">
        <f>12123 / 86400</f>
        <v>0.14031250000000001</v>
      </c>
      <c r="L681" s="5">
        <f>202 / 86400</f>
        <v>2.3379629629629631E-3</v>
      </c>
    </row>
    <row r="682" spans="1:12" x14ac:dyDescent="0.25">
      <c r="A682" s="3">
        <v>45692.970335648148</v>
      </c>
      <c r="B682" t="s">
        <v>194</v>
      </c>
      <c r="C682" s="3">
        <v>45692.97047453704</v>
      </c>
      <c r="D682" t="s">
        <v>194</v>
      </c>
      <c r="E682" s="4">
        <v>8.9999999999999993E-3</v>
      </c>
      <c r="F682" s="4">
        <v>326193.554</v>
      </c>
      <c r="G682" s="4">
        <v>326193.56300000002</v>
      </c>
      <c r="H682" s="5">
        <f>0 / 86400</f>
        <v>0</v>
      </c>
      <c r="I682" t="s">
        <v>137</v>
      </c>
      <c r="J682" t="s">
        <v>140</v>
      </c>
      <c r="K682" s="5">
        <f>12 / 86400</f>
        <v>1.3888888888888889E-4</v>
      </c>
      <c r="L682" s="5">
        <f>322 / 86400</f>
        <v>3.7268518518518519E-3</v>
      </c>
    </row>
    <row r="683" spans="1:12" x14ac:dyDescent="0.25">
      <c r="A683" s="3">
        <v>45692.97420138889</v>
      </c>
      <c r="B683" t="s">
        <v>194</v>
      </c>
      <c r="C683" s="3">
        <v>45692.99998842593</v>
      </c>
      <c r="D683" t="s">
        <v>85</v>
      </c>
      <c r="E683" s="4">
        <v>9.7110000000000003</v>
      </c>
      <c r="F683" s="4">
        <v>326193.56300000002</v>
      </c>
      <c r="G683" s="4">
        <v>326203.27399999998</v>
      </c>
      <c r="H683" s="5">
        <f>879 / 86400</f>
        <v>1.0173611111111111E-2</v>
      </c>
      <c r="I683" t="s">
        <v>109</v>
      </c>
      <c r="J683" t="s">
        <v>36</v>
      </c>
      <c r="K683" s="5">
        <f>2228 / 86400</f>
        <v>2.5787037037037035E-2</v>
      </c>
      <c r="L683" s="5">
        <f>0 / 86400</f>
        <v>0</v>
      </c>
    </row>
    <row r="684" spans="1:12" x14ac:dyDescent="0.25">
      <c r="A684" s="12"/>
      <c r="B684" s="12"/>
      <c r="C684" s="12"/>
      <c r="D684" s="12"/>
      <c r="E684" s="12"/>
      <c r="F684" s="12"/>
      <c r="G684" s="12"/>
      <c r="H684" s="12"/>
      <c r="I684" s="12"/>
      <c r="J684" s="12"/>
    </row>
    <row r="685" spans="1:12" x14ac:dyDescent="0.25">
      <c r="A685" s="12"/>
      <c r="B685" s="12"/>
      <c r="C685" s="12"/>
      <c r="D685" s="12"/>
      <c r="E685" s="12"/>
      <c r="F685" s="12"/>
      <c r="G685" s="12"/>
      <c r="H685" s="12"/>
      <c r="I685" s="12"/>
      <c r="J685" s="12"/>
    </row>
    <row r="686" spans="1:12" s="10" customFormat="1" ht="20.100000000000001" customHeight="1" x14ac:dyDescent="0.35">
      <c r="A686" s="15" t="s">
        <v>320</v>
      </c>
      <c r="B686" s="15"/>
      <c r="C686" s="15"/>
      <c r="D686" s="15"/>
      <c r="E686" s="15"/>
      <c r="F686" s="15"/>
      <c r="G686" s="15"/>
      <c r="H686" s="15"/>
      <c r="I686" s="15"/>
      <c r="J686" s="15"/>
    </row>
    <row r="687" spans="1:12" x14ac:dyDescent="0.25">
      <c r="A687" s="12"/>
      <c r="B687" s="12"/>
      <c r="C687" s="12"/>
      <c r="D687" s="12"/>
      <c r="E687" s="12"/>
      <c r="F687" s="12"/>
      <c r="G687" s="12"/>
      <c r="H687" s="12"/>
      <c r="I687" s="12"/>
      <c r="J687" s="12"/>
    </row>
    <row r="688" spans="1:12" ht="30" x14ac:dyDescent="0.25">
      <c r="A688" s="2" t="s">
        <v>6</v>
      </c>
      <c r="B688" s="2" t="s">
        <v>7</v>
      </c>
      <c r="C688" s="2" t="s">
        <v>8</v>
      </c>
      <c r="D688" s="2" t="s">
        <v>9</v>
      </c>
      <c r="E688" s="2" t="s">
        <v>10</v>
      </c>
      <c r="F688" s="2" t="s">
        <v>11</v>
      </c>
      <c r="G688" s="2" t="s">
        <v>12</v>
      </c>
      <c r="H688" s="2" t="s">
        <v>13</v>
      </c>
      <c r="I688" s="2" t="s">
        <v>14</v>
      </c>
      <c r="J688" s="2" t="s">
        <v>15</v>
      </c>
      <c r="K688" s="2" t="s">
        <v>16</v>
      </c>
      <c r="L688" s="2" t="s">
        <v>17</v>
      </c>
    </row>
    <row r="689" spans="1:12" x14ac:dyDescent="0.25">
      <c r="A689" s="3">
        <v>45692.085694444446</v>
      </c>
      <c r="B689" t="s">
        <v>26</v>
      </c>
      <c r="C689" s="3">
        <v>45692.146863425922</v>
      </c>
      <c r="D689" t="s">
        <v>26</v>
      </c>
      <c r="E689" s="4">
        <v>0</v>
      </c>
      <c r="F689" s="4">
        <v>359240.34600000002</v>
      </c>
      <c r="G689" s="4">
        <v>359240.34600000002</v>
      </c>
      <c r="H689" s="5">
        <f>5285 / 86400</f>
        <v>6.1168981481481484E-2</v>
      </c>
      <c r="I689" t="s">
        <v>55</v>
      </c>
      <c r="J689" t="s">
        <v>55</v>
      </c>
      <c r="K689" s="5">
        <f>5285 / 86400</f>
        <v>6.1168981481481484E-2</v>
      </c>
      <c r="L689" s="5">
        <f>7554 / 86400</f>
        <v>8.7430555555555553E-2</v>
      </c>
    </row>
    <row r="690" spans="1:12" x14ac:dyDescent="0.25">
      <c r="A690" s="3">
        <v>45692.148611111115</v>
      </c>
      <c r="B690" t="s">
        <v>26</v>
      </c>
      <c r="C690" s="3">
        <v>45692.579432870371</v>
      </c>
      <c r="D690" t="s">
        <v>40</v>
      </c>
      <c r="E690" s="4">
        <v>84.200999999999993</v>
      </c>
      <c r="F690" s="4">
        <v>359240.34600000002</v>
      </c>
      <c r="G690" s="4">
        <v>359324.54700000002</v>
      </c>
      <c r="H690" s="5">
        <f>23961 / 86400</f>
        <v>0.27732638888888889</v>
      </c>
      <c r="I690" t="s">
        <v>83</v>
      </c>
      <c r="J690" t="s">
        <v>135</v>
      </c>
      <c r="K690" s="5">
        <f>37223 / 86400</f>
        <v>0.43082175925925925</v>
      </c>
      <c r="L690" s="5">
        <f>8 / 86400</f>
        <v>9.2592592592592588E-5</v>
      </c>
    </row>
    <row r="691" spans="1:12" x14ac:dyDescent="0.25">
      <c r="A691" s="3">
        <v>45692.579525462963</v>
      </c>
      <c r="B691" t="s">
        <v>40</v>
      </c>
      <c r="C691" s="3">
        <v>45692.856770833328</v>
      </c>
      <c r="D691" t="s">
        <v>26</v>
      </c>
      <c r="E691" s="4">
        <v>78.075999999999993</v>
      </c>
      <c r="F691" s="4">
        <v>359324.54700000002</v>
      </c>
      <c r="G691" s="4">
        <v>359402.62300000002</v>
      </c>
      <c r="H691" s="5">
        <f>11299 / 86400</f>
        <v>0.13077546296296297</v>
      </c>
      <c r="I691" t="s">
        <v>67</v>
      </c>
      <c r="J691" t="s">
        <v>90</v>
      </c>
      <c r="K691" s="5">
        <f>23954 / 86400</f>
        <v>0.27724537037037039</v>
      </c>
      <c r="L691" s="5">
        <f>2 / 86400</f>
        <v>2.3148148148148147E-5</v>
      </c>
    </row>
    <row r="692" spans="1:12" x14ac:dyDescent="0.25">
      <c r="A692" s="3">
        <v>45692.856793981482</v>
      </c>
      <c r="B692" t="s">
        <v>26</v>
      </c>
      <c r="C692" s="3">
        <v>45692.998935185184</v>
      </c>
      <c r="D692" t="s">
        <v>26</v>
      </c>
      <c r="E692" s="4">
        <v>0</v>
      </c>
      <c r="F692" s="4">
        <v>359402.62300000002</v>
      </c>
      <c r="G692" s="4">
        <v>359402.62300000002</v>
      </c>
      <c r="H692" s="5">
        <f>12259 / 86400</f>
        <v>0.14188657407407407</v>
      </c>
      <c r="I692" t="s">
        <v>55</v>
      </c>
      <c r="J692" t="s">
        <v>55</v>
      </c>
      <c r="K692" s="5">
        <f>12280 / 86400</f>
        <v>0.14212962962962963</v>
      </c>
      <c r="L692" s="5">
        <f>91 / 86400</f>
        <v>1.0532407407407407E-3</v>
      </c>
    </row>
    <row r="693" spans="1:12" x14ac:dyDescent="0.25">
      <c r="A693" s="12"/>
      <c r="B693" s="12"/>
      <c r="C693" s="12"/>
      <c r="D693" s="12"/>
      <c r="E693" s="12"/>
      <c r="F693" s="12"/>
      <c r="G693" s="12"/>
      <c r="H693" s="12"/>
      <c r="I693" s="12"/>
      <c r="J693" s="12"/>
    </row>
    <row r="694" spans="1:12" x14ac:dyDescent="0.25">
      <c r="A694" s="12"/>
      <c r="B694" s="12"/>
      <c r="C694" s="12"/>
      <c r="D694" s="12"/>
      <c r="E694" s="12"/>
      <c r="F694" s="12"/>
      <c r="G694" s="12"/>
      <c r="H694" s="12"/>
      <c r="I694" s="12"/>
      <c r="J694" s="12"/>
    </row>
    <row r="695" spans="1:12" s="10" customFormat="1" ht="20.100000000000001" customHeight="1" x14ac:dyDescent="0.35">
      <c r="A695" s="15" t="s">
        <v>321</v>
      </c>
      <c r="B695" s="15"/>
      <c r="C695" s="15"/>
      <c r="D695" s="15"/>
      <c r="E695" s="15"/>
      <c r="F695" s="15"/>
      <c r="G695" s="15"/>
      <c r="H695" s="15"/>
      <c r="I695" s="15"/>
      <c r="J695" s="15"/>
    </row>
    <row r="696" spans="1:12" x14ac:dyDescent="0.25">
      <c r="A696" s="12"/>
      <c r="B696" s="12"/>
      <c r="C696" s="12"/>
      <c r="D696" s="12"/>
      <c r="E696" s="12"/>
      <c r="F696" s="12"/>
      <c r="G696" s="12"/>
      <c r="H696" s="12"/>
      <c r="I696" s="12"/>
      <c r="J696" s="12"/>
    </row>
    <row r="697" spans="1:12" ht="30" x14ac:dyDescent="0.25">
      <c r="A697" s="2" t="s">
        <v>6</v>
      </c>
      <c r="B697" s="2" t="s">
        <v>7</v>
      </c>
      <c r="C697" s="2" t="s">
        <v>8</v>
      </c>
      <c r="D697" s="2" t="s">
        <v>9</v>
      </c>
      <c r="E697" s="2" t="s">
        <v>10</v>
      </c>
      <c r="F697" s="2" t="s">
        <v>11</v>
      </c>
      <c r="G697" s="2" t="s">
        <v>12</v>
      </c>
      <c r="H697" s="2" t="s">
        <v>13</v>
      </c>
      <c r="I697" s="2" t="s">
        <v>14</v>
      </c>
      <c r="J697" s="2" t="s">
        <v>15</v>
      </c>
      <c r="K697" s="2" t="s">
        <v>16</v>
      </c>
      <c r="L697" s="2" t="s">
        <v>17</v>
      </c>
    </row>
    <row r="698" spans="1:12" x14ac:dyDescent="0.25">
      <c r="A698" s="3">
        <v>45692.285509259258</v>
      </c>
      <c r="B698" t="s">
        <v>87</v>
      </c>
      <c r="C698" s="3">
        <v>45692.409456018519</v>
      </c>
      <c r="D698" t="s">
        <v>169</v>
      </c>
      <c r="E698" s="4">
        <v>50.834000000000003</v>
      </c>
      <c r="F698" s="4">
        <v>80547.756999999998</v>
      </c>
      <c r="G698" s="4">
        <v>80598.591</v>
      </c>
      <c r="H698" s="5">
        <f>3661 / 86400</f>
        <v>4.2372685185185187E-2</v>
      </c>
      <c r="I698" t="s">
        <v>82</v>
      </c>
      <c r="J698" t="s">
        <v>25</v>
      </c>
      <c r="K698" s="5">
        <f>10708 / 86400</f>
        <v>0.12393518518518519</v>
      </c>
      <c r="L698" s="5">
        <f>25240 / 86400</f>
        <v>0.29212962962962963</v>
      </c>
    </row>
    <row r="699" spans="1:12" x14ac:dyDescent="0.25">
      <c r="A699" s="3">
        <v>45692.416076388894</v>
      </c>
      <c r="B699" t="s">
        <v>261</v>
      </c>
      <c r="C699" s="3">
        <v>45692.550393518519</v>
      </c>
      <c r="D699" t="s">
        <v>141</v>
      </c>
      <c r="E699" s="4">
        <v>52.607999999999997</v>
      </c>
      <c r="F699" s="4">
        <v>80598.591</v>
      </c>
      <c r="G699" s="4">
        <v>80651.198999999993</v>
      </c>
      <c r="H699" s="5">
        <f>3781 / 86400</f>
        <v>4.3761574074074071E-2</v>
      </c>
      <c r="I699" t="s">
        <v>24</v>
      </c>
      <c r="J699" t="s">
        <v>36</v>
      </c>
      <c r="K699" s="5">
        <f>11605 / 86400</f>
        <v>0.13431712962962963</v>
      </c>
      <c r="L699" s="5">
        <f>5 / 86400</f>
        <v>5.7870370370370373E-5</v>
      </c>
    </row>
    <row r="700" spans="1:12" x14ac:dyDescent="0.25">
      <c r="A700" s="3">
        <v>45692.550451388888</v>
      </c>
      <c r="B700" t="s">
        <v>141</v>
      </c>
      <c r="C700" s="3">
        <v>45692.550520833334</v>
      </c>
      <c r="D700" t="s">
        <v>141</v>
      </c>
      <c r="E700" s="4">
        <v>0</v>
      </c>
      <c r="F700" s="4">
        <v>80651.198999999993</v>
      </c>
      <c r="G700" s="4">
        <v>80651.198999999993</v>
      </c>
      <c r="H700" s="5">
        <f>2 / 86400</f>
        <v>2.3148148148148147E-5</v>
      </c>
      <c r="I700" t="s">
        <v>55</v>
      </c>
      <c r="J700" t="s">
        <v>55</v>
      </c>
      <c r="K700" s="5">
        <f>6 / 86400</f>
        <v>6.9444444444444444E-5</v>
      </c>
      <c r="L700" s="5">
        <f>25 / 86400</f>
        <v>2.8935185185185184E-4</v>
      </c>
    </row>
    <row r="701" spans="1:12" x14ac:dyDescent="0.25">
      <c r="A701" s="3">
        <v>45692.550810185188</v>
      </c>
      <c r="B701" t="s">
        <v>141</v>
      </c>
      <c r="C701" s="3">
        <v>45692.55096064815</v>
      </c>
      <c r="D701" t="s">
        <v>233</v>
      </c>
      <c r="E701" s="4">
        <v>0</v>
      </c>
      <c r="F701" s="4">
        <v>80651.198999999993</v>
      </c>
      <c r="G701" s="4">
        <v>80651.198999999993</v>
      </c>
      <c r="H701" s="5">
        <f>0 / 86400</f>
        <v>0</v>
      </c>
      <c r="I701" t="s">
        <v>55</v>
      </c>
      <c r="J701" t="s">
        <v>55</v>
      </c>
      <c r="K701" s="5">
        <f>12 / 86400</f>
        <v>1.3888888888888889E-4</v>
      </c>
      <c r="L701" s="5">
        <f>302 / 86400</f>
        <v>3.4953703703703705E-3</v>
      </c>
    </row>
    <row r="702" spans="1:12" x14ac:dyDescent="0.25">
      <c r="A702" s="3">
        <v>45692.554456018523</v>
      </c>
      <c r="B702" t="s">
        <v>233</v>
      </c>
      <c r="C702" s="3">
        <v>45692.557708333334</v>
      </c>
      <c r="D702" t="s">
        <v>87</v>
      </c>
      <c r="E702" s="4">
        <v>1.17</v>
      </c>
      <c r="F702" s="4">
        <v>80651.198999999993</v>
      </c>
      <c r="G702" s="4">
        <v>80652.369000000006</v>
      </c>
      <c r="H702" s="5">
        <f>40 / 86400</f>
        <v>4.6296296296296298E-4</v>
      </c>
      <c r="I702" t="s">
        <v>149</v>
      </c>
      <c r="J702" t="s">
        <v>20</v>
      </c>
      <c r="K702" s="5">
        <f>280 / 86400</f>
        <v>3.2407407407407406E-3</v>
      </c>
      <c r="L702" s="5">
        <f>5604 / 86400</f>
        <v>6.4861111111111105E-2</v>
      </c>
    </row>
    <row r="703" spans="1:12" x14ac:dyDescent="0.25">
      <c r="A703" s="3">
        <v>45692.622569444444</v>
      </c>
      <c r="B703" t="s">
        <v>87</v>
      </c>
      <c r="C703" s="3">
        <v>45692.702499999999</v>
      </c>
      <c r="D703" t="s">
        <v>151</v>
      </c>
      <c r="E703" s="4">
        <v>41.302999999999997</v>
      </c>
      <c r="F703" s="4">
        <v>80652.369000000006</v>
      </c>
      <c r="G703" s="4">
        <v>80693.672000000006</v>
      </c>
      <c r="H703" s="5">
        <f>1799 / 86400</f>
        <v>2.0821759259259259E-2</v>
      </c>
      <c r="I703" t="s">
        <v>86</v>
      </c>
      <c r="J703" t="s">
        <v>122</v>
      </c>
      <c r="K703" s="5">
        <f>6905 / 86400</f>
        <v>7.991898148148148E-2</v>
      </c>
      <c r="L703" s="5">
        <f>1546 / 86400</f>
        <v>1.7893518518518517E-2</v>
      </c>
    </row>
    <row r="704" spans="1:12" x14ac:dyDescent="0.25">
      <c r="A704" s="3">
        <v>45692.720393518517</v>
      </c>
      <c r="B704" t="s">
        <v>151</v>
      </c>
      <c r="C704" s="3">
        <v>45692.720648148148</v>
      </c>
      <c r="D704" t="s">
        <v>151</v>
      </c>
      <c r="E704" s="4">
        <v>8.0000000000000002E-3</v>
      </c>
      <c r="F704" s="4">
        <v>80693.672000000006</v>
      </c>
      <c r="G704" s="4">
        <v>80693.679999999993</v>
      </c>
      <c r="H704" s="5">
        <f>19 / 86400</f>
        <v>2.199074074074074E-4</v>
      </c>
      <c r="I704" t="s">
        <v>55</v>
      </c>
      <c r="J704" t="s">
        <v>125</v>
      </c>
      <c r="K704" s="5">
        <f>21 / 86400</f>
        <v>2.4305555555555555E-4</v>
      </c>
      <c r="L704" s="5">
        <f>1220 / 86400</f>
        <v>1.412037037037037E-2</v>
      </c>
    </row>
    <row r="705" spans="1:12" x14ac:dyDescent="0.25">
      <c r="A705" s="3">
        <v>45692.734768518523</v>
      </c>
      <c r="B705" t="s">
        <v>151</v>
      </c>
      <c r="C705" s="3">
        <v>45692.839745370366</v>
      </c>
      <c r="D705" t="s">
        <v>233</v>
      </c>
      <c r="E705" s="4">
        <v>40.914999999999999</v>
      </c>
      <c r="F705" s="4">
        <v>80693.679999999993</v>
      </c>
      <c r="G705" s="4">
        <v>80734.595000000001</v>
      </c>
      <c r="H705" s="5">
        <f>2960 / 86400</f>
        <v>3.425925925925926E-2</v>
      </c>
      <c r="I705" t="s">
        <v>108</v>
      </c>
      <c r="J705" t="s">
        <v>36</v>
      </c>
      <c r="K705" s="5">
        <f>9069 / 86400</f>
        <v>0.10496527777777778</v>
      </c>
      <c r="L705" s="5">
        <f>240 / 86400</f>
        <v>2.7777777777777779E-3</v>
      </c>
    </row>
    <row r="706" spans="1:12" x14ac:dyDescent="0.25">
      <c r="A706" s="3">
        <v>45692.842523148152</v>
      </c>
      <c r="B706" t="s">
        <v>141</v>
      </c>
      <c r="C706" s="3">
        <v>45692.852395833332</v>
      </c>
      <c r="D706" t="s">
        <v>87</v>
      </c>
      <c r="E706" s="4">
        <v>1.17</v>
      </c>
      <c r="F706" s="4">
        <v>80734.595000000001</v>
      </c>
      <c r="G706" s="4">
        <v>80735.764999999999</v>
      </c>
      <c r="H706" s="5">
        <f>599 / 86400</f>
        <v>6.9328703703703705E-3</v>
      </c>
      <c r="I706" t="s">
        <v>134</v>
      </c>
      <c r="J706" t="s">
        <v>119</v>
      </c>
      <c r="K706" s="5">
        <f>852 / 86400</f>
        <v>9.8611111111111104E-3</v>
      </c>
      <c r="L706" s="5">
        <f>1147 / 86400</f>
        <v>1.3275462962962963E-2</v>
      </c>
    </row>
    <row r="707" spans="1:12" x14ac:dyDescent="0.25">
      <c r="A707" s="3">
        <v>45692.865671296298</v>
      </c>
      <c r="B707" t="s">
        <v>87</v>
      </c>
      <c r="C707" s="3">
        <v>45692.866446759261</v>
      </c>
      <c r="D707" t="s">
        <v>87</v>
      </c>
      <c r="E707" s="4">
        <v>0.13900000000000001</v>
      </c>
      <c r="F707" s="4">
        <v>80735.764999999999</v>
      </c>
      <c r="G707" s="4">
        <v>80735.903999999995</v>
      </c>
      <c r="H707" s="5">
        <f>0 / 86400</f>
        <v>0</v>
      </c>
      <c r="I707" t="s">
        <v>25</v>
      </c>
      <c r="J707" t="s">
        <v>43</v>
      </c>
      <c r="K707" s="5">
        <f>67 / 86400</f>
        <v>7.7546296296296293E-4</v>
      </c>
      <c r="L707" s="5">
        <f>11538 / 86400</f>
        <v>0.13354166666666667</v>
      </c>
    </row>
    <row r="708" spans="1:12" x14ac:dyDescent="0.25">
      <c r="A708" s="12"/>
      <c r="B708" s="12"/>
      <c r="C708" s="12"/>
      <c r="D708" s="12"/>
      <c r="E708" s="12"/>
      <c r="F708" s="12"/>
      <c r="G708" s="12"/>
      <c r="H708" s="12"/>
      <c r="I708" s="12"/>
      <c r="J708" s="12"/>
    </row>
    <row r="709" spans="1:12" x14ac:dyDescent="0.25">
      <c r="A709" s="12"/>
      <c r="B709" s="12"/>
      <c r="C709" s="12"/>
      <c r="D709" s="12"/>
      <c r="E709" s="12"/>
      <c r="F709" s="12"/>
      <c r="G709" s="12"/>
      <c r="H709" s="12"/>
      <c r="I709" s="12"/>
      <c r="J709" s="12"/>
    </row>
    <row r="710" spans="1:12" s="10" customFormat="1" ht="20.100000000000001" customHeight="1" x14ac:dyDescent="0.35">
      <c r="A710" s="15" t="s">
        <v>322</v>
      </c>
      <c r="B710" s="15"/>
      <c r="C710" s="15"/>
      <c r="D710" s="15"/>
      <c r="E710" s="15"/>
      <c r="F710" s="15"/>
      <c r="G710" s="15"/>
      <c r="H710" s="15"/>
      <c r="I710" s="15"/>
      <c r="J710" s="15"/>
    </row>
    <row r="711" spans="1:12" x14ac:dyDescent="0.25">
      <c r="A711" s="12"/>
      <c r="B711" s="12"/>
      <c r="C711" s="12"/>
      <c r="D711" s="12"/>
      <c r="E711" s="12"/>
      <c r="F711" s="12"/>
      <c r="G711" s="12"/>
      <c r="H711" s="12"/>
      <c r="I711" s="12"/>
      <c r="J711" s="12"/>
    </row>
    <row r="712" spans="1:12" ht="30" x14ac:dyDescent="0.25">
      <c r="A712" s="2" t="s">
        <v>6</v>
      </c>
      <c r="B712" s="2" t="s">
        <v>7</v>
      </c>
      <c r="C712" s="2" t="s">
        <v>8</v>
      </c>
      <c r="D712" s="2" t="s">
        <v>9</v>
      </c>
      <c r="E712" s="2" t="s">
        <v>10</v>
      </c>
      <c r="F712" s="2" t="s">
        <v>11</v>
      </c>
      <c r="G712" s="2" t="s">
        <v>12</v>
      </c>
      <c r="H712" s="2" t="s">
        <v>13</v>
      </c>
      <c r="I712" s="2" t="s">
        <v>14</v>
      </c>
      <c r="J712" s="2" t="s">
        <v>15</v>
      </c>
      <c r="K712" s="2" t="s">
        <v>16</v>
      </c>
      <c r="L712" s="2" t="s">
        <v>17</v>
      </c>
    </row>
    <row r="713" spans="1:12" x14ac:dyDescent="0.25">
      <c r="A713" s="3">
        <v>45692.281307870369</v>
      </c>
      <c r="B713" t="s">
        <v>26</v>
      </c>
      <c r="C713" s="3">
        <v>45692.282013888893</v>
      </c>
      <c r="D713" t="s">
        <v>26</v>
      </c>
      <c r="E713" s="4">
        <v>2.5000000000000001E-2</v>
      </c>
      <c r="F713" s="4">
        <v>468179.82</v>
      </c>
      <c r="G713" s="4">
        <v>468179.84499999997</v>
      </c>
      <c r="H713" s="5">
        <f>20 / 86400</f>
        <v>2.3148148148148149E-4</v>
      </c>
      <c r="I713" t="s">
        <v>119</v>
      </c>
      <c r="J713" t="s">
        <v>161</v>
      </c>
      <c r="K713" s="5">
        <f>60 / 86400</f>
        <v>6.9444444444444447E-4</v>
      </c>
      <c r="L713" s="5">
        <f>24493 / 86400</f>
        <v>0.28348379629629628</v>
      </c>
    </row>
    <row r="714" spans="1:12" x14ac:dyDescent="0.25">
      <c r="A714" s="3">
        <v>45692.284189814818</v>
      </c>
      <c r="B714" t="s">
        <v>26</v>
      </c>
      <c r="C714" s="3">
        <v>45692.291273148148</v>
      </c>
      <c r="D714" t="s">
        <v>242</v>
      </c>
      <c r="E714" s="4">
        <v>2.17</v>
      </c>
      <c r="F714" s="4">
        <v>468179.84499999997</v>
      </c>
      <c r="G714" s="4">
        <v>468182.01500000001</v>
      </c>
      <c r="H714" s="5">
        <f>219 / 86400</f>
        <v>2.5347222222222221E-3</v>
      </c>
      <c r="I714" t="s">
        <v>89</v>
      </c>
      <c r="J714" t="s">
        <v>58</v>
      </c>
      <c r="K714" s="5">
        <f>612 / 86400</f>
        <v>7.083333333333333E-3</v>
      </c>
      <c r="L714" s="5">
        <f>25 / 86400</f>
        <v>2.8935185185185184E-4</v>
      </c>
    </row>
    <row r="715" spans="1:12" x14ac:dyDescent="0.25">
      <c r="A715" s="3">
        <v>45692.291562500002</v>
      </c>
      <c r="B715" t="s">
        <v>242</v>
      </c>
      <c r="C715" s="3">
        <v>45692.298090277778</v>
      </c>
      <c r="D715" t="s">
        <v>26</v>
      </c>
      <c r="E715" s="4">
        <v>1.8819999999999999</v>
      </c>
      <c r="F715" s="4">
        <v>468182.01500000001</v>
      </c>
      <c r="G715" s="4">
        <v>468183.897</v>
      </c>
      <c r="H715" s="5">
        <f>200 / 86400</f>
        <v>2.3148148148148147E-3</v>
      </c>
      <c r="I715" t="s">
        <v>167</v>
      </c>
      <c r="J715" t="s">
        <v>90</v>
      </c>
      <c r="K715" s="5">
        <f>563 / 86400</f>
        <v>6.5162037037037037E-3</v>
      </c>
      <c r="L715" s="5">
        <f>4822 / 86400</f>
        <v>5.5810185185185185E-2</v>
      </c>
    </row>
    <row r="716" spans="1:12" x14ac:dyDescent="0.25">
      <c r="A716" s="3">
        <v>45692.353900462964</v>
      </c>
      <c r="B716" t="s">
        <v>26</v>
      </c>
      <c r="C716" s="3">
        <v>45692.355428240742</v>
      </c>
      <c r="D716" t="s">
        <v>26</v>
      </c>
      <c r="E716" s="4">
        <v>2.1999999999999999E-2</v>
      </c>
      <c r="F716" s="4">
        <v>468183.897</v>
      </c>
      <c r="G716" s="4">
        <v>468183.91899999999</v>
      </c>
      <c r="H716" s="5">
        <f>79 / 86400</f>
        <v>9.1435185185185185E-4</v>
      </c>
      <c r="I716" t="s">
        <v>161</v>
      </c>
      <c r="J716" t="s">
        <v>125</v>
      </c>
      <c r="K716" s="5">
        <f>132 / 86400</f>
        <v>1.5277777777777779E-3</v>
      </c>
      <c r="L716" s="5">
        <f>24614 / 86400</f>
        <v>0.28488425925925925</v>
      </c>
    </row>
    <row r="717" spans="1:12" x14ac:dyDescent="0.25">
      <c r="A717" s="3">
        <v>45692.6403125</v>
      </c>
      <c r="B717" t="s">
        <v>26</v>
      </c>
      <c r="C717" s="3">
        <v>45692.648958333331</v>
      </c>
      <c r="D717" t="s">
        <v>88</v>
      </c>
      <c r="E717" s="4">
        <v>2.81</v>
      </c>
      <c r="F717" s="4">
        <v>468183.91899999999</v>
      </c>
      <c r="G717" s="4">
        <v>468186.72899999999</v>
      </c>
      <c r="H717" s="5">
        <f>199 / 86400</f>
        <v>2.3032407407407407E-3</v>
      </c>
      <c r="I717" t="s">
        <v>147</v>
      </c>
      <c r="J717" t="s">
        <v>28</v>
      </c>
      <c r="K717" s="5">
        <f>747 / 86400</f>
        <v>8.6458333333333335E-3</v>
      </c>
      <c r="L717" s="5">
        <f>30329 / 86400</f>
        <v>0.3510300925925926</v>
      </c>
    </row>
    <row r="718" spans="1:12" x14ac:dyDescent="0.25">
      <c r="A718" s="12"/>
      <c r="B718" s="12"/>
      <c r="C718" s="12"/>
      <c r="D718" s="12"/>
      <c r="E718" s="12"/>
      <c r="F718" s="12"/>
      <c r="G718" s="12"/>
      <c r="H718" s="12"/>
      <c r="I718" s="12"/>
      <c r="J718" s="12"/>
    </row>
    <row r="719" spans="1:12" x14ac:dyDescent="0.25">
      <c r="A719" s="12"/>
      <c r="B719" s="12"/>
      <c r="C719" s="12"/>
      <c r="D719" s="12"/>
      <c r="E719" s="12"/>
      <c r="F719" s="12"/>
      <c r="G719" s="12"/>
      <c r="H719" s="12"/>
      <c r="I719" s="12"/>
      <c r="J719" s="12"/>
    </row>
    <row r="720" spans="1:12" s="10" customFormat="1" ht="20.100000000000001" customHeight="1" x14ac:dyDescent="0.35">
      <c r="A720" s="15" t="s">
        <v>323</v>
      </c>
      <c r="B720" s="15"/>
      <c r="C720" s="15"/>
      <c r="D720" s="15"/>
      <c r="E720" s="15"/>
      <c r="F720" s="15"/>
      <c r="G720" s="15"/>
      <c r="H720" s="15"/>
      <c r="I720" s="15"/>
      <c r="J720" s="15"/>
    </row>
    <row r="721" spans="1:12" x14ac:dyDescent="0.25">
      <c r="A721" s="12"/>
      <c r="B721" s="12"/>
      <c r="C721" s="12"/>
      <c r="D721" s="12"/>
      <c r="E721" s="12"/>
      <c r="F721" s="12"/>
      <c r="G721" s="12"/>
      <c r="H721" s="12"/>
      <c r="I721" s="12"/>
      <c r="J721" s="12"/>
    </row>
    <row r="722" spans="1:12" ht="30" x14ac:dyDescent="0.25">
      <c r="A722" s="2" t="s">
        <v>6</v>
      </c>
      <c r="B722" s="2" t="s">
        <v>7</v>
      </c>
      <c r="C722" s="2" t="s">
        <v>8</v>
      </c>
      <c r="D722" s="2" t="s">
        <v>9</v>
      </c>
      <c r="E722" s="2" t="s">
        <v>10</v>
      </c>
      <c r="F722" s="2" t="s">
        <v>11</v>
      </c>
      <c r="G722" s="2" t="s">
        <v>12</v>
      </c>
      <c r="H722" s="2" t="s">
        <v>13</v>
      </c>
      <c r="I722" s="2" t="s">
        <v>14</v>
      </c>
      <c r="J722" s="2" t="s">
        <v>15</v>
      </c>
      <c r="K722" s="2" t="s">
        <v>16</v>
      </c>
      <c r="L722" s="2" t="s">
        <v>17</v>
      </c>
    </row>
    <row r="723" spans="1:12" x14ac:dyDescent="0.25">
      <c r="A723" s="3">
        <v>45692.301018518519</v>
      </c>
      <c r="B723" t="s">
        <v>91</v>
      </c>
      <c r="C723" s="3">
        <v>45692.308611111112</v>
      </c>
      <c r="D723" t="s">
        <v>148</v>
      </c>
      <c r="E723" s="4">
        <v>2.153</v>
      </c>
      <c r="F723" s="4">
        <v>427323.65100000001</v>
      </c>
      <c r="G723" s="4">
        <v>427325.804</v>
      </c>
      <c r="H723" s="5">
        <f>179 / 86400</f>
        <v>2.0717592592592593E-3</v>
      </c>
      <c r="I723" t="s">
        <v>235</v>
      </c>
      <c r="J723" t="s">
        <v>90</v>
      </c>
      <c r="K723" s="5">
        <f>656 / 86400</f>
        <v>7.5925925925925926E-3</v>
      </c>
      <c r="L723" s="5">
        <f>26219 / 86400</f>
        <v>0.30346064814814816</v>
      </c>
    </row>
    <row r="724" spans="1:12" x14ac:dyDescent="0.25">
      <c r="A724" s="3">
        <v>45692.311053240745</v>
      </c>
      <c r="B724" t="s">
        <v>148</v>
      </c>
      <c r="C724" s="3">
        <v>45692.432013888887</v>
      </c>
      <c r="D724" t="s">
        <v>262</v>
      </c>
      <c r="E724" s="4">
        <v>49.472999999999999</v>
      </c>
      <c r="F724" s="4">
        <v>427325.804</v>
      </c>
      <c r="G724" s="4">
        <v>427375.277</v>
      </c>
      <c r="H724" s="5">
        <f>4022 / 86400</f>
        <v>4.6550925925925926E-2</v>
      </c>
      <c r="I724" t="s">
        <v>35</v>
      </c>
      <c r="J724" t="s">
        <v>25</v>
      </c>
      <c r="K724" s="5">
        <f>10451 / 86400</f>
        <v>0.12096064814814815</v>
      </c>
      <c r="L724" s="5">
        <f>81 / 86400</f>
        <v>9.3749999999999997E-4</v>
      </c>
    </row>
    <row r="725" spans="1:12" x14ac:dyDescent="0.25">
      <c r="A725" s="3">
        <v>45692.432951388888</v>
      </c>
      <c r="B725" t="s">
        <v>262</v>
      </c>
      <c r="C725" s="3">
        <v>45692.548275462963</v>
      </c>
      <c r="D725" t="s">
        <v>146</v>
      </c>
      <c r="E725" s="4">
        <v>47.716999999999999</v>
      </c>
      <c r="F725" s="4">
        <v>427375.277</v>
      </c>
      <c r="G725" s="4">
        <v>427422.99400000001</v>
      </c>
      <c r="H725" s="5">
        <f>6300 / 86400</f>
        <v>7.2916666666666671E-2</v>
      </c>
      <c r="I725" t="s">
        <v>177</v>
      </c>
      <c r="J725" t="s">
        <v>25</v>
      </c>
      <c r="K725" s="5">
        <f>9963 / 86400</f>
        <v>0.1153125</v>
      </c>
      <c r="L725" s="5">
        <f>2902 / 86400</f>
        <v>3.3587962962962965E-2</v>
      </c>
    </row>
    <row r="726" spans="1:12" x14ac:dyDescent="0.25">
      <c r="A726" s="3">
        <v>45692.581863425927</v>
      </c>
      <c r="B726" t="s">
        <v>146</v>
      </c>
      <c r="C726" s="3">
        <v>45692.585416666669</v>
      </c>
      <c r="D726" t="s">
        <v>129</v>
      </c>
      <c r="E726" s="4">
        <v>0.82799999999999996</v>
      </c>
      <c r="F726" s="4">
        <v>427422.99400000001</v>
      </c>
      <c r="G726" s="4">
        <v>427423.82199999999</v>
      </c>
      <c r="H726" s="5">
        <f>139 / 86400</f>
        <v>1.6087962962962963E-3</v>
      </c>
      <c r="I726" t="s">
        <v>147</v>
      </c>
      <c r="J726" t="s">
        <v>158</v>
      </c>
      <c r="K726" s="5">
        <f>307 / 86400</f>
        <v>3.5532407407407409E-3</v>
      </c>
      <c r="L726" s="5">
        <f>163 / 86400</f>
        <v>1.8865740740740742E-3</v>
      </c>
    </row>
    <row r="727" spans="1:12" x14ac:dyDescent="0.25">
      <c r="A727" s="3">
        <v>45692.58730324074</v>
      </c>
      <c r="B727" t="s">
        <v>129</v>
      </c>
      <c r="C727" s="3">
        <v>45692.587418981479</v>
      </c>
      <c r="D727" t="s">
        <v>129</v>
      </c>
      <c r="E727" s="4">
        <v>3.0000000000000001E-3</v>
      </c>
      <c r="F727" s="4">
        <v>427423.82199999999</v>
      </c>
      <c r="G727" s="4">
        <v>427423.82500000001</v>
      </c>
      <c r="H727" s="5">
        <f>0 / 86400</f>
        <v>0</v>
      </c>
      <c r="I727" t="s">
        <v>55</v>
      </c>
      <c r="J727" t="s">
        <v>125</v>
      </c>
      <c r="K727" s="5">
        <f>10 / 86400</f>
        <v>1.1574074074074075E-4</v>
      </c>
      <c r="L727" s="5">
        <f>329 / 86400</f>
        <v>3.8078703703703703E-3</v>
      </c>
    </row>
    <row r="728" spans="1:12" x14ac:dyDescent="0.25">
      <c r="A728" s="3">
        <v>45692.591226851851</v>
      </c>
      <c r="B728" t="s">
        <v>129</v>
      </c>
      <c r="C728" s="3">
        <v>45692.592094907406</v>
      </c>
      <c r="D728" t="s">
        <v>129</v>
      </c>
      <c r="E728" s="4">
        <v>7.0000000000000001E-3</v>
      </c>
      <c r="F728" s="4">
        <v>427423.82500000001</v>
      </c>
      <c r="G728" s="4">
        <v>427423.83199999999</v>
      </c>
      <c r="H728" s="5">
        <f>59 / 86400</f>
        <v>6.8287037037037036E-4</v>
      </c>
      <c r="I728" t="s">
        <v>55</v>
      </c>
      <c r="J728" t="s">
        <v>55</v>
      </c>
      <c r="K728" s="5">
        <f>74 / 86400</f>
        <v>8.564814814814815E-4</v>
      </c>
      <c r="L728" s="5">
        <f>284 / 86400</f>
        <v>3.2870370370370371E-3</v>
      </c>
    </row>
    <row r="729" spans="1:12" x14ac:dyDescent="0.25">
      <c r="A729" s="3">
        <v>45692.59538194444</v>
      </c>
      <c r="B729" t="s">
        <v>138</v>
      </c>
      <c r="C729" s="3">
        <v>45692.799027777779</v>
      </c>
      <c r="D729" t="s">
        <v>207</v>
      </c>
      <c r="E729" s="4">
        <v>105.03400000000001</v>
      </c>
      <c r="F729" s="4">
        <v>427423.83199999999</v>
      </c>
      <c r="G729" s="4">
        <v>427528.86599999998</v>
      </c>
      <c r="H729" s="5">
        <f>4839 / 86400</f>
        <v>5.6006944444444443E-2</v>
      </c>
      <c r="I729" t="s">
        <v>92</v>
      </c>
      <c r="J729" t="s">
        <v>142</v>
      </c>
      <c r="K729" s="5">
        <f>17595 / 86400</f>
        <v>0.20364583333333333</v>
      </c>
      <c r="L729" s="5">
        <f>47 / 86400</f>
        <v>5.4398148148148144E-4</v>
      </c>
    </row>
    <row r="730" spans="1:12" x14ac:dyDescent="0.25">
      <c r="A730" s="3">
        <v>45692.799571759257</v>
      </c>
      <c r="B730" t="s">
        <v>207</v>
      </c>
      <c r="C730" s="3">
        <v>45692.892905092594</v>
      </c>
      <c r="D730" t="s">
        <v>128</v>
      </c>
      <c r="E730" s="4">
        <v>34.978999999999999</v>
      </c>
      <c r="F730" s="4">
        <v>427528.86599999998</v>
      </c>
      <c r="G730" s="4">
        <v>427563.84499999997</v>
      </c>
      <c r="H730" s="5">
        <f>3000 / 86400</f>
        <v>3.4722222222222224E-2</v>
      </c>
      <c r="I730" t="s">
        <v>177</v>
      </c>
      <c r="J730" t="s">
        <v>36</v>
      </c>
      <c r="K730" s="5">
        <f>8064 / 86400</f>
        <v>9.3333333333333338E-2</v>
      </c>
      <c r="L730" s="5">
        <f>286 / 86400</f>
        <v>3.3101851851851851E-3</v>
      </c>
    </row>
    <row r="731" spans="1:12" x14ac:dyDescent="0.25">
      <c r="A731" s="3">
        <v>45692.896215277782</v>
      </c>
      <c r="B731" t="s">
        <v>128</v>
      </c>
      <c r="C731" s="3">
        <v>45692.898090277777</v>
      </c>
      <c r="D731" t="s">
        <v>91</v>
      </c>
      <c r="E731" s="4">
        <v>0.63600000000000001</v>
      </c>
      <c r="F731" s="4">
        <v>427563.84499999997</v>
      </c>
      <c r="G731" s="4">
        <v>427564.48100000003</v>
      </c>
      <c r="H731" s="5">
        <f>0 / 86400</f>
        <v>0</v>
      </c>
      <c r="I731" t="s">
        <v>152</v>
      </c>
      <c r="J731" t="s">
        <v>28</v>
      </c>
      <c r="K731" s="5">
        <f>162 / 86400</f>
        <v>1.8749999999999999E-3</v>
      </c>
      <c r="L731" s="5">
        <f>1190 / 86400</f>
        <v>1.3773148148148149E-2</v>
      </c>
    </row>
    <row r="732" spans="1:12" x14ac:dyDescent="0.25">
      <c r="A732" s="3">
        <v>45692.911863425921</v>
      </c>
      <c r="B732" t="s">
        <v>44</v>
      </c>
      <c r="C732" s="3">
        <v>45692.912534722222</v>
      </c>
      <c r="D732" t="s">
        <v>91</v>
      </c>
      <c r="E732" s="4">
        <v>4.0000000000000001E-3</v>
      </c>
      <c r="F732" s="4">
        <v>427564.48100000003</v>
      </c>
      <c r="G732" s="4">
        <v>427564.48499999999</v>
      </c>
      <c r="H732" s="5">
        <f>39 / 86400</f>
        <v>4.5138888888888887E-4</v>
      </c>
      <c r="I732" t="s">
        <v>55</v>
      </c>
      <c r="J732" t="s">
        <v>55</v>
      </c>
      <c r="K732" s="5">
        <f>58 / 86400</f>
        <v>6.7129629629629625E-4</v>
      </c>
      <c r="L732" s="5">
        <f>146 / 86400</f>
        <v>1.6898148148148148E-3</v>
      </c>
    </row>
    <row r="733" spans="1:12" x14ac:dyDescent="0.25">
      <c r="A733" s="3">
        <v>45692.914224537039</v>
      </c>
      <c r="B733" t="s">
        <v>91</v>
      </c>
      <c r="C733" s="3">
        <v>45692.915277777778</v>
      </c>
      <c r="D733" t="s">
        <v>91</v>
      </c>
      <c r="E733" s="4">
        <v>0.114</v>
      </c>
      <c r="F733" s="4">
        <v>427564.48499999999</v>
      </c>
      <c r="G733" s="4">
        <v>427564.59899999999</v>
      </c>
      <c r="H733" s="5">
        <f>20 / 86400</f>
        <v>2.3148148148148149E-4</v>
      </c>
      <c r="I733" t="s">
        <v>58</v>
      </c>
      <c r="J733" t="s">
        <v>119</v>
      </c>
      <c r="K733" s="5">
        <f>91 / 86400</f>
        <v>1.0532407407407407E-3</v>
      </c>
      <c r="L733" s="5">
        <f>7319 / 86400</f>
        <v>8.4710648148148146E-2</v>
      </c>
    </row>
    <row r="734" spans="1:12" x14ac:dyDescent="0.25">
      <c r="A734" s="12"/>
      <c r="B734" s="12"/>
      <c r="C734" s="12"/>
      <c r="D734" s="12"/>
      <c r="E734" s="12"/>
      <c r="F734" s="12"/>
      <c r="G734" s="12"/>
      <c r="H734" s="12"/>
      <c r="I734" s="12"/>
      <c r="J734" s="12"/>
    </row>
    <row r="735" spans="1:12" x14ac:dyDescent="0.25">
      <c r="A735" s="12"/>
      <c r="B735" s="12"/>
      <c r="C735" s="12"/>
      <c r="D735" s="12"/>
      <c r="E735" s="12"/>
      <c r="F735" s="12"/>
      <c r="G735" s="12"/>
      <c r="H735" s="12"/>
      <c r="I735" s="12"/>
      <c r="J735" s="12"/>
    </row>
    <row r="736" spans="1:12" s="10" customFormat="1" ht="20.100000000000001" customHeight="1" x14ac:dyDescent="0.35">
      <c r="A736" s="15" t="s">
        <v>324</v>
      </c>
      <c r="B736" s="15"/>
      <c r="C736" s="15"/>
      <c r="D736" s="15"/>
      <c r="E736" s="15"/>
      <c r="F736" s="15"/>
      <c r="G736" s="15"/>
      <c r="H736" s="15"/>
      <c r="I736" s="15"/>
      <c r="J736" s="15"/>
    </row>
    <row r="737" spans="1:12" x14ac:dyDescent="0.25">
      <c r="A737" s="12"/>
      <c r="B737" s="12"/>
      <c r="C737" s="12"/>
      <c r="D737" s="12"/>
      <c r="E737" s="12"/>
      <c r="F737" s="12"/>
      <c r="G737" s="12"/>
      <c r="H737" s="12"/>
      <c r="I737" s="12"/>
      <c r="J737" s="12"/>
    </row>
    <row r="738" spans="1:12" ht="30" x14ac:dyDescent="0.25">
      <c r="A738" s="2" t="s">
        <v>6</v>
      </c>
      <c r="B738" s="2" t="s">
        <v>7</v>
      </c>
      <c r="C738" s="2" t="s">
        <v>8</v>
      </c>
      <c r="D738" s="2" t="s">
        <v>9</v>
      </c>
      <c r="E738" s="2" t="s">
        <v>10</v>
      </c>
      <c r="F738" s="2" t="s">
        <v>11</v>
      </c>
      <c r="G738" s="2" t="s">
        <v>12</v>
      </c>
      <c r="H738" s="2" t="s">
        <v>13</v>
      </c>
      <c r="I738" s="2" t="s">
        <v>14</v>
      </c>
      <c r="J738" s="2" t="s">
        <v>15</v>
      </c>
      <c r="K738" s="2" t="s">
        <v>16</v>
      </c>
      <c r="L738" s="2" t="s">
        <v>17</v>
      </c>
    </row>
    <row r="739" spans="1:12" x14ac:dyDescent="0.25">
      <c r="A739" s="3">
        <v>45692.258773148147</v>
      </c>
      <c r="B739" t="s">
        <v>26</v>
      </c>
      <c r="C739" s="3">
        <v>45692.2652662037</v>
      </c>
      <c r="D739" t="s">
        <v>154</v>
      </c>
      <c r="E739" s="4">
        <v>1.448</v>
      </c>
      <c r="F739" s="4">
        <v>573933.56999999995</v>
      </c>
      <c r="G739" s="4">
        <v>573935.01800000004</v>
      </c>
      <c r="H739" s="5">
        <f>219 / 86400</f>
        <v>2.5347222222222221E-3</v>
      </c>
      <c r="I739" t="s">
        <v>223</v>
      </c>
      <c r="J739" t="s">
        <v>54</v>
      </c>
      <c r="K739" s="5">
        <f>560 / 86400</f>
        <v>6.4814814814814813E-3</v>
      </c>
      <c r="L739" s="5">
        <f>23113 / 86400</f>
        <v>0.26751157407407405</v>
      </c>
    </row>
    <row r="740" spans="1:12" x14ac:dyDescent="0.25">
      <c r="A740" s="3">
        <v>45692.274004629631</v>
      </c>
      <c r="B740" t="s">
        <v>154</v>
      </c>
      <c r="C740" s="3">
        <v>45692.458796296298</v>
      </c>
      <c r="D740" t="s">
        <v>209</v>
      </c>
      <c r="E740" s="4">
        <v>49.624000000000002</v>
      </c>
      <c r="F740" s="4">
        <v>573935.01800000004</v>
      </c>
      <c r="G740" s="4">
        <v>573984.64199999999</v>
      </c>
      <c r="H740" s="5">
        <f>7839 / 86400</f>
        <v>9.0729166666666666E-2</v>
      </c>
      <c r="I740" t="s">
        <v>86</v>
      </c>
      <c r="J740" t="s">
        <v>174</v>
      </c>
      <c r="K740" s="5">
        <f>15966 / 86400</f>
        <v>0.18479166666666666</v>
      </c>
      <c r="L740" s="5">
        <f>2802 / 86400</f>
        <v>3.2430555555555553E-2</v>
      </c>
    </row>
    <row r="741" spans="1:12" x14ac:dyDescent="0.25">
      <c r="A741" s="3">
        <v>45692.491226851853</v>
      </c>
      <c r="B741" t="s">
        <v>209</v>
      </c>
      <c r="C741" s="3">
        <v>45692.636874999997</v>
      </c>
      <c r="D741" t="s">
        <v>148</v>
      </c>
      <c r="E741" s="4">
        <v>51.06</v>
      </c>
      <c r="F741" s="4">
        <v>573984.64199999999</v>
      </c>
      <c r="G741" s="4">
        <v>574035.70200000005</v>
      </c>
      <c r="H741" s="5">
        <f>4504 / 86400</f>
        <v>5.212962962962963E-2</v>
      </c>
      <c r="I741" t="s">
        <v>35</v>
      </c>
      <c r="J741" t="s">
        <v>20</v>
      </c>
      <c r="K741" s="5">
        <f>12583 / 86400</f>
        <v>0.14563657407407407</v>
      </c>
      <c r="L741" s="5">
        <f>4373 / 86400</f>
        <v>5.0613425925925923E-2</v>
      </c>
    </row>
    <row r="742" spans="1:12" x14ac:dyDescent="0.25">
      <c r="A742" s="3">
        <v>45692.68748842593</v>
      </c>
      <c r="B742" t="s">
        <v>148</v>
      </c>
      <c r="C742" s="3">
        <v>45692.947800925926</v>
      </c>
      <c r="D742" t="s">
        <v>26</v>
      </c>
      <c r="E742" s="4">
        <v>92.79</v>
      </c>
      <c r="F742" s="4">
        <v>574035.70200000005</v>
      </c>
      <c r="G742" s="4">
        <v>574128.49199999997</v>
      </c>
      <c r="H742" s="5">
        <f>8512 / 86400</f>
        <v>9.8518518518518519E-2</v>
      </c>
      <c r="I742" t="s">
        <v>93</v>
      </c>
      <c r="J742" t="s">
        <v>20</v>
      </c>
      <c r="K742" s="5">
        <f>22491 / 86400</f>
        <v>0.2603125</v>
      </c>
      <c r="L742" s="5">
        <f>4509 / 86400</f>
        <v>5.2187499999999998E-2</v>
      </c>
    </row>
    <row r="743" spans="1:12" x14ac:dyDescent="0.25">
      <c r="A743" s="12"/>
      <c r="B743" s="12"/>
      <c r="C743" s="12"/>
      <c r="D743" s="12"/>
      <c r="E743" s="12"/>
      <c r="F743" s="12"/>
      <c r="G743" s="12"/>
      <c r="H743" s="12"/>
      <c r="I743" s="12"/>
      <c r="J743" s="12"/>
    </row>
    <row r="744" spans="1:12" x14ac:dyDescent="0.25">
      <c r="A744" s="12"/>
      <c r="B744" s="12"/>
      <c r="C744" s="12"/>
      <c r="D744" s="12"/>
      <c r="E744" s="12"/>
      <c r="F744" s="12"/>
      <c r="G744" s="12"/>
      <c r="H744" s="12"/>
      <c r="I744" s="12"/>
      <c r="J744" s="12"/>
    </row>
    <row r="745" spans="1:12" s="10" customFormat="1" ht="20.100000000000001" customHeight="1" x14ac:dyDescent="0.35">
      <c r="A745" s="15" t="s">
        <v>325</v>
      </c>
      <c r="B745" s="15"/>
      <c r="C745" s="15"/>
      <c r="D745" s="15"/>
      <c r="E745" s="15"/>
      <c r="F745" s="15"/>
      <c r="G745" s="15"/>
      <c r="H745" s="15"/>
      <c r="I745" s="15"/>
      <c r="J745" s="15"/>
    </row>
    <row r="746" spans="1:12" x14ac:dyDescent="0.25">
      <c r="A746" s="12"/>
      <c r="B746" s="12"/>
      <c r="C746" s="12"/>
      <c r="D746" s="12"/>
      <c r="E746" s="12"/>
      <c r="F746" s="12"/>
      <c r="G746" s="12"/>
      <c r="H746" s="12"/>
      <c r="I746" s="12"/>
      <c r="J746" s="12"/>
    </row>
    <row r="747" spans="1:12" ht="30" x14ac:dyDescent="0.25">
      <c r="A747" s="2" t="s">
        <v>6</v>
      </c>
      <c r="B747" s="2" t="s">
        <v>7</v>
      </c>
      <c r="C747" s="2" t="s">
        <v>8</v>
      </c>
      <c r="D747" s="2" t="s">
        <v>9</v>
      </c>
      <c r="E747" s="2" t="s">
        <v>10</v>
      </c>
      <c r="F747" s="2" t="s">
        <v>11</v>
      </c>
      <c r="G747" s="2" t="s">
        <v>12</v>
      </c>
      <c r="H747" s="2" t="s">
        <v>13</v>
      </c>
      <c r="I747" s="2" t="s">
        <v>14</v>
      </c>
      <c r="J747" s="2" t="s">
        <v>15</v>
      </c>
      <c r="K747" s="2" t="s">
        <v>16</v>
      </c>
      <c r="L747" s="2" t="s">
        <v>17</v>
      </c>
    </row>
    <row r="748" spans="1:12" x14ac:dyDescent="0.25">
      <c r="A748" s="3">
        <v>45692.244560185187</v>
      </c>
      <c r="B748" t="s">
        <v>94</v>
      </c>
      <c r="C748" s="3">
        <v>45692.595925925925</v>
      </c>
      <c r="D748" t="s">
        <v>128</v>
      </c>
      <c r="E748" s="4">
        <v>138.202</v>
      </c>
      <c r="F748" s="4">
        <v>415515.72700000001</v>
      </c>
      <c r="G748" s="4">
        <v>415653.929</v>
      </c>
      <c r="H748" s="5">
        <f>10763 / 86400</f>
        <v>0.12457175925925926</v>
      </c>
      <c r="I748" t="s">
        <v>80</v>
      </c>
      <c r="J748" t="s">
        <v>36</v>
      </c>
      <c r="K748" s="5">
        <f>30358 / 86400</f>
        <v>0.35136574074074073</v>
      </c>
      <c r="L748" s="5">
        <f>21316 / 86400</f>
        <v>0.24671296296296297</v>
      </c>
    </row>
    <row r="749" spans="1:12" x14ac:dyDescent="0.25">
      <c r="A749" s="3">
        <v>45692.598078703704</v>
      </c>
      <c r="B749" t="s">
        <v>128</v>
      </c>
      <c r="C749" s="3">
        <v>45692.599386574075</v>
      </c>
      <c r="D749" t="s">
        <v>121</v>
      </c>
      <c r="E749" s="4">
        <v>0.22800000000000001</v>
      </c>
      <c r="F749" s="4">
        <v>415653.929</v>
      </c>
      <c r="G749" s="4">
        <v>415654.15700000001</v>
      </c>
      <c r="H749" s="5">
        <f>19 / 86400</f>
        <v>2.199074074074074E-4</v>
      </c>
      <c r="I749" t="s">
        <v>114</v>
      </c>
      <c r="J749" t="s">
        <v>43</v>
      </c>
      <c r="K749" s="5">
        <f>113 / 86400</f>
        <v>1.3078703703703703E-3</v>
      </c>
      <c r="L749" s="5">
        <f>3102 / 86400</f>
        <v>3.5902777777777777E-2</v>
      </c>
    </row>
    <row r="750" spans="1:12" x14ac:dyDescent="0.25">
      <c r="A750" s="3">
        <v>45692.635289351849</v>
      </c>
      <c r="B750" t="s">
        <v>121</v>
      </c>
      <c r="C750" s="3">
        <v>45692.710856481484</v>
      </c>
      <c r="D750" t="s">
        <v>95</v>
      </c>
      <c r="E750" s="4">
        <v>37.979999999999997</v>
      </c>
      <c r="F750" s="4">
        <v>415654.15700000001</v>
      </c>
      <c r="G750" s="4">
        <v>415692.13699999999</v>
      </c>
      <c r="H750" s="5">
        <f>1541 / 86400</f>
        <v>1.7835648148148149E-2</v>
      </c>
      <c r="I750" t="s">
        <v>33</v>
      </c>
      <c r="J750" t="s">
        <v>142</v>
      </c>
      <c r="K750" s="5">
        <f>6529 / 86400</f>
        <v>7.5567129629629623E-2</v>
      </c>
      <c r="L750" s="5">
        <f>24981 / 86400</f>
        <v>0.28913194444444446</v>
      </c>
    </row>
    <row r="751" spans="1:12" x14ac:dyDescent="0.25">
      <c r="A751" s="12"/>
      <c r="B751" s="12"/>
      <c r="C751" s="12"/>
      <c r="D751" s="12"/>
      <c r="E751" s="12"/>
      <c r="F751" s="12"/>
      <c r="G751" s="12"/>
      <c r="H751" s="12"/>
      <c r="I751" s="12"/>
      <c r="J751" s="12"/>
    </row>
    <row r="752" spans="1:12" x14ac:dyDescent="0.25">
      <c r="A752" s="12"/>
      <c r="B752" s="12"/>
      <c r="C752" s="12"/>
      <c r="D752" s="12"/>
      <c r="E752" s="12"/>
      <c r="F752" s="12"/>
      <c r="G752" s="12"/>
      <c r="H752" s="12"/>
      <c r="I752" s="12"/>
      <c r="J752" s="12"/>
    </row>
    <row r="753" spans="1:12" s="10" customFormat="1" ht="20.100000000000001" customHeight="1" x14ac:dyDescent="0.35">
      <c r="A753" s="15" t="s">
        <v>326</v>
      </c>
      <c r="B753" s="15"/>
      <c r="C753" s="15"/>
      <c r="D753" s="15"/>
      <c r="E753" s="15"/>
      <c r="F753" s="15"/>
      <c r="G753" s="15"/>
      <c r="H753" s="15"/>
      <c r="I753" s="15"/>
      <c r="J753" s="15"/>
    </row>
    <row r="754" spans="1:12" x14ac:dyDescent="0.25">
      <c r="A754" s="12"/>
      <c r="B754" s="12"/>
      <c r="C754" s="12"/>
      <c r="D754" s="12"/>
      <c r="E754" s="12"/>
      <c r="F754" s="12"/>
      <c r="G754" s="12"/>
      <c r="H754" s="12"/>
      <c r="I754" s="12"/>
      <c r="J754" s="12"/>
    </row>
    <row r="755" spans="1:12" ht="30" x14ac:dyDescent="0.25">
      <c r="A755" s="2" t="s">
        <v>6</v>
      </c>
      <c r="B755" s="2" t="s">
        <v>7</v>
      </c>
      <c r="C755" s="2" t="s">
        <v>8</v>
      </c>
      <c r="D755" s="2" t="s">
        <v>9</v>
      </c>
      <c r="E755" s="2" t="s">
        <v>10</v>
      </c>
      <c r="F755" s="2" t="s">
        <v>11</v>
      </c>
      <c r="G755" s="2" t="s">
        <v>12</v>
      </c>
      <c r="H755" s="2" t="s">
        <v>13</v>
      </c>
      <c r="I755" s="2" t="s">
        <v>14</v>
      </c>
      <c r="J755" s="2" t="s">
        <v>15</v>
      </c>
      <c r="K755" s="2" t="s">
        <v>16</v>
      </c>
      <c r="L755" s="2" t="s">
        <v>17</v>
      </c>
    </row>
    <row r="756" spans="1:12" x14ac:dyDescent="0.25">
      <c r="A756" s="3">
        <v>45692</v>
      </c>
      <c r="B756" t="s">
        <v>96</v>
      </c>
      <c r="C756" s="3">
        <v>45692.008229166662</v>
      </c>
      <c r="D756" t="s">
        <v>97</v>
      </c>
      <c r="E756" s="4">
        <v>5.4249999999999998</v>
      </c>
      <c r="F756" s="4">
        <v>399353.47899999999</v>
      </c>
      <c r="G756" s="4">
        <v>399358.90399999998</v>
      </c>
      <c r="H756" s="5">
        <f>40 / 86400</f>
        <v>4.6296296296296298E-4</v>
      </c>
      <c r="I756" t="s">
        <v>232</v>
      </c>
      <c r="J756" t="s">
        <v>134</v>
      </c>
      <c r="K756" s="5">
        <f>711 / 86400</f>
        <v>8.2291666666666659E-3</v>
      </c>
      <c r="L756" s="5">
        <f>23638 / 86400</f>
        <v>0.27358796296296295</v>
      </c>
    </row>
    <row r="757" spans="1:12" x14ac:dyDescent="0.25">
      <c r="A757" s="3">
        <v>45692.281817129631</v>
      </c>
      <c r="B757" t="s">
        <v>97</v>
      </c>
      <c r="C757" s="3">
        <v>45692.282754629632</v>
      </c>
      <c r="D757" t="s">
        <v>97</v>
      </c>
      <c r="E757" s="4">
        <v>8.0000000000000002E-3</v>
      </c>
      <c r="F757" s="4">
        <v>399358.90399999998</v>
      </c>
      <c r="G757" s="4">
        <v>399358.91200000001</v>
      </c>
      <c r="H757" s="5">
        <f>79 / 86400</f>
        <v>9.1435185185185185E-4</v>
      </c>
      <c r="I757" t="s">
        <v>55</v>
      </c>
      <c r="J757" t="s">
        <v>55</v>
      </c>
      <c r="K757" s="5">
        <f>80 / 86400</f>
        <v>9.2592592592592596E-4</v>
      </c>
      <c r="L757" s="5">
        <f>4578 / 86400</f>
        <v>5.2986111111111109E-2</v>
      </c>
    </row>
    <row r="758" spans="1:12" x14ac:dyDescent="0.25">
      <c r="A758" s="3">
        <v>45692.335740740746</v>
      </c>
      <c r="B758" t="s">
        <v>263</v>
      </c>
      <c r="C758" s="3">
        <v>45692.340219907404</v>
      </c>
      <c r="D758" t="s">
        <v>263</v>
      </c>
      <c r="E758" s="4">
        <v>1.7000000000000001E-2</v>
      </c>
      <c r="F758" s="4">
        <v>399358.91200000001</v>
      </c>
      <c r="G758" s="4">
        <v>399358.929</v>
      </c>
      <c r="H758" s="5">
        <f>359 / 86400</f>
        <v>4.1550925925925922E-3</v>
      </c>
      <c r="I758" t="s">
        <v>137</v>
      </c>
      <c r="J758" t="s">
        <v>55</v>
      </c>
      <c r="K758" s="5">
        <f>387 / 86400</f>
        <v>4.4791666666666669E-3</v>
      </c>
      <c r="L758" s="5">
        <f>466 / 86400</f>
        <v>5.3935185185185188E-3</v>
      </c>
    </row>
    <row r="759" spans="1:12" x14ac:dyDescent="0.25">
      <c r="A759" s="3">
        <v>45692.345613425925</v>
      </c>
      <c r="B759" t="s">
        <v>263</v>
      </c>
      <c r="C759" s="3">
        <v>45692.385046296295</v>
      </c>
      <c r="D759" t="s">
        <v>264</v>
      </c>
      <c r="E759" s="4">
        <v>16.123000000000001</v>
      </c>
      <c r="F759" s="4">
        <v>399358.929</v>
      </c>
      <c r="G759" s="4">
        <v>399375.05200000003</v>
      </c>
      <c r="H759" s="5">
        <f>1198 / 86400</f>
        <v>1.3865740740740741E-2</v>
      </c>
      <c r="I759" t="s">
        <v>248</v>
      </c>
      <c r="J759" t="s">
        <v>25</v>
      </c>
      <c r="K759" s="5">
        <f>3407 / 86400</f>
        <v>3.9432870370370368E-2</v>
      </c>
      <c r="L759" s="5">
        <f>3802 / 86400</f>
        <v>4.400462962962963E-2</v>
      </c>
    </row>
    <row r="760" spans="1:12" x14ac:dyDescent="0.25">
      <c r="A760" s="3">
        <v>45692.42905092593</v>
      </c>
      <c r="B760" t="s">
        <v>264</v>
      </c>
      <c r="C760" s="3">
        <v>45692.443055555559</v>
      </c>
      <c r="D760" t="s">
        <v>113</v>
      </c>
      <c r="E760" s="4">
        <v>4.4779999999999998</v>
      </c>
      <c r="F760" s="4">
        <v>399375.05200000003</v>
      </c>
      <c r="G760" s="4">
        <v>399379.53</v>
      </c>
      <c r="H760" s="5">
        <f>360 / 86400</f>
        <v>4.1666666666666666E-3</v>
      </c>
      <c r="I760" t="s">
        <v>214</v>
      </c>
      <c r="J760" t="s">
        <v>58</v>
      </c>
      <c r="K760" s="5">
        <f>1209 / 86400</f>
        <v>1.3993055555555555E-2</v>
      </c>
      <c r="L760" s="5">
        <f>502 / 86400</f>
        <v>5.8101851851851856E-3</v>
      </c>
    </row>
    <row r="761" spans="1:12" x14ac:dyDescent="0.25">
      <c r="A761" s="3">
        <v>45692.448865740742</v>
      </c>
      <c r="B761" t="s">
        <v>113</v>
      </c>
      <c r="C761" s="3">
        <v>45692.450219907405</v>
      </c>
      <c r="D761" t="s">
        <v>113</v>
      </c>
      <c r="E761" s="4">
        <v>4.2999999999999997E-2</v>
      </c>
      <c r="F761" s="4">
        <v>399379.53</v>
      </c>
      <c r="G761" s="4">
        <v>399379.57299999997</v>
      </c>
      <c r="H761" s="5">
        <f>40 / 86400</f>
        <v>4.6296296296296298E-4</v>
      </c>
      <c r="I761" t="s">
        <v>140</v>
      </c>
      <c r="J761" t="s">
        <v>125</v>
      </c>
      <c r="K761" s="5">
        <f>116 / 86400</f>
        <v>1.3425925925925925E-3</v>
      </c>
      <c r="L761" s="5">
        <f>86 / 86400</f>
        <v>9.9537037037037042E-4</v>
      </c>
    </row>
    <row r="762" spans="1:12" x14ac:dyDescent="0.25">
      <c r="A762" s="3">
        <v>45692.451215277775</v>
      </c>
      <c r="B762" t="s">
        <v>113</v>
      </c>
      <c r="C762" s="3">
        <v>45692.451597222222</v>
      </c>
      <c r="D762" t="s">
        <v>113</v>
      </c>
      <c r="E762" s="4">
        <v>0</v>
      </c>
      <c r="F762" s="4">
        <v>399379.57299999997</v>
      </c>
      <c r="G762" s="4">
        <v>399379.57299999997</v>
      </c>
      <c r="H762" s="5">
        <f>19 / 86400</f>
        <v>2.199074074074074E-4</v>
      </c>
      <c r="I762" t="s">
        <v>55</v>
      </c>
      <c r="J762" t="s">
        <v>55</v>
      </c>
      <c r="K762" s="5">
        <f>33 / 86400</f>
        <v>3.8194444444444446E-4</v>
      </c>
      <c r="L762" s="5">
        <f>306 / 86400</f>
        <v>3.5416666666666665E-3</v>
      </c>
    </row>
    <row r="763" spans="1:12" x14ac:dyDescent="0.25">
      <c r="A763" s="3">
        <v>45692.455138888894</v>
      </c>
      <c r="B763" t="s">
        <v>113</v>
      </c>
      <c r="C763" s="3">
        <v>45692.455405092594</v>
      </c>
      <c r="D763" t="s">
        <v>113</v>
      </c>
      <c r="E763" s="4">
        <v>0</v>
      </c>
      <c r="F763" s="4">
        <v>399379.57299999997</v>
      </c>
      <c r="G763" s="4">
        <v>399379.57299999997</v>
      </c>
      <c r="H763" s="5">
        <f>19 / 86400</f>
        <v>2.199074074074074E-4</v>
      </c>
      <c r="I763" t="s">
        <v>55</v>
      </c>
      <c r="J763" t="s">
        <v>55</v>
      </c>
      <c r="K763" s="5">
        <f>23 / 86400</f>
        <v>2.6620370370370372E-4</v>
      </c>
      <c r="L763" s="5">
        <f>230 / 86400</f>
        <v>2.662037037037037E-3</v>
      </c>
    </row>
    <row r="764" spans="1:12" x14ac:dyDescent="0.25">
      <c r="A764" s="3">
        <v>45692.458067129628</v>
      </c>
      <c r="B764" t="s">
        <v>113</v>
      </c>
      <c r="C764" s="3">
        <v>45692.459351851852</v>
      </c>
      <c r="D764" t="s">
        <v>113</v>
      </c>
      <c r="E764" s="4">
        <v>0</v>
      </c>
      <c r="F764" s="4">
        <v>399379.57299999997</v>
      </c>
      <c r="G764" s="4">
        <v>399379.57299999997</v>
      </c>
      <c r="H764" s="5">
        <f>99 / 86400</f>
        <v>1.1458333333333333E-3</v>
      </c>
      <c r="I764" t="s">
        <v>55</v>
      </c>
      <c r="J764" t="s">
        <v>55</v>
      </c>
      <c r="K764" s="5">
        <f>111 / 86400</f>
        <v>1.2847222222222223E-3</v>
      </c>
      <c r="L764" s="5">
        <f>135 / 86400</f>
        <v>1.5625000000000001E-3</v>
      </c>
    </row>
    <row r="765" spans="1:12" x14ac:dyDescent="0.25">
      <c r="A765" s="3">
        <v>45692.460914351846</v>
      </c>
      <c r="B765" t="s">
        <v>113</v>
      </c>
      <c r="C765" s="3">
        <v>45692.463761574079</v>
      </c>
      <c r="D765" t="s">
        <v>128</v>
      </c>
      <c r="E765" s="4">
        <v>0.16200000000000001</v>
      </c>
      <c r="F765" s="4">
        <v>399379.57299999997</v>
      </c>
      <c r="G765" s="4">
        <v>399379.73499999999</v>
      </c>
      <c r="H765" s="5">
        <f>79 / 86400</f>
        <v>9.1435185185185185E-4</v>
      </c>
      <c r="I765" t="s">
        <v>90</v>
      </c>
      <c r="J765" t="s">
        <v>161</v>
      </c>
      <c r="K765" s="5">
        <f>246 / 86400</f>
        <v>2.8472222222222223E-3</v>
      </c>
      <c r="L765" s="5">
        <f>2148 / 86400</f>
        <v>2.4861111111111112E-2</v>
      </c>
    </row>
    <row r="766" spans="1:12" x14ac:dyDescent="0.25">
      <c r="A766" s="3">
        <v>45692.488622685181</v>
      </c>
      <c r="B766" t="s">
        <v>128</v>
      </c>
      <c r="C766" s="3">
        <v>45692.491701388892</v>
      </c>
      <c r="D766" t="s">
        <v>230</v>
      </c>
      <c r="E766" s="4">
        <v>0.71299999999999997</v>
      </c>
      <c r="F766" s="4">
        <v>399379.73499999999</v>
      </c>
      <c r="G766" s="4">
        <v>399380.44799999997</v>
      </c>
      <c r="H766" s="5">
        <f>79 / 86400</f>
        <v>9.1435185185185185E-4</v>
      </c>
      <c r="I766" t="s">
        <v>42</v>
      </c>
      <c r="J766" t="s">
        <v>158</v>
      </c>
      <c r="K766" s="5">
        <f>265 / 86400</f>
        <v>3.0671296296296297E-3</v>
      </c>
      <c r="L766" s="5">
        <f>172 / 86400</f>
        <v>1.9907407407407408E-3</v>
      </c>
    </row>
    <row r="767" spans="1:12" x14ac:dyDescent="0.25">
      <c r="A767" s="3">
        <v>45692.493692129632</v>
      </c>
      <c r="B767" t="s">
        <v>230</v>
      </c>
      <c r="C767" s="3">
        <v>45692.496319444443</v>
      </c>
      <c r="D767" t="s">
        <v>146</v>
      </c>
      <c r="E767" s="4">
        <v>0.39300000000000002</v>
      </c>
      <c r="F767" s="4">
        <v>399380.44799999997</v>
      </c>
      <c r="G767" s="4">
        <v>399380.84100000001</v>
      </c>
      <c r="H767" s="5">
        <f>99 / 86400</f>
        <v>1.1458333333333333E-3</v>
      </c>
      <c r="I767" t="s">
        <v>134</v>
      </c>
      <c r="J767" t="s">
        <v>137</v>
      </c>
      <c r="K767" s="5">
        <f>227 / 86400</f>
        <v>2.627314814814815E-3</v>
      </c>
      <c r="L767" s="5">
        <f>191 / 86400</f>
        <v>2.2106481481481482E-3</v>
      </c>
    </row>
    <row r="768" spans="1:12" x14ac:dyDescent="0.25">
      <c r="A768" s="3">
        <v>45692.498530092591</v>
      </c>
      <c r="B768" t="s">
        <v>146</v>
      </c>
      <c r="C768" s="3">
        <v>45692.498738425929</v>
      </c>
      <c r="D768" t="s">
        <v>146</v>
      </c>
      <c r="E768" s="4">
        <v>0</v>
      </c>
      <c r="F768" s="4">
        <v>399380.84100000001</v>
      </c>
      <c r="G768" s="4">
        <v>399380.84100000001</v>
      </c>
      <c r="H768" s="5">
        <f>0 / 86400</f>
        <v>0</v>
      </c>
      <c r="I768" t="s">
        <v>55</v>
      </c>
      <c r="J768" t="s">
        <v>55</v>
      </c>
      <c r="K768" s="5">
        <f>17 / 86400</f>
        <v>1.9675925925925926E-4</v>
      </c>
      <c r="L768" s="5">
        <f>14235 / 86400</f>
        <v>0.16475694444444444</v>
      </c>
    </row>
    <row r="769" spans="1:12" x14ac:dyDescent="0.25">
      <c r="A769" s="3">
        <v>45692.663495370369</v>
      </c>
      <c r="B769" t="s">
        <v>146</v>
      </c>
      <c r="C769" s="3">
        <v>45692.711377314816</v>
      </c>
      <c r="D769" t="s">
        <v>162</v>
      </c>
      <c r="E769" s="4">
        <v>25.126000000000001</v>
      </c>
      <c r="F769" s="4">
        <v>399380.84100000001</v>
      </c>
      <c r="G769" s="4">
        <v>399405.967</v>
      </c>
      <c r="H769" s="5">
        <f>739 / 86400</f>
        <v>8.5532407407407415E-3</v>
      </c>
      <c r="I769" t="s">
        <v>98</v>
      </c>
      <c r="J769" t="s">
        <v>122</v>
      </c>
      <c r="K769" s="5">
        <f>4137 / 86400</f>
        <v>4.7881944444444442E-2</v>
      </c>
      <c r="L769" s="5">
        <f>589 / 86400</f>
        <v>6.8171296296296296E-3</v>
      </c>
    </row>
    <row r="770" spans="1:12" x14ac:dyDescent="0.25">
      <c r="A770" s="3">
        <v>45692.718194444446</v>
      </c>
      <c r="B770" t="s">
        <v>162</v>
      </c>
      <c r="C770" s="3">
        <v>45692.728252314817</v>
      </c>
      <c r="D770" t="s">
        <v>84</v>
      </c>
      <c r="E770" s="4">
        <v>3.4510000000000001</v>
      </c>
      <c r="F770" s="4">
        <v>399405.967</v>
      </c>
      <c r="G770" s="4">
        <v>399409.41800000001</v>
      </c>
      <c r="H770" s="5">
        <f>162 / 86400</f>
        <v>1.8749999999999999E-3</v>
      </c>
      <c r="I770" t="s">
        <v>187</v>
      </c>
      <c r="J770" t="s">
        <v>28</v>
      </c>
      <c r="K770" s="5">
        <f>869 / 86400</f>
        <v>1.005787037037037E-2</v>
      </c>
      <c r="L770" s="5">
        <f>9000 / 86400</f>
        <v>0.10416666666666667</v>
      </c>
    </row>
    <row r="771" spans="1:12" x14ac:dyDescent="0.25">
      <c r="A771" s="3">
        <v>45692.832418981481</v>
      </c>
      <c r="B771" t="s">
        <v>84</v>
      </c>
      <c r="C771" s="3">
        <v>45692.838113425925</v>
      </c>
      <c r="D771" t="s">
        <v>265</v>
      </c>
      <c r="E771" s="4">
        <v>1.8879999999999999</v>
      </c>
      <c r="F771" s="4">
        <v>399409.41800000001</v>
      </c>
      <c r="G771" s="4">
        <v>399411.30599999998</v>
      </c>
      <c r="H771" s="5">
        <f>79 / 86400</f>
        <v>9.1435185185185185E-4</v>
      </c>
      <c r="I771" t="s">
        <v>159</v>
      </c>
      <c r="J771" t="s">
        <v>28</v>
      </c>
      <c r="K771" s="5">
        <f>492 / 86400</f>
        <v>5.6944444444444447E-3</v>
      </c>
      <c r="L771" s="5">
        <f>1086 / 86400</f>
        <v>1.2569444444444444E-2</v>
      </c>
    </row>
    <row r="772" spans="1:12" x14ac:dyDescent="0.25">
      <c r="A772" s="3">
        <v>45692.850682870368</v>
      </c>
      <c r="B772" t="s">
        <v>265</v>
      </c>
      <c r="C772" s="3">
        <v>45692.897789351853</v>
      </c>
      <c r="D772" t="s">
        <v>165</v>
      </c>
      <c r="E772" s="4">
        <v>21.390999999999998</v>
      </c>
      <c r="F772" s="4">
        <v>399411.30599999998</v>
      </c>
      <c r="G772" s="4">
        <v>399432.69699999999</v>
      </c>
      <c r="H772" s="5">
        <f>859 / 86400</f>
        <v>9.9421296296296289E-3</v>
      </c>
      <c r="I772" t="s">
        <v>219</v>
      </c>
      <c r="J772" t="s">
        <v>70</v>
      </c>
      <c r="K772" s="5">
        <f>4070 / 86400</f>
        <v>4.7106481481481478E-2</v>
      </c>
      <c r="L772" s="5">
        <f>23 / 86400</f>
        <v>2.6620370370370372E-4</v>
      </c>
    </row>
    <row r="773" spans="1:12" x14ac:dyDescent="0.25">
      <c r="A773" s="3">
        <v>45692.898055555561</v>
      </c>
      <c r="B773" t="s">
        <v>175</v>
      </c>
      <c r="C773" s="3">
        <v>45692.907152777778</v>
      </c>
      <c r="D773" t="s">
        <v>96</v>
      </c>
      <c r="E773" s="4">
        <v>6.0270000000000001</v>
      </c>
      <c r="F773" s="4">
        <v>399432.69699999999</v>
      </c>
      <c r="G773" s="4">
        <v>399438.72399999999</v>
      </c>
      <c r="H773" s="5">
        <f>19 / 86400</f>
        <v>2.199074074074074E-4</v>
      </c>
      <c r="I773" t="s">
        <v>130</v>
      </c>
      <c r="J773" t="s">
        <v>159</v>
      </c>
      <c r="K773" s="5">
        <f>785 / 86400</f>
        <v>9.0856481481481483E-3</v>
      </c>
      <c r="L773" s="5">
        <f>173 / 86400</f>
        <v>2.0023148148148148E-3</v>
      </c>
    </row>
    <row r="774" spans="1:12" x14ac:dyDescent="0.25">
      <c r="A774" s="3">
        <v>45692.909155092595</v>
      </c>
      <c r="B774" t="s">
        <v>96</v>
      </c>
      <c r="C774" s="3">
        <v>45692.909490740742</v>
      </c>
      <c r="D774" t="s">
        <v>96</v>
      </c>
      <c r="E774" s="4">
        <v>1.2999999999999999E-2</v>
      </c>
      <c r="F774" s="4">
        <v>399438.72399999999</v>
      </c>
      <c r="G774" s="4">
        <v>399438.73700000002</v>
      </c>
      <c r="H774" s="5">
        <f>0 / 86400</f>
        <v>0</v>
      </c>
      <c r="I774" t="s">
        <v>137</v>
      </c>
      <c r="J774" t="s">
        <v>161</v>
      </c>
      <c r="K774" s="5">
        <f>28 / 86400</f>
        <v>3.2407407407407406E-4</v>
      </c>
      <c r="L774" s="5">
        <f>3642 / 86400</f>
        <v>4.2152777777777775E-2</v>
      </c>
    </row>
    <row r="775" spans="1:12" x14ac:dyDescent="0.25">
      <c r="A775" s="3">
        <v>45692.951643518521</v>
      </c>
      <c r="B775" t="s">
        <v>96</v>
      </c>
      <c r="C775" s="3">
        <v>45692.958032407405</v>
      </c>
      <c r="D775" t="s">
        <v>97</v>
      </c>
      <c r="E775" s="4">
        <v>2.464</v>
      </c>
      <c r="F775" s="4">
        <v>399438.73700000002</v>
      </c>
      <c r="G775" s="4">
        <v>399441.201</v>
      </c>
      <c r="H775" s="5">
        <f>59 / 86400</f>
        <v>6.8287037037037036E-4</v>
      </c>
      <c r="I775" t="s">
        <v>159</v>
      </c>
      <c r="J775" t="s">
        <v>36</v>
      </c>
      <c r="K775" s="5">
        <f>552 / 86400</f>
        <v>6.3888888888888893E-3</v>
      </c>
      <c r="L775" s="5">
        <f>3625 / 86400</f>
        <v>4.1956018518518517E-2</v>
      </c>
    </row>
    <row r="776" spans="1:12" x14ac:dyDescent="0.25">
      <c r="A776" s="12"/>
      <c r="B776" s="12"/>
      <c r="C776" s="12"/>
      <c r="D776" s="12"/>
      <c r="E776" s="12"/>
      <c r="F776" s="12"/>
      <c r="G776" s="12"/>
      <c r="H776" s="12"/>
      <c r="I776" s="12"/>
      <c r="J776" s="12"/>
    </row>
    <row r="777" spans="1:12" x14ac:dyDescent="0.25">
      <c r="A777" s="12"/>
      <c r="B777" s="12"/>
      <c r="C777" s="12"/>
      <c r="D777" s="12"/>
      <c r="E777" s="12"/>
      <c r="F777" s="12"/>
      <c r="G777" s="12"/>
      <c r="H777" s="12"/>
      <c r="I777" s="12"/>
      <c r="J777" s="12"/>
    </row>
    <row r="778" spans="1:12" s="10" customFormat="1" ht="20.100000000000001" customHeight="1" x14ac:dyDescent="0.35">
      <c r="A778" s="15" t="s">
        <v>327</v>
      </c>
      <c r="B778" s="15"/>
      <c r="C778" s="15"/>
      <c r="D778" s="15"/>
      <c r="E778" s="15"/>
      <c r="F778" s="15"/>
      <c r="G778" s="15"/>
      <c r="H778" s="15"/>
      <c r="I778" s="15"/>
      <c r="J778" s="15"/>
    </row>
    <row r="779" spans="1:12" x14ac:dyDescent="0.25">
      <c r="A779" s="12"/>
      <c r="B779" s="12"/>
      <c r="C779" s="12"/>
      <c r="D779" s="12"/>
      <c r="E779" s="12"/>
      <c r="F779" s="12"/>
      <c r="G779" s="12"/>
      <c r="H779" s="12"/>
      <c r="I779" s="12"/>
      <c r="J779" s="12"/>
    </row>
    <row r="780" spans="1:12" ht="30" x14ac:dyDescent="0.25">
      <c r="A780" s="2" t="s">
        <v>6</v>
      </c>
      <c r="B780" s="2" t="s">
        <v>7</v>
      </c>
      <c r="C780" s="2" t="s">
        <v>8</v>
      </c>
      <c r="D780" s="2" t="s">
        <v>9</v>
      </c>
      <c r="E780" s="2" t="s">
        <v>10</v>
      </c>
      <c r="F780" s="2" t="s">
        <v>11</v>
      </c>
      <c r="G780" s="2" t="s">
        <v>12</v>
      </c>
      <c r="H780" s="2" t="s">
        <v>13</v>
      </c>
      <c r="I780" s="2" t="s">
        <v>14</v>
      </c>
      <c r="J780" s="2" t="s">
        <v>15</v>
      </c>
      <c r="K780" s="2" t="s">
        <v>16</v>
      </c>
      <c r="L780" s="2" t="s">
        <v>17</v>
      </c>
    </row>
    <row r="781" spans="1:12" x14ac:dyDescent="0.25">
      <c r="A781" s="3">
        <v>45692.208854166667</v>
      </c>
      <c r="B781" t="s">
        <v>26</v>
      </c>
      <c r="C781" s="3">
        <v>45692.209143518514</v>
      </c>
      <c r="D781" t="s">
        <v>26</v>
      </c>
      <c r="E781" s="4">
        <v>0</v>
      </c>
      <c r="F781" s="4">
        <v>381522.261</v>
      </c>
      <c r="G781" s="4">
        <v>381522.261</v>
      </c>
      <c r="H781" s="5">
        <f>19 / 86400</f>
        <v>2.199074074074074E-4</v>
      </c>
      <c r="I781" t="s">
        <v>55</v>
      </c>
      <c r="J781" t="s">
        <v>55</v>
      </c>
      <c r="K781" s="5">
        <f>25 / 86400</f>
        <v>2.8935185185185184E-4</v>
      </c>
      <c r="L781" s="5">
        <f>18048 / 86400</f>
        <v>0.2088888888888889</v>
      </c>
    </row>
    <row r="782" spans="1:12" x14ac:dyDescent="0.25">
      <c r="A782" s="3">
        <v>45692.209178240737</v>
      </c>
      <c r="B782" t="s">
        <v>26</v>
      </c>
      <c r="C782" s="3">
        <v>45692.445891203708</v>
      </c>
      <c r="D782" t="s">
        <v>46</v>
      </c>
      <c r="E782" s="4">
        <v>97.183000000000007</v>
      </c>
      <c r="F782" s="4">
        <v>381522.261</v>
      </c>
      <c r="G782" s="4">
        <v>381619.44400000002</v>
      </c>
      <c r="H782" s="5">
        <f>6379 / 86400</f>
        <v>7.3831018518518518E-2</v>
      </c>
      <c r="I782" t="s">
        <v>99</v>
      </c>
      <c r="J782" t="s">
        <v>25</v>
      </c>
      <c r="K782" s="5">
        <f>20452 / 86400</f>
        <v>0.23671296296296296</v>
      </c>
      <c r="L782" s="5">
        <f>2837 / 86400</f>
        <v>3.2835648148148149E-2</v>
      </c>
    </row>
    <row r="783" spans="1:12" x14ac:dyDescent="0.25">
      <c r="A783" s="3">
        <v>45692.478726851856</v>
      </c>
      <c r="B783" t="s">
        <v>46</v>
      </c>
      <c r="C783" s="3">
        <v>45692.487696759257</v>
      </c>
      <c r="D783" t="s">
        <v>148</v>
      </c>
      <c r="E783" s="4">
        <v>1.528</v>
      </c>
      <c r="F783" s="4">
        <v>381619.44400000002</v>
      </c>
      <c r="G783" s="4">
        <v>381620.97200000001</v>
      </c>
      <c r="H783" s="5">
        <f>380 / 86400</f>
        <v>4.3981481481481484E-3</v>
      </c>
      <c r="I783" t="s">
        <v>155</v>
      </c>
      <c r="J783" t="s">
        <v>43</v>
      </c>
      <c r="K783" s="5">
        <f>775 / 86400</f>
        <v>8.9699074074074073E-3</v>
      </c>
      <c r="L783" s="5">
        <f>11109 / 86400</f>
        <v>0.12857638888888889</v>
      </c>
    </row>
    <row r="784" spans="1:12" x14ac:dyDescent="0.25">
      <c r="A784" s="3">
        <v>45692.616273148145</v>
      </c>
      <c r="B784" t="s">
        <v>148</v>
      </c>
      <c r="C784" s="3">
        <v>45692.618090277778</v>
      </c>
      <c r="D784" t="s">
        <v>148</v>
      </c>
      <c r="E784" s="4">
        <v>0</v>
      </c>
      <c r="F784" s="4">
        <v>381620.97200000001</v>
      </c>
      <c r="G784" s="4">
        <v>381620.97200000001</v>
      </c>
      <c r="H784" s="5">
        <f>139 / 86400</f>
        <v>1.6087962962962963E-3</v>
      </c>
      <c r="I784" t="s">
        <v>55</v>
      </c>
      <c r="J784" t="s">
        <v>55</v>
      </c>
      <c r="K784" s="5">
        <f>157 / 86400</f>
        <v>1.8171296296296297E-3</v>
      </c>
      <c r="L784" s="5">
        <f>4 / 86400</f>
        <v>4.6296296296296294E-5</v>
      </c>
    </row>
    <row r="785" spans="1:12" x14ac:dyDescent="0.25">
      <c r="A785" s="3">
        <v>45692.618136574078</v>
      </c>
      <c r="B785" t="s">
        <v>148</v>
      </c>
      <c r="C785" s="3">
        <v>45692.618287037039</v>
      </c>
      <c r="D785" t="s">
        <v>148</v>
      </c>
      <c r="E785" s="4">
        <v>8.0000000000000002E-3</v>
      </c>
      <c r="F785" s="4">
        <v>381620.97200000001</v>
      </c>
      <c r="G785" s="4">
        <v>381620.98</v>
      </c>
      <c r="H785" s="5">
        <f>0 / 86400</f>
        <v>0</v>
      </c>
      <c r="I785" t="s">
        <v>119</v>
      </c>
      <c r="J785" t="s">
        <v>161</v>
      </c>
      <c r="K785" s="5">
        <f>13 / 86400</f>
        <v>1.5046296296296297E-4</v>
      </c>
      <c r="L785" s="5">
        <f>4 / 86400</f>
        <v>4.6296296296296294E-5</v>
      </c>
    </row>
    <row r="786" spans="1:12" x14ac:dyDescent="0.25">
      <c r="A786" s="3">
        <v>45692.618333333332</v>
      </c>
      <c r="B786" t="s">
        <v>148</v>
      </c>
      <c r="C786" s="3">
        <v>45692.618495370371</v>
      </c>
      <c r="D786" t="s">
        <v>148</v>
      </c>
      <c r="E786" s="4">
        <v>6.0000000000000001E-3</v>
      </c>
      <c r="F786" s="4">
        <v>381620.98</v>
      </c>
      <c r="G786" s="4">
        <v>381620.98599999998</v>
      </c>
      <c r="H786" s="5">
        <f>11 / 86400</f>
        <v>1.273148148148148E-4</v>
      </c>
      <c r="I786" t="s">
        <v>55</v>
      </c>
      <c r="J786" t="s">
        <v>161</v>
      </c>
      <c r="K786" s="5">
        <f>14 / 86400</f>
        <v>1.6203703703703703E-4</v>
      </c>
      <c r="L786" s="5">
        <f>3 / 86400</f>
        <v>3.4722222222222222E-5</v>
      </c>
    </row>
    <row r="787" spans="1:12" x14ac:dyDescent="0.25">
      <c r="A787" s="3">
        <v>45692.618530092594</v>
      </c>
      <c r="B787" t="s">
        <v>148</v>
      </c>
      <c r="C787" s="3">
        <v>45692.619074074071</v>
      </c>
      <c r="D787" t="s">
        <v>148</v>
      </c>
      <c r="E787" s="4">
        <v>1.2999999999999999E-2</v>
      </c>
      <c r="F787" s="4">
        <v>381620.98599999998</v>
      </c>
      <c r="G787" s="4">
        <v>381620.99900000001</v>
      </c>
      <c r="H787" s="5">
        <f>20 / 86400</f>
        <v>2.3148148148148149E-4</v>
      </c>
      <c r="I787" t="s">
        <v>137</v>
      </c>
      <c r="J787" t="s">
        <v>125</v>
      </c>
      <c r="K787" s="5">
        <f>47 / 86400</f>
        <v>5.4398148148148144E-4</v>
      </c>
      <c r="L787" s="5">
        <f>6 / 86400</f>
        <v>6.9444444444444444E-5</v>
      </c>
    </row>
    <row r="788" spans="1:12" x14ac:dyDescent="0.25">
      <c r="A788" s="3">
        <v>45692.619143518517</v>
      </c>
      <c r="B788" t="s">
        <v>148</v>
      </c>
      <c r="C788" s="3">
        <v>45692.61954861111</v>
      </c>
      <c r="D788" t="s">
        <v>148</v>
      </c>
      <c r="E788" s="4">
        <v>5.0999999999999997E-2</v>
      </c>
      <c r="F788" s="4">
        <v>381620.99900000001</v>
      </c>
      <c r="G788" s="4">
        <v>381621.05</v>
      </c>
      <c r="H788" s="5">
        <f>19 / 86400</f>
        <v>2.199074074074074E-4</v>
      </c>
      <c r="I788" t="s">
        <v>55</v>
      </c>
      <c r="J788" t="s">
        <v>119</v>
      </c>
      <c r="K788" s="5">
        <f>35 / 86400</f>
        <v>4.0509259259259258E-4</v>
      </c>
      <c r="L788" s="5">
        <f>3 / 86400</f>
        <v>3.4722222222222222E-5</v>
      </c>
    </row>
    <row r="789" spans="1:12" x14ac:dyDescent="0.25">
      <c r="A789" s="3">
        <v>45692.619583333333</v>
      </c>
      <c r="B789" t="s">
        <v>148</v>
      </c>
      <c r="C789" s="3">
        <v>45692.619814814811</v>
      </c>
      <c r="D789" t="s">
        <v>266</v>
      </c>
      <c r="E789" s="4">
        <v>2.7E-2</v>
      </c>
      <c r="F789" s="4">
        <v>381621.05</v>
      </c>
      <c r="G789" s="4">
        <v>381621.07699999999</v>
      </c>
      <c r="H789" s="5">
        <f>1 / 86400</f>
        <v>1.1574074074074073E-5</v>
      </c>
      <c r="I789" t="s">
        <v>43</v>
      </c>
      <c r="J789" t="s">
        <v>119</v>
      </c>
      <c r="K789" s="5">
        <f>20 / 86400</f>
        <v>2.3148148148148149E-4</v>
      </c>
      <c r="L789" s="5">
        <f>3 / 86400</f>
        <v>3.4722222222222222E-5</v>
      </c>
    </row>
    <row r="790" spans="1:12" x14ac:dyDescent="0.25">
      <c r="A790" s="3">
        <v>45692.619849537034</v>
      </c>
      <c r="B790" t="s">
        <v>266</v>
      </c>
      <c r="C790" s="3">
        <v>45692.62299768519</v>
      </c>
      <c r="D790" t="s">
        <v>46</v>
      </c>
      <c r="E790" s="4">
        <v>0.72199999999999998</v>
      </c>
      <c r="F790" s="4">
        <v>381621.07699999999</v>
      </c>
      <c r="G790" s="4">
        <v>381621.799</v>
      </c>
      <c r="H790" s="5">
        <f>80 / 86400</f>
        <v>9.2592592592592596E-4</v>
      </c>
      <c r="I790" t="s">
        <v>25</v>
      </c>
      <c r="J790" t="s">
        <v>158</v>
      </c>
      <c r="K790" s="5">
        <f>272 / 86400</f>
        <v>3.1481481481481482E-3</v>
      </c>
      <c r="L790" s="5">
        <f>3 / 86400</f>
        <v>3.4722222222222222E-5</v>
      </c>
    </row>
    <row r="791" spans="1:12" x14ac:dyDescent="0.25">
      <c r="A791" s="3">
        <v>45692.623032407406</v>
      </c>
      <c r="B791" t="s">
        <v>46</v>
      </c>
      <c r="C791" s="3">
        <v>45692.623101851852</v>
      </c>
      <c r="D791" t="s">
        <v>46</v>
      </c>
      <c r="E791" s="4">
        <v>0</v>
      </c>
      <c r="F791" s="4">
        <v>381621.799</v>
      </c>
      <c r="G791" s="4">
        <v>381621.799</v>
      </c>
      <c r="H791" s="5">
        <f>0 / 86400</f>
        <v>0</v>
      </c>
      <c r="I791" t="s">
        <v>55</v>
      </c>
      <c r="J791" t="s">
        <v>55</v>
      </c>
      <c r="K791" s="5">
        <f>6 / 86400</f>
        <v>6.9444444444444444E-5</v>
      </c>
      <c r="L791" s="5">
        <f>3 / 86400</f>
        <v>3.4722222222222222E-5</v>
      </c>
    </row>
    <row r="792" spans="1:12" x14ac:dyDescent="0.25">
      <c r="A792" s="3">
        <v>45692.623136574075</v>
      </c>
      <c r="B792" t="s">
        <v>46</v>
      </c>
      <c r="C792" s="3">
        <v>45692.623622685191</v>
      </c>
      <c r="D792" t="s">
        <v>46</v>
      </c>
      <c r="E792" s="4">
        <v>3.7999999999999999E-2</v>
      </c>
      <c r="F792" s="4">
        <v>381621.799</v>
      </c>
      <c r="G792" s="4">
        <v>381621.837</v>
      </c>
      <c r="H792" s="5">
        <f>0 / 86400</f>
        <v>0</v>
      </c>
      <c r="I792" t="s">
        <v>43</v>
      </c>
      <c r="J792" t="s">
        <v>140</v>
      </c>
      <c r="K792" s="5">
        <f>41 / 86400</f>
        <v>4.7453703703703704E-4</v>
      </c>
      <c r="L792" s="5">
        <f>6 / 86400</f>
        <v>6.9444444444444444E-5</v>
      </c>
    </row>
    <row r="793" spans="1:12" x14ac:dyDescent="0.25">
      <c r="A793" s="3">
        <v>45692.623692129629</v>
      </c>
      <c r="B793" t="s">
        <v>46</v>
      </c>
      <c r="C793" s="3">
        <v>45692.624027777776</v>
      </c>
      <c r="D793" t="s">
        <v>46</v>
      </c>
      <c r="E793" s="4">
        <v>8.0000000000000002E-3</v>
      </c>
      <c r="F793" s="4">
        <v>381621.837</v>
      </c>
      <c r="G793" s="4">
        <v>381621.84499999997</v>
      </c>
      <c r="H793" s="5">
        <f>0 / 86400</f>
        <v>0</v>
      </c>
      <c r="I793" t="s">
        <v>161</v>
      </c>
      <c r="J793" t="s">
        <v>125</v>
      </c>
      <c r="K793" s="5">
        <f>29 / 86400</f>
        <v>3.3564814814814812E-4</v>
      </c>
      <c r="L793" s="5">
        <f>32483 / 86400</f>
        <v>0.37596064814814817</v>
      </c>
    </row>
    <row r="794" spans="1:12" x14ac:dyDescent="0.25">
      <c r="A794" s="12"/>
      <c r="B794" s="12"/>
      <c r="C794" s="12"/>
      <c r="D794" s="12"/>
      <c r="E794" s="12"/>
      <c r="F794" s="12"/>
      <c r="G794" s="12"/>
      <c r="H794" s="12"/>
      <c r="I794" s="12"/>
      <c r="J794" s="12"/>
    </row>
    <row r="795" spans="1:12" x14ac:dyDescent="0.25">
      <c r="A795" s="12"/>
      <c r="B795" s="12"/>
      <c r="C795" s="12"/>
      <c r="D795" s="12"/>
      <c r="E795" s="12"/>
      <c r="F795" s="12"/>
      <c r="G795" s="12"/>
      <c r="H795" s="12"/>
      <c r="I795" s="12"/>
      <c r="J795" s="12"/>
    </row>
    <row r="796" spans="1:12" s="10" customFormat="1" ht="20.100000000000001" customHeight="1" x14ac:dyDescent="0.35">
      <c r="A796" s="15" t="s">
        <v>328</v>
      </c>
      <c r="B796" s="15"/>
      <c r="C796" s="15"/>
      <c r="D796" s="15"/>
      <c r="E796" s="15"/>
      <c r="F796" s="15"/>
      <c r="G796" s="15"/>
      <c r="H796" s="15"/>
      <c r="I796" s="15"/>
      <c r="J796" s="15"/>
    </row>
    <row r="797" spans="1:12" x14ac:dyDescent="0.25">
      <c r="A797" s="12"/>
      <c r="B797" s="12"/>
      <c r="C797" s="12"/>
      <c r="D797" s="12"/>
      <c r="E797" s="12"/>
      <c r="F797" s="12"/>
      <c r="G797" s="12"/>
      <c r="H797" s="12"/>
      <c r="I797" s="12"/>
      <c r="J797" s="12"/>
    </row>
    <row r="798" spans="1:12" ht="30" x14ac:dyDescent="0.25">
      <c r="A798" s="2" t="s">
        <v>6</v>
      </c>
      <c r="B798" s="2" t="s">
        <v>7</v>
      </c>
      <c r="C798" s="2" t="s">
        <v>8</v>
      </c>
      <c r="D798" s="2" t="s">
        <v>9</v>
      </c>
      <c r="E798" s="2" t="s">
        <v>10</v>
      </c>
      <c r="F798" s="2" t="s">
        <v>11</v>
      </c>
      <c r="G798" s="2" t="s">
        <v>12</v>
      </c>
      <c r="H798" s="2" t="s">
        <v>13</v>
      </c>
      <c r="I798" s="2" t="s">
        <v>14</v>
      </c>
      <c r="J798" s="2" t="s">
        <v>15</v>
      </c>
      <c r="K798" s="2" t="s">
        <v>16</v>
      </c>
      <c r="L798" s="2" t="s">
        <v>17</v>
      </c>
    </row>
    <row r="799" spans="1:12" x14ac:dyDescent="0.25">
      <c r="A799" s="3">
        <v>45692.303182870368</v>
      </c>
      <c r="B799" t="s">
        <v>21</v>
      </c>
      <c r="C799" s="3">
        <v>45692.306354166663</v>
      </c>
      <c r="D799" t="s">
        <v>128</v>
      </c>
      <c r="E799" s="4">
        <v>0.63400000000000001</v>
      </c>
      <c r="F799" s="4">
        <v>544446.61300000001</v>
      </c>
      <c r="G799" s="4">
        <v>544447.24699999997</v>
      </c>
      <c r="H799" s="5">
        <f>119 / 86400</f>
        <v>1.3773148148148147E-3</v>
      </c>
      <c r="I799" t="s">
        <v>42</v>
      </c>
      <c r="J799" t="s">
        <v>135</v>
      </c>
      <c r="K799" s="5">
        <f>273 / 86400</f>
        <v>3.1597222222222222E-3</v>
      </c>
      <c r="L799" s="5">
        <f>26545 / 86400</f>
        <v>0.30723379629629627</v>
      </c>
    </row>
    <row r="800" spans="1:12" x14ac:dyDescent="0.25">
      <c r="A800" s="3">
        <v>45692.31040509259</v>
      </c>
      <c r="B800" t="s">
        <v>128</v>
      </c>
      <c r="C800" s="3">
        <v>45692.314606481479</v>
      </c>
      <c r="D800" t="s">
        <v>148</v>
      </c>
      <c r="E800" s="4">
        <v>1.276</v>
      </c>
      <c r="F800" s="4">
        <v>544447.24699999997</v>
      </c>
      <c r="G800" s="4">
        <v>544448.52300000004</v>
      </c>
      <c r="H800" s="5">
        <f>39 / 86400</f>
        <v>4.5138888888888887E-4</v>
      </c>
      <c r="I800" t="s">
        <v>235</v>
      </c>
      <c r="J800" t="s">
        <v>58</v>
      </c>
      <c r="K800" s="5">
        <f>363 / 86400</f>
        <v>4.2013888888888891E-3</v>
      </c>
      <c r="L800" s="5">
        <f>714 / 86400</f>
        <v>8.2638888888888883E-3</v>
      </c>
    </row>
    <row r="801" spans="1:12" x14ac:dyDescent="0.25">
      <c r="A801" s="3">
        <v>45692.322870370372</v>
      </c>
      <c r="B801" t="s">
        <v>148</v>
      </c>
      <c r="C801" s="3">
        <v>45692.461516203708</v>
      </c>
      <c r="D801" t="s">
        <v>156</v>
      </c>
      <c r="E801" s="4">
        <v>50.677</v>
      </c>
      <c r="F801" s="4">
        <v>544448.52300000004</v>
      </c>
      <c r="G801" s="4">
        <v>544499.19999999995</v>
      </c>
      <c r="H801" s="5">
        <f>4418 / 86400</f>
        <v>5.1134259259259261E-2</v>
      </c>
      <c r="I801" t="s">
        <v>185</v>
      </c>
      <c r="J801" t="s">
        <v>20</v>
      </c>
      <c r="K801" s="5">
        <f>11978 / 86400</f>
        <v>0.13863425925925926</v>
      </c>
      <c r="L801" s="5">
        <f>1625 / 86400</f>
        <v>1.8807870370370371E-2</v>
      </c>
    </row>
    <row r="802" spans="1:12" x14ac:dyDescent="0.25">
      <c r="A802" s="3">
        <v>45692.480324074073</v>
      </c>
      <c r="B802" t="s">
        <v>156</v>
      </c>
      <c r="C802" s="3">
        <v>45692.487824074073</v>
      </c>
      <c r="D802" t="s">
        <v>267</v>
      </c>
      <c r="E802" s="4">
        <v>0.11</v>
      </c>
      <c r="F802" s="4">
        <v>544499.19999999995</v>
      </c>
      <c r="G802" s="4">
        <v>544499.31000000006</v>
      </c>
      <c r="H802" s="5">
        <f>559 / 86400</f>
        <v>6.4699074074074077E-3</v>
      </c>
      <c r="I802" t="s">
        <v>135</v>
      </c>
      <c r="J802" t="s">
        <v>125</v>
      </c>
      <c r="K802" s="5">
        <f>647 / 86400</f>
        <v>7.4884259259259262E-3</v>
      </c>
      <c r="L802" s="5">
        <f>40 / 86400</f>
        <v>4.6296296296296298E-4</v>
      </c>
    </row>
    <row r="803" spans="1:12" x14ac:dyDescent="0.25">
      <c r="A803" s="3">
        <v>45692.488287037035</v>
      </c>
      <c r="B803" t="s">
        <v>267</v>
      </c>
      <c r="C803" s="3">
        <v>45692.488645833335</v>
      </c>
      <c r="D803" t="s">
        <v>267</v>
      </c>
      <c r="E803" s="4">
        <v>0</v>
      </c>
      <c r="F803" s="4">
        <v>544499.31000000006</v>
      </c>
      <c r="G803" s="4">
        <v>544499.31000000006</v>
      </c>
      <c r="H803" s="5">
        <f>19 / 86400</f>
        <v>2.199074074074074E-4</v>
      </c>
      <c r="I803" t="s">
        <v>161</v>
      </c>
      <c r="J803" t="s">
        <v>55</v>
      </c>
      <c r="K803" s="5">
        <f>30 / 86400</f>
        <v>3.4722222222222224E-4</v>
      </c>
      <c r="L803" s="5">
        <f>109 / 86400</f>
        <v>1.261574074074074E-3</v>
      </c>
    </row>
    <row r="804" spans="1:12" x14ac:dyDescent="0.25">
      <c r="A804" s="3">
        <v>45692.489907407406</v>
      </c>
      <c r="B804" t="s">
        <v>236</v>
      </c>
      <c r="C804" s="3">
        <v>45692.490868055553</v>
      </c>
      <c r="D804" t="s">
        <v>236</v>
      </c>
      <c r="E804" s="4">
        <v>8.0000000000000002E-3</v>
      </c>
      <c r="F804" s="4">
        <v>544499.31000000006</v>
      </c>
      <c r="G804" s="4">
        <v>544499.31799999997</v>
      </c>
      <c r="H804" s="5">
        <f>79 / 86400</f>
        <v>9.1435185185185185E-4</v>
      </c>
      <c r="I804" t="s">
        <v>55</v>
      </c>
      <c r="J804" t="s">
        <v>55</v>
      </c>
      <c r="K804" s="5">
        <f>82 / 86400</f>
        <v>9.4907407407407408E-4</v>
      </c>
      <c r="L804" s="5">
        <f>84 / 86400</f>
        <v>9.7222222222222219E-4</v>
      </c>
    </row>
    <row r="805" spans="1:12" x14ac:dyDescent="0.25">
      <c r="A805" s="3">
        <v>45692.491840277777</v>
      </c>
      <c r="B805" t="s">
        <v>267</v>
      </c>
      <c r="C805" s="3">
        <v>45692.624201388884</v>
      </c>
      <c r="D805" t="s">
        <v>40</v>
      </c>
      <c r="E805" s="4">
        <v>49.845999999999997</v>
      </c>
      <c r="F805" s="4">
        <v>544499.31799999997</v>
      </c>
      <c r="G805" s="4">
        <v>544549.16399999999</v>
      </c>
      <c r="H805" s="5">
        <f>3680 / 86400</f>
        <v>4.2592592592592592E-2</v>
      </c>
      <c r="I805" t="s">
        <v>144</v>
      </c>
      <c r="J805" t="s">
        <v>36</v>
      </c>
      <c r="K805" s="5">
        <f>11435 / 86400</f>
        <v>0.13234953703703703</v>
      </c>
      <c r="L805" s="5">
        <f>1891 / 86400</f>
        <v>2.1886574074074076E-2</v>
      </c>
    </row>
    <row r="806" spans="1:12" x14ac:dyDescent="0.25">
      <c r="A806" s="3">
        <v>45692.646087962959</v>
      </c>
      <c r="B806" t="s">
        <v>40</v>
      </c>
      <c r="C806" s="3">
        <v>45692.657372685186</v>
      </c>
      <c r="D806" t="s">
        <v>268</v>
      </c>
      <c r="E806" s="4">
        <v>5.1289999999999996</v>
      </c>
      <c r="F806" s="4">
        <v>544549.16399999999</v>
      </c>
      <c r="G806" s="4">
        <v>544554.29299999995</v>
      </c>
      <c r="H806" s="5">
        <f>119 / 86400</f>
        <v>1.3773148148148147E-3</v>
      </c>
      <c r="I806" t="s">
        <v>189</v>
      </c>
      <c r="J806" t="s">
        <v>70</v>
      </c>
      <c r="K806" s="5">
        <f>974 / 86400</f>
        <v>1.1273148148148148E-2</v>
      </c>
      <c r="L806" s="5">
        <f>43 / 86400</f>
        <v>4.9768518518518521E-4</v>
      </c>
    </row>
    <row r="807" spans="1:12" x14ac:dyDescent="0.25">
      <c r="A807" s="3">
        <v>45692.657870370371</v>
      </c>
      <c r="B807" t="s">
        <v>268</v>
      </c>
      <c r="C807" s="3">
        <v>45692.657962962963</v>
      </c>
      <c r="D807" t="s">
        <v>268</v>
      </c>
      <c r="E807" s="4">
        <v>2E-3</v>
      </c>
      <c r="F807" s="4">
        <v>544554.29299999995</v>
      </c>
      <c r="G807" s="4">
        <v>544554.29500000004</v>
      </c>
      <c r="H807" s="5">
        <f>0 / 86400</f>
        <v>0</v>
      </c>
      <c r="I807" t="s">
        <v>55</v>
      </c>
      <c r="J807" t="s">
        <v>125</v>
      </c>
      <c r="K807" s="5">
        <f>8 / 86400</f>
        <v>9.2592592592592588E-5</v>
      </c>
      <c r="L807" s="5">
        <f>9 / 86400</f>
        <v>1.0416666666666667E-4</v>
      </c>
    </row>
    <row r="808" spans="1:12" x14ac:dyDescent="0.25">
      <c r="A808" s="3">
        <v>45692.658067129625</v>
      </c>
      <c r="B808" t="s">
        <v>268</v>
      </c>
      <c r="C808" s="3">
        <v>45692.658171296294</v>
      </c>
      <c r="D808" t="s">
        <v>268</v>
      </c>
      <c r="E808" s="4">
        <v>6.0000000000000001E-3</v>
      </c>
      <c r="F808" s="4">
        <v>544554.29500000004</v>
      </c>
      <c r="G808" s="4">
        <v>544554.30099999998</v>
      </c>
      <c r="H808" s="5">
        <f>0 / 86400</f>
        <v>0</v>
      </c>
      <c r="I808" t="s">
        <v>161</v>
      </c>
      <c r="J808" t="s">
        <v>161</v>
      </c>
      <c r="K808" s="5">
        <f>9 / 86400</f>
        <v>1.0416666666666667E-4</v>
      </c>
      <c r="L808" s="5">
        <f>90 / 86400</f>
        <v>1.0416666666666667E-3</v>
      </c>
    </row>
    <row r="809" spans="1:12" x14ac:dyDescent="0.25">
      <c r="A809" s="3">
        <v>45692.659212962964</v>
      </c>
      <c r="B809" t="s">
        <v>268</v>
      </c>
      <c r="C809" s="3">
        <v>45692.65929398148</v>
      </c>
      <c r="D809" t="s">
        <v>268</v>
      </c>
      <c r="E809" s="4">
        <v>3.0000000000000001E-3</v>
      </c>
      <c r="F809" s="4">
        <v>544554.30099999998</v>
      </c>
      <c r="G809" s="4">
        <v>544554.304</v>
      </c>
      <c r="H809" s="5">
        <f>0 / 86400</f>
        <v>0</v>
      </c>
      <c r="I809" t="s">
        <v>55</v>
      </c>
      <c r="J809" t="s">
        <v>161</v>
      </c>
      <c r="K809" s="5">
        <f>7 / 86400</f>
        <v>8.1018518518518516E-5</v>
      </c>
      <c r="L809" s="5">
        <f>102 / 86400</f>
        <v>1.1805555555555556E-3</v>
      </c>
    </row>
    <row r="810" spans="1:12" x14ac:dyDescent="0.25">
      <c r="A810" s="3">
        <v>45692.660474537042</v>
      </c>
      <c r="B810" t="s">
        <v>268</v>
      </c>
      <c r="C810" s="3">
        <v>45692.660578703704</v>
      </c>
      <c r="D810" t="s">
        <v>268</v>
      </c>
      <c r="E810" s="4">
        <v>1E-3</v>
      </c>
      <c r="F810" s="4">
        <v>544554.304</v>
      </c>
      <c r="G810" s="4">
        <v>544554.30500000005</v>
      </c>
      <c r="H810" s="5">
        <f>0 / 86400</f>
        <v>0</v>
      </c>
      <c r="I810" t="s">
        <v>55</v>
      </c>
      <c r="J810" t="s">
        <v>55</v>
      </c>
      <c r="K810" s="5">
        <f>9 / 86400</f>
        <v>1.0416666666666667E-4</v>
      </c>
      <c r="L810" s="5">
        <f>71 / 86400</f>
        <v>8.2175925925925927E-4</v>
      </c>
    </row>
    <row r="811" spans="1:12" x14ac:dyDescent="0.25">
      <c r="A811" s="3">
        <v>45692.661400462966</v>
      </c>
      <c r="B811" t="s">
        <v>268</v>
      </c>
      <c r="C811" s="3">
        <v>45692.661898148144</v>
      </c>
      <c r="D811" t="s">
        <v>268</v>
      </c>
      <c r="E811" s="4">
        <v>5.0000000000000001E-3</v>
      </c>
      <c r="F811" s="4">
        <v>544554.30500000005</v>
      </c>
      <c r="G811" s="4">
        <v>544554.31000000006</v>
      </c>
      <c r="H811" s="5">
        <f>39 / 86400</f>
        <v>4.5138888888888887E-4</v>
      </c>
      <c r="I811" t="s">
        <v>55</v>
      </c>
      <c r="J811" t="s">
        <v>55</v>
      </c>
      <c r="K811" s="5">
        <f>43 / 86400</f>
        <v>4.9768518518518521E-4</v>
      </c>
      <c r="L811" s="5">
        <f>83 / 86400</f>
        <v>9.6064814814814819E-4</v>
      </c>
    </row>
    <row r="812" spans="1:12" x14ac:dyDescent="0.25">
      <c r="A812" s="3">
        <v>45692.662858796291</v>
      </c>
      <c r="B812" t="s">
        <v>268</v>
      </c>
      <c r="C812" s="3">
        <v>45692.663368055553</v>
      </c>
      <c r="D812" t="s">
        <v>268</v>
      </c>
      <c r="E812" s="4">
        <v>3.0000000000000001E-3</v>
      </c>
      <c r="F812" s="4">
        <v>544554.31000000006</v>
      </c>
      <c r="G812" s="4">
        <v>544554.31299999997</v>
      </c>
      <c r="H812" s="5">
        <f>39 / 86400</f>
        <v>4.5138888888888887E-4</v>
      </c>
      <c r="I812" t="s">
        <v>55</v>
      </c>
      <c r="J812" t="s">
        <v>55</v>
      </c>
      <c r="K812" s="5">
        <f>43 / 86400</f>
        <v>4.9768518518518521E-4</v>
      </c>
      <c r="L812" s="5">
        <f>48 / 86400</f>
        <v>5.5555555555555556E-4</v>
      </c>
    </row>
    <row r="813" spans="1:12" x14ac:dyDescent="0.25">
      <c r="A813" s="3">
        <v>45692.663923611108</v>
      </c>
      <c r="B813" t="s">
        <v>268</v>
      </c>
      <c r="C813" s="3">
        <v>45692.66405092593</v>
      </c>
      <c r="D813" t="s">
        <v>268</v>
      </c>
      <c r="E813" s="4">
        <v>8.9999999999999993E-3</v>
      </c>
      <c r="F813" s="4">
        <v>544554.31299999997</v>
      </c>
      <c r="G813" s="4">
        <v>544554.32200000004</v>
      </c>
      <c r="H813" s="5">
        <f>0 / 86400</f>
        <v>0</v>
      </c>
      <c r="I813" t="s">
        <v>55</v>
      </c>
      <c r="J813" t="s">
        <v>140</v>
      </c>
      <c r="K813" s="5">
        <f>11 / 86400</f>
        <v>1.273148148148148E-4</v>
      </c>
      <c r="L813" s="5">
        <f>2 / 86400</f>
        <v>2.3148148148148147E-5</v>
      </c>
    </row>
    <row r="814" spans="1:12" x14ac:dyDescent="0.25">
      <c r="A814" s="3">
        <v>45692.66407407407</v>
      </c>
      <c r="B814" t="s">
        <v>268</v>
      </c>
      <c r="C814" s="3">
        <v>45692.888310185182</v>
      </c>
      <c r="D814" t="s">
        <v>91</v>
      </c>
      <c r="E814" s="4">
        <v>89.340999999999994</v>
      </c>
      <c r="F814" s="4">
        <v>544554.32200000004</v>
      </c>
      <c r="G814" s="4">
        <v>544643.66299999994</v>
      </c>
      <c r="H814" s="5">
        <f>5666 / 86400</f>
        <v>6.5578703703703708E-2</v>
      </c>
      <c r="I814" t="s">
        <v>35</v>
      </c>
      <c r="J814" t="s">
        <v>25</v>
      </c>
      <c r="K814" s="5">
        <f>19374 / 86400</f>
        <v>0.22423611111111111</v>
      </c>
      <c r="L814" s="5">
        <f>401 / 86400</f>
        <v>4.6412037037037038E-3</v>
      </c>
    </row>
    <row r="815" spans="1:12" x14ac:dyDescent="0.25">
      <c r="A815" s="3">
        <v>45692.892951388887</v>
      </c>
      <c r="B815" t="s">
        <v>91</v>
      </c>
      <c r="C815" s="3">
        <v>45692.894479166665</v>
      </c>
      <c r="D815" t="s">
        <v>21</v>
      </c>
      <c r="E815" s="4">
        <v>0.27900000000000003</v>
      </c>
      <c r="F815" s="4">
        <v>544643.66299999994</v>
      </c>
      <c r="G815" s="4">
        <v>544643.94200000004</v>
      </c>
      <c r="H815" s="5">
        <f>0 / 86400</f>
        <v>0</v>
      </c>
      <c r="I815" t="s">
        <v>25</v>
      </c>
      <c r="J815" t="s">
        <v>135</v>
      </c>
      <c r="K815" s="5">
        <f>132 / 86400</f>
        <v>1.5277777777777779E-3</v>
      </c>
      <c r="L815" s="5">
        <f>9116 / 86400</f>
        <v>0.10550925925925926</v>
      </c>
    </row>
    <row r="816" spans="1:12" x14ac:dyDescent="0.25">
      <c r="A816" s="12"/>
      <c r="B816" s="12"/>
      <c r="C816" s="12"/>
      <c r="D816" s="12"/>
      <c r="E816" s="12"/>
      <c r="F816" s="12"/>
      <c r="G816" s="12"/>
      <c r="H816" s="12"/>
      <c r="I816" s="12"/>
      <c r="J816" s="12"/>
    </row>
    <row r="817" spans="1:12" x14ac:dyDescent="0.25">
      <c r="A817" s="12"/>
      <c r="B817" s="12"/>
      <c r="C817" s="12"/>
      <c r="D817" s="12"/>
      <c r="E817" s="12"/>
      <c r="F817" s="12"/>
      <c r="G817" s="12"/>
      <c r="H817" s="12"/>
      <c r="I817" s="12"/>
      <c r="J817" s="12"/>
    </row>
    <row r="818" spans="1:12" s="10" customFormat="1" ht="20.100000000000001" customHeight="1" x14ac:dyDescent="0.35">
      <c r="A818" s="15" t="s">
        <v>329</v>
      </c>
      <c r="B818" s="15"/>
      <c r="C818" s="15"/>
      <c r="D818" s="15"/>
      <c r="E818" s="15"/>
      <c r="F818" s="15"/>
      <c r="G818" s="15"/>
      <c r="H818" s="15"/>
      <c r="I818" s="15"/>
      <c r="J818" s="15"/>
    </row>
    <row r="819" spans="1:12" x14ac:dyDescent="0.25">
      <c r="A819" s="12"/>
      <c r="B819" s="12"/>
      <c r="C819" s="12"/>
      <c r="D819" s="12"/>
      <c r="E819" s="12"/>
      <c r="F819" s="12"/>
      <c r="G819" s="12"/>
      <c r="H819" s="12"/>
      <c r="I819" s="12"/>
      <c r="J819" s="12"/>
    </row>
    <row r="820" spans="1:12" ht="30" x14ac:dyDescent="0.25">
      <c r="A820" s="2" t="s">
        <v>6</v>
      </c>
      <c r="B820" s="2" t="s">
        <v>7</v>
      </c>
      <c r="C820" s="2" t="s">
        <v>8</v>
      </c>
      <c r="D820" s="2" t="s">
        <v>9</v>
      </c>
      <c r="E820" s="2" t="s">
        <v>10</v>
      </c>
      <c r="F820" s="2" t="s">
        <v>11</v>
      </c>
      <c r="G820" s="2" t="s">
        <v>12</v>
      </c>
      <c r="H820" s="2" t="s">
        <v>13</v>
      </c>
      <c r="I820" s="2" t="s">
        <v>14</v>
      </c>
      <c r="J820" s="2" t="s">
        <v>15</v>
      </c>
      <c r="K820" s="2" t="s">
        <v>16</v>
      </c>
      <c r="L820" s="2" t="s">
        <v>17</v>
      </c>
    </row>
    <row r="821" spans="1:12" x14ac:dyDescent="0.25">
      <c r="A821" s="3">
        <v>45692.274837962963</v>
      </c>
      <c r="B821" t="s">
        <v>91</v>
      </c>
      <c r="C821" s="3">
        <v>45692.27853009259</v>
      </c>
      <c r="D821" t="s">
        <v>46</v>
      </c>
      <c r="E821" s="4">
        <v>1.4710000000000001</v>
      </c>
      <c r="F821" s="4">
        <v>101164.614</v>
      </c>
      <c r="G821" s="4">
        <v>101166.08500000001</v>
      </c>
      <c r="H821" s="5">
        <f>57 / 86400</f>
        <v>6.5972222222222224E-4</v>
      </c>
      <c r="I821" t="s">
        <v>147</v>
      </c>
      <c r="J821" t="s">
        <v>25</v>
      </c>
      <c r="K821" s="5">
        <f>319 / 86400</f>
        <v>3.6921296296296298E-3</v>
      </c>
      <c r="L821" s="5">
        <f>24710 / 86400</f>
        <v>0.28599537037037037</v>
      </c>
    </row>
    <row r="822" spans="1:12" x14ac:dyDescent="0.25">
      <c r="A822" s="3">
        <v>45692.289687500001</v>
      </c>
      <c r="B822" t="s">
        <v>46</v>
      </c>
      <c r="C822" s="3">
        <v>45692.290706018517</v>
      </c>
      <c r="D822" t="s">
        <v>202</v>
      </c>
      <c r="E822" s="4">
        <v>0.224</v>
      </c>
      <c r="F822" s="4">
        <v>101166.08500000001</v>
      </c>
      <c r="G822" s="4">
        <v>101166.30899999999</v>
      </c>
      <c r="H822" s="5">
        <f>0 / 86400</f>
        <v>0</v>
      </c>
      <c r="I822" t="s">
        <v>20</v>
      </c>
      <c r="J822" t="s">
        <v>54</v>
      </c>
      <c r="K822" s="5">
        <f>88 / 86400</f>
        <v>1.0185185185185184E-3</v>
      </c>
      <c r="L822" s="5">
        <f>960 / 86400</f>
        <v>1.1111111111111112E-2</v>
      </c>
    </row>
    <row r="823" spans="1:12" x14ac:dyDescent="0.25">
      <c r="A823" s="3">
        <v>45692.301817129628</v>
      </c>
      <c r="B823" t="s">
        <v>202</v>
      </c>
      <c r="C823" s="3">
        <v>45692.302199074074</v>
      </c>
      <c r="D823" t="s">
        <v>202</v>
      </c>
      <c r="E823" s="4">
        <v>0</v>
      </c>
      <c r="F823" s="4">
        <v>101166.30899999999</v>
      </c>
      <c r="G823" s="4">
        <v>101166.30899999999</v>
      </c>
      <c r="H823" s="5">
        <f>18 / 86400</f>
        <v>2.0833333333333335E-4</v>
      </c>
      <c r="I823" t="s">
        <v>55</v>
      </c>
      <c r="J823" t="s">
        <v>55</v>
      </c>
      <c r="K823" s="5">
        <f>33 / 86400</f>
        <v>3.8194444444444446E-4</v>
      </c>
      <c r="L823" s="5">
        <f>3347 / 86400</f>
        <v>3.8738425925925926E-2</v>
      </c>
    </row>
    <row r="824" spans="1:12" x14ac:dyDescent="0.25">
      <c r="A824" s="3">
        <v>45692.340937500005</v>
      </c>
      <c r="B824" t="s">
        <v>202</v>
      </c>
      <c r="C824" s="3">
        <v>45692.341296296298</v>
      </c>
      <c r="D824" t="s">
        <v>202</v>
      </c>
      <c r="E824" s="4">
        <v>8.9999999999999993E-3</v>
      </c>
      <c r="F824" s="4">
        <v>101166.30899999999</v>
      </c>
      <c r="G824" s="4">
        <v>101166.318</v>
      </c>
      <c r="H824" s="5">
        <f>17 / 86400</f>
        <v>1.9675925925925926E-4</v>
      </c>
      <c r="I824" t="s">
        <v>55</v>
      </c>
      <c r="J824" t="s">
        <v>125</v>
      </c>
      <c r="K824" s="5">
        <f>31 / 86400</f>
        <v>3.5879629629629629E-4</v>
      </c>
      <c r="L824" s="5">
        <f>9419 / 86400</f>
        <v>0.1090162037037037</v>
      </c>
    </row>
    <row r="825" spans="1:12" x14ac:dyDescent="0.25">
      <c r="A825" s="3">
        <v>45692.450312500005</v>
      </c>
      <c r="B825" t="s">
        <v>202</v>
      </c>
      <c r="C825" s="3">
        <v>45692.450543981482</v>
      </c>
      <c r="D825" t="s">
        <v>202</v>
      </c>
      <c r="E825" s="4">
        <v>0</v>
      </c>
      <c r="F825" s="4">
        <v>101166.318</v>
      </c>
      <c r="G825" s="4">
        <v>101166.318</v>
      </c>
      <c r="H825" s="5">
        <f>0 / 86400</f>
        <v>0</v>
      </c>
      <c r="I825" t="s">
        <v>55</v>
      </c>
      <c r="J825" t="s">
        <v>55</v>
      </c>
      <c r="K825" s="5">
        <f>20 / 86400</f>
        <v>2.3148148148148149E-4</v>
      </c>
      <c r="L825" s="5">
        <f>2032 / 86400</f>
        <v>2.3518518518518518E-2</v>
      </c>
    </row>
    <row r="826" spans="1:12" x14ac:dyDescent="0.25">
      <c r="A826" s="3">
        <v>45692.474062499998</v>
      </c>
      <c r="B826" t="s">
        <v>202</v>
      </c>
      <c r="C826" s="3">
        <v>45692.474421296298</v>
      </c>
      <c r="D826" t="s">
        <v>202</v>
      </c>
      <c r="E826" s="4">
        <v>1.4E-2</v>
      </c>
      <c r="F826" s="4">
        <v>101166.318</v>
      </c>
      <c r="G826" s="4">
        <v>101166.33199999999</v>
      </c>
      <c r="H826" s="5">
        <f>17 / 86400</f>
        <v>1.9675925925925926E-4</v>
      </c>
      <c r="I826" t="s">
        <v>55</v>
      </c>
      <c r="J826" t="s">
        <v>161</v>
      </c>
      <c r="K826" s="5">
        <f>31 / 86400</f>
        <v>3.5879629629629629E-4</v>
      </c>
      <c r="L826" s="5">
        <f>13345 / 86400</f>
        <v>0.15445601851851851</v>
      </c>
    </row>
    <row r="827" spans="1:12" x14ac:dyDescent="0.25">
      <c r="A827" s="3">
        <v>45692.628877314812</v>
      </c>
      <c r="B827" t="s">
        <v>202</v>
      </c>
      <c r="C827" s="3">
        <v>45692.630381944444</v>
      </c>
      <c r="D827" t="s">
        <v>202</v>
      </c>
      <c r="E827" s="4">
        <v>0</v>
      </c>
      <c r="F827" s="4">
        <v>101166.33199999999</v>
      </c>
      <c r="G827" s="4">
        <v>101166.33199999999</v>
      </c>
      <c r="H827" s="5">
        <f>117 / 86400</f>
        <v>1.3541666666666667E-3</v>
      </c>
      <c r="I827" t="s">
        <v>55</v>
      </c>
      <c r="J827" t="s">
        <v>55</v>
      </c>
      <c r="K827" s="5">
        <f>130 / 86400</f>
        <v>1.5046296296296296E-3</v>
      </c>
      <c r="L827" s="5">
        <f>15772 / 86400</f>
        <v>0.18254629629629629</v>
      </c>
    </row>
    <row r="828" spans="1:12" x14ac:dyDescent="0.25">
      <c r="A828" s="3">
        <v>45692.812928240739</v>
      </c>
      <c r="B828" t="s">
        <v>202</v>
      </c>
      <c r="C828" s="3">
        <v>45692.819976851853</v>
      </c>
      <c r="D828" t="s">
        <v>146</v>
      </c>
      <c r="E828" s="4">
        <v>1.429</v>
      </c>
      <c r="F828" s="4">
        <v>101166.33199999999</v>
      </c>
      <c r="G828" s="4">
        <v>101167.761</v>
      </c>
      <c r="H828" s="5">
        <f>357 / 86400</f>
        <v>4.1319444444444442E-3</v>
      </c>
      <c r="I828" t="s">
        <v>100</v>
      </c>
      <c r="J828" t="s">
        <v>135</v>
      </c>
      <c r="K828" s="5">
        <f>609 / 86400</f>
        <v>7.0486111111111114E-3</v>
      </c>
      <c r="L828" s="5">
        <f>1831 / 86400</f>
        <v>2.119212962962963E-2</v>
      </c>
    </row>
    <row r="829" spans="1:12" x14ac:dyDescent="0.25">
      <c r="A829" s="3">
        <v>45692.841168981482</v>
      </c>
      <c r="B829" t="s">
        <v>146</v>
      </c>
      <c r="C829" s="3">
        <v>45692.844791666663</v>
      </c>
      <c r="D829" t="s">
        <v>91</v>
      </c>
      <c r="E829" s="4">
        <v>0.82</v>
      </c>
      <c r="F829" s="4">
        <v>101167.761</v>
      </c>
      <c r="G829" s="4">
        <v>101168.58100000001</v>
      </c>
      <c r="H829" s="5">
        <f>97 / 86400</f>
        <v>1.1226851851851851E-3</v>
      </c>
      <c r="I829" t="s">
        <v>134</v>
      </c>
      <c r="J829" t="s">
        <v>54</v>
      </c>
      <c r="K829" s="5">
        <f>313 / 86400</f>
        <v>3.6226851851851854E-3</v>
      </c>
      <c r="L829" s="5">
        <f>13409 / 86400</f>
        <v>0.15519675925925927</v>
      </c>
    </row>
    <row r="830" spans="1:12" x14ac:dyDescent="0.25">
      <c r="A830" s="12"/>
      <c r="B830" s="12"/>
      <c r="C830" s="12"/>
      <c r="D830" s="12"/>
      <c r="E830" s="12"/>
      <c r="F830" s="12"/>
      <c r="G830" s="12"/>
      <c r="H830" s="12"/>
      <c r="I830" s="12"/>
      <c r="J830" s="12"/>
    </row>
    <row r="831" spans="1:12" x14ac:dyDescent="0.25">
      <c r="A831" s="12"/>
      <c r="B831" s="12"/>
      <c r="C831" s="12"/>
      <c r="D831" s="12"/>
      <c r="E831" s="12"/>
      <c r="F831" s="12"/>
      <c r="G831" s="12"/>
      <c r="H831" s="12"/>
      <c r="I831" s="12"/>
      <c r="J831" s="12"/>
    </row>
    <row r="832" spans="1:12" s="10" customFormat="1" ht="20.100000000000001" customHeight="1" x14ac:dyDescent="0.35">
      <c r="A832" s="15" t="s">
        <v>330</v>
      </c>
      <c r="B832" s="15"/>
      <c r="C832" s="15"/>
      <c r="D832" s="15"/>
      <c r="E832" s="15"/>
      <c r="F832" s="15"/>
      <c r="G832" s="15"/>
      <c r="H832" s="15"/>
      <c r="I832" s="15"/>
      <c r="J832" s="15"/>
    </row>
    <row r="833" spans="1:12" x14ac:dyDescent="0.25">
      <c r="A833" s="12"/>
      <c r="B833" s="12"/>
      <c r="C833" s="12"/>
      <c r="D833" s="12"/>
      <c r="E833" s="12"/>
      <c r="F833" s="12"/>
      <c r="G833" s="12"/>
      <c r="H833" s="12"/>
      <c r="I833" s="12"/>
      <c r="J833" s="12"/>
    </row>
    <row r="834" spans="1:12" ht="30" x14ac:dyDescent="0.25">
      <c r="A834" s="2" t="s">
        <v>6</v>
      </c>
      <c r="B834" s="2" t="s">
        <v>7</v>
      </c>
      <c r="C834" s="2" t="s">
        <v>8</v>
      </c>
      <c r="D834" s="2" t="s">
        <v>9</v>
      </c>
      <c r="E834" s="2" t="s">
        <v>10</v>
      </c>
      <c r="F834" s="2" t="s">
        <v>11</v>
      </c>
      <c r="G834" s="2" t="s">
        <v>12</v>
      </c>
      <c r="H834" s="2" t="s">
        <v>13</v>
      </c>
      <c r="I834" s="2" t="s">
        <v>14</v>
      </c>
      <c r="J834" s="2" t="s">
        <v>15</v>
      </c>
      <c r="K834" s="2" t="s">
        <v>16</v>
      </c>
      <c r="L834" s="2" t="s">
        <v>17</v>
      </c>
    </row>
    <row r="835" spans="1:12" x14ac:dyDescent="0.25">
      <c r="A835" s="3">
        <v>45692.237060185187</v>
      </c>
      <c r="B835" t="s">
        <v>23</v>
      </c>
      <c r="C835" s="3">
        <v>45692.239907407406</v>
      </c>
      <c r="D835" t="s">
        <v>23</v>
      </c>
      <c r="E835" s="4">
        <v>0</v>
      </c>
      <c r="F835" s="4">
        <v>52730.525999999998</v>
      </c>
      <c r="G835" s="4">
        <v>52730.525999999998</v>
      </c>
      <c r="H835" s="5">
        <f>237 / 86400</f>
        <v>2.7430555555555554E-3</v>
      </c>
      <c r="I835" t="s">
        <v>55</v>
      </c>
      <c r="J835" t="s">
        <v>55</v>
      </c>
      <c r="K835" s="5">
        <f>246 / 86400</f>
        <v>2.8472222222222223E-3</v>
      </c>
      <c r="L835" s="5">
        <f>20584 / 86400</f>
        <v>0.23824074074074075</v>
      </c>
    </row>
    <row r="836" spans="1:12" x14ac:dyDescent="0.25">
      <c r="A836" s="3">
        <v>45692.241087962961</v>
      </c>
      <c r="B836" t="s">
        <v>23</v>
      </c>
      <c r="C836" s="3">
        <v>45692.241307870368</v>
      </c>
      <c r="D836" t="s">
        <v>23</v>
      </c>
      <c r="E836" s="4">
        <v>0</v>
      </c>
      <c r="F836" s="4">
        <v>52730.525999999998</v>
      </c>
      <c r="G836" s="4">
        <v>52730.525999999998</v>
      </c>
      <c r="H836" s="5">
        <f>14 / 86400</f>
        <v>1.6203703703703703E-4</v>
      </c>
      <c r="I836" t="s">
        <v>55</v>
      </c>
      <c r="J836" t="s">
        <v>55</v>
      </c>
      <c r="K836" s="5">
        <f>19 / 86400</f>
        <v>2.199074074074074E-4</v>
      </c>
      <c r="L836" s="5">
        <f>194 / 86400</f>
        <v>2.2453703703703702E-3</v>
      </c>
    </row>
    <row r="837" spans="1:12" x14ac:dyDescent="0.25">
      <c r="A837" s="3">
        <v>45692.24355324074</v>
      </c>
      <c r="B837" t="s">
        <v>23</v>
      </c>
      <c r="C837" s="3">
        <v>45692.243657407409</v>
      </c>
      <c r="D837" t="s">
        <v>23</v>
      </c>
      <c r="E837" s="4">
        <v>0</v>
      </c>
      <c r="F837" s="4">
        <v>52730.525999999998</v>
      </c>
      <c r="G837" s="4">
        <v>52730.525999999998</v>
      </c>
      <c r="H837" s="5">
        <f>0 / 86400</f>
        <v>0</v>
      </c>
      <c r="I837" t="s">
        <v>55</v>
      </c>
      <c r="J837" t="s">
        <v>55</v>
      </c>
      <c r="K837" s="5">
        <f>9 / 86400</f>
        <v>1.0416666666666667E-4</v>
      </c>
      <c r="L837" s="5">
        <f>52 / 86400</f>
        <v>6.018518518518519E-4</v>
      </c>
    </row>
    <row r="838" spans="1:12" x14ac:dyDescent="0.25">
      <c r="A838" s="3">
        <v>45692.244259259256</v>
      </c>
      <c r="B838" t="s">
        <v>23</v>
      </c>
      <c r="C838" s="3">
        <v>45692.342581018514</v>
      </c>
      <c r="D838" t="s">
        <v>73</v>
      </c>
      <c r="E838" s="4">
        <v>32.924999999999997</v>
      </c>
      <c r="F838" s="4">
        <v>52730.525999999998</v>
      </c>
      <c r="G838" s="4">
        <v>52763.451000000001</v>
      </c>
      <c r="H838" s="5">
        <f>3195 / 86400</f>
        <v>3.6979166666666667E-2</v>
      </c>
      <c r="I838" t="s">
        <v>30</v>
      </c>
      <c r="J838" t="s">
        <v>28</v>
      </c>
      <c r="K838" s="5">
        <f>8495 / 86400</f>
        <v>9.8321759259259262E-2</v>
      </c>
      <c r="L838" s="5">
        <f>6 / 86400</f>
        <v>6.9444444444444444E-5</v>
      </c>
    </row>
    <row r="839" spans="1:12" x14ac:dyDescent="0.25">
      <c r="A839" s="3">
        <v>45692.342650462961</v>
      </c>
      <c r="B839" t="s">
        <v>73</v>
      </c>
      <c r="C839" s="3">
        <v>45692.50581018519</v>
      </c>
      <c r="D839" t="s">
        <v>71</v>
      </c>
      <c r="E839" s="4">
        <v>40.280999999999999</v>
      </c>
      <c r="F839" s="4">
        <v>52763.451000000001</v>
      </c>
      <c r="G839" s="4">
        <v>52803.732000000004</v>
      </c>
      <c r="H839" s="5">
        <f>8081 / 86400</f>
        <v>9.3530092592592595E-2</v>
      </c>
      <c r="I839" t="s">
        <v>177</v>
      </c>
      <c r="J839" t="s">
        <v>158</v>
      </c>
      <c r="K839" s="5">
        <f>14097 / 86400</f>
        <v>0.16315972222222222</v>
      </c>
      <c r="L839" s="5">
        <f>62 / 86400</f>
        <v>7.1759259259259259E-4</v>
      </c>
    </row>
    <row r="840" spans="1:12" x14ac:dyDescent="0.25">
      <c r="A840" s="3">
        <v>45692.506527777776</v>
      </c>
      <c r="B840" t="s">
        <v>71</v>
      </c>
      <c r="C840" s="3">
        <v>45692.523194444446</v>
      </c>
      <c r="D840" t="s">
        <v>143</v>
      </c>
      <c r="E840" s="4">
        <v>9.6590000000000007</v>
      </c>
      <c r="F840" s="4">
        <v>52803.732000000004</v>
      </c>
      <c r="G840" s="4">
        <v>52813.391000000003</v>
      </c>
      <c r="H840" s="5">
        <f>320 / 86400</f>
        <v>3.7037037037037038E-3</v>
      </c>
      <c r="I840" t="s">
        <v>216</v>
      </c>
      <c r="J840" t="s">
        <v>150</v>
      </c>
      <c r="K840" s="5">
        <f>1440 / 86400</f>
        <v>1.6666666666666666E-2</v>
      </c>
      <c r="L840" s="5">
        <f>55 / 86400</f>
        <v>6.3657407407407413E-4</v>
      </c>
    </row>
    <row r="841" spans="1:12" x14ac:dyDescent="0.25">
      <c r="A841" s="3">
        <v>45692.523831018523</v>
      </c>
      <c r="B841" t="s">
        <v>205</v>
      </c>
      <c r="C841" s="3">
        <v>45692.534085648149</v>
      </c>
      <c r="D841" t="s">
        <v>154</v>
      </c>
      <c r="E841" s="4">
        <v>5.3810000000000002</v>
      </c>
      <c r="F841" s="4">
        <v>52813.391000000003</v>
      </c>
      <c r="G841" s="4">
        <v>52818.771999999997</v>
      </c>
      <c r="H841" s="5">
        <f>280 / 86400</f>
        <v>3.2407407407407406E-3</v>
      </c>
      <c r="I841" t="s">
        <v>109</v>
      </c>
      <c r="J841" t="s">
        <v>122</v>
      </c>
      <c r="K841" s="5">
        <f>886 / 86400</f>
        <v>1.0254629629629629E-2</v>
      </c>
      <c r="L841" s="5">
        <f>530 / 86400</f>
        <v>6.1342592592592594E-3</v>
      </c>
    </row>
    <row r="842" spans="1:12" x14ac:dyDescent="0.25">
      <c r="A842" s="3">
        <v>45692.540219907409</v>
      </c>
      <c r="B842" t="s">
        <v>154</v>
      </c>
      <c r="C842" s="3">
        <v>45692.549618055556</v>
      </c>
      <c r="D842" t="s">
        <v>26</v>
      </c>
      <c r="E842" s="4">
        <v>1.9079999999999999</v>
      </c>
      <c r="F842" s="4">
        <v>52818.771999999997</v>
      </c>
      <c r="G842" s="4">
        <v>52820.68</v>
      </c>
      <c r="H842" s="5">
        <f>378 / 86400</f>
        <v>4.3750000000000004E-3</v>
      </c>
      <c r="I842" t="s">
        <v>130</v>
      </c>
      <c r="J842" t="s">
        <v>135</v>
      </c>
      <c r="K842" s="5">
        <f>812 / 86400</f>
        <v>9.3981481481481485E-3</v>
      </c>
      <c r="L842" s="5">
        <f>4791 / 86400</f>
        <v>5.545138888888889E-2</v>
      </c>
    </row>
    <row r="843" spans="1:12" x14ac:dyDescent="0.25">
      <c r="A843" s="3">
        <v>45692.605069444442</v>
      </c>
      <c r="B843" t="s">
        <v>26</v>
      </c>
      <c r="C843" s="3">
        <v>45692.677048611113</v>
      </c>
      <c r="D843" t="s">
        <v>73</v>
      </c>
      <c r="E843" s="4">
        <v>27.079000000000001</v>
      </c>
      <c r="F843" s="4">
        <v>52820.68</v>
      </c>
      <c r="G843" s="4">
        <v>52847.758999999998</v>
      </c>
      <c r="H843" s="5">
        <f>1978 / 86400</f>
        <v>2.2893518518518518E-2</v>
      </c>
      <c r="I843" t="s">
        <v>33</v>
      </c>
      <c r="J843" t="s">
        <v>36</v>
      </c>
      <c r="K843" s="5">
        <f>6219 / 86400</f>
        <v>7.1979166666666664E-2</v>
      </c>
      <c r="L843" s="5">
        <f>29 / 86400</f>
        <v>3.3564814814814812E-4</v>
      </c>
    </row>
    <row r="844" spans="1:12" x14ac:dyDescent="0.25">
      <c r="A844" s="3">
        <v>45692.677384259259</v>
      </c>
      <c r="B844" t="s">
        <v>73</v>
      </c>
      <c r="C844" s="3">
        <v>45692.702164351853</v>
      </c>
      <c r="D844" t="s">
        <v>73</v>
      </c>
      <c r="E844" s="4">
        <v>5.9909999999999997</v>
      </c>
      <c r="F844" s="4">
        <v>52847.758999999998</v>
      </c>
      <c r="G844" s="4">
        <v>52853.75</v>
      </c>
      <c r="H844" s="5">
        <f>1098 / 86400</f>
        <v>1.2708333333333334E-2</v>
      </c>
      <c r="I844" t="s">
        <v>216</v>
      </c>
      <c r="J844" t="s">
        <v>158</v>
      </c>
      <c r="K844" s="5">
        <f>2141 / 86400</f>
        <v>2.4780092592592593E-2</v>
      </c>
      <c r="L844" s="5">
        <f>38 / 86400</f>
        <v>4.3981481481481481E-4</v>
      </c>
    </row>
    <row r="845" spans="1:12" x14ac:dyDescent="0.25">
      <c r="A845" s="3">
        <v>45692.702604166669</v>
      </c>
      <c r="B845" t="s">
        <v>73</v>
      </c>
      <c r="C845" s="3">
        <v>45692.724664351852</v>
      </c>
      <c r="D845" t="s">
        <v>269</v>
      </c>
      <c r="E845" s="4">
        <v>5.6710000000000003</v>
      </c>
      <c r="F845" s="4">
        <v>52853.75</v>
      </c>
      <c r="G845" s="4">
        <v>52859.421000000002</v>
      </c>
      <c r="H845" s="5">
        <f>1177 / 86400</f>
        <v>1.3622685185185186E-2</v>
      </c>
      <c r="I845" t="s">
        <v>216</v>
      </c>
      <c r="J845" t="s">
        <v>174</v>
      </c>
      <c r="K845" s="5">
        <f>1906 / 86400</f>
        <v>2.2060185185185186E-2</v>
      </c>
      <c r="L845" s="5">
        <f>53 / 86400</f>
        <v>6.134259259259259E-4</v>
      </c>
    </row>
    <row r="846" spans="1:12" x14ac:dyDescent="0.25">
      <c r="A846" s="3">
        <v>45692.725277777776</v>
      </c>
      <c r="B846" t="s">
        <v>269</v>
      </c>
      <c r="C846" s="3">
        <v>45692.893009259264</v>
      </c>
      <c r="D846" t="s">
        <v>111</v>
      </c>
      <c r="E846" s="4">
        <v>68.454999999999998</v>
      </c>
      <c r="F846" s="4">
        <v>52859.421000000002</v>
      </c>
      <c r="G846" s="4">
        <v>52927.875999999997</v>
      </c>
      <c r="H846" s="5">
        <f>4799 / 86400</f>
        <v>5.5543981481481479E-2</v>
      </c>
      <c r="I846" t="s">
        <v>86</v>
      </c>
      <c r="J846" t="s">
        <v>25</v>
      </c>
      <c r="K846" s="5">
        <f>14492 / 86400</f>
        <v>0.16773148148148148</v>
      </c>
      <c r="L846" s="5">
        <f>682 / 86400</f>
        <v>7.8935185185185185E-3</v>
      </c>
    </row>
    <row r="847" spans="1:12" x14ac:dyDescent="0.25">
      <c r="A847" s="3">
        <v>45692.900902777779</v>
      </c>
      <c r="B847" t="s">
        <v>111</v>
      </c>
      <c r="C847" s="3">
        <v>45692.903900462959</v>
      </c>
      <c r="D847" t="s">
        <v>23</v>
      </c>
      <c r="E847" s="4">
        <v>1.3660000000000001</v>
      </c>
      <c r="F847" s="4">
        <v>52927.875999999997</v>
      </c>
      <c r="G847" s="4">
        <v>52929.241999999998</v>
      </c>
      <c r="H847" s="5">
        <f>58 / 86400</f>
        <v>6.7129629629629625E-4</v>
      </c>
      <c r="I847" t="s">
        <v>182</v>
      </c>
      <c r="J847" t="s">
        <v>70</v>
      </c>
      <c r="K847" s="5">
        <f>259 / 86400</f>
        <v>2.9976851851851853E-3</v>
      </c>
      <c r="L847" s="5">
        <f>8302 / 86400</f>
        <v>9.6087962962962958E-2</v>
      </c>
    </row>
    <row r="848" spans="1:12" x14ac:dyDescent="0.25">
      <c r="A848" s="12"/>
      <c r="B848" s="12"/>
      <c r="C848" s="12"/>
      <c r="D848" s="12"/>
      <c r="E848" s="12"/>
      <c r="F848" s="12"/>
      <c r="G848" s="12"/>
      <c r="H848" s="12"/>
      <c r="I848" s="12"/>
      <c r="J848" s="12"/>
    </row>
    <row r="849" spans="1:12" x14ac:dyDescent="0.25">
      <c r="A849" s="12"/>
      <c r="B849" s="12"/>
      <c r="C849" s="12"/>
      <c r="D849" s="12"/>
      <c r="E849" s="12"/>
      <c r="F849" s="12"/>
      <c r="G849" s="12"/>
      <c r="H849" s="12"/>
      <c r="I849" s="12"/>
      <c r="J849" s="12"/>
    </row>
    <row r="850" spans="1:12" s="10" customFormat="1" ht="20.100000000000001" customHeight="1" x14ac:dyDescent="0.35">
      <c r="A850" s="15" t="s">
        <v>331</v>
      </c>
      <c r="B850" s="15"/>
      <c r="C850" s="15"/>
      <c r="D850" s="15"/>
      <c r="E850" s="15"/>
      <c r="F850" s="15"/>
      <c r="G850" s="15"/>
      <c r="H850" s="15"/>
      <c r="I850" s="15"/>
      <c r="J850" s="15"/>
    </row>
    <row r="851" spans="1:12" x14ac:dyDescent="0.25">
      <c r="A851" s="12"/>
      <c r="B851" s="12"/>
      <c r="C851" s="12"/>
      <c r="D851" s="12"/>
      <c r="E851" s="12"/>
      <c r="F851" s="12"/>
      <c r="G851" s="12"/>
      <c r="H851" s="12"/>
      <c r="I851" s="12"/>
      <c r="J851" s="12"/>
    </row>
    <row r="852" spans="1:12" ht="30" x14ac:dyDescent="0.25">
      <c r="A852" s="2" t="s">
        <v>6</v>
      </c>
      <c r="B852" s="2" t="s">
        <v>7</v>
      </c>
      <c r="C852" s="2" t="s">
        <v>8</v>
      </c>
      <c r="D852" s="2" t="s">
        <v>9</v>
      </c>
      <c r="E852" s="2" t="s">
        <v>10</v>
      </c>
      <c r="F852" s="2" t="s">
        <v>11</v>
      </c>
      <c r="G852" s="2" t="s">
        <v>12</v>
      </c>
      <c r="H852" s="2" t="s">
        <v>13</v>
      </c>
      <c r="I852" s="2" t="s">
        <v>14</v>
      </c>
      <c r="J852" s="2" t="s">
        <v>15</v>
      </c>
      <c r="K852" s="2" t="s">
        <v>16</v>
      </c>
      <c r="L852" s="2" t="s">
        <v>17</v>
      </c>
    </row>
    <row r="853" spans="1:12" x14ac:dyDescent="0.25">
      <c r="A853" s="3">
        <v>45692.281898148147</v>
      </c>
      <c r="B853" t="s">
        <v>101</v>
      </c>
      <c r="C853" s="3">
        <v>45692.291539351849</v>
      </c>
      <c r="D853" t="s">
        <v>101</v>
      </c>
      <c r="E853" s="4">
        <v>2.3E-2</v>
      </c>
      <c r="F853" s="4">
        <v>44910.714999999997</v>
      </c>
      <c r="G853" s="4">
        <v>44910.737999999998</v>
      </c>
      <c r="H853" s="5">
        <f>800 / 86400</f>
        <v>9.2592592592592587E-3</v>
      </c>
      <c r="I853" t="s">
        <v>135</v>
      </c>
      <c r="J853" t="s">
        <v>55</v>
      </c>
      <c r="K853" s="5">
        <f>833 / 86400</f>
        <v>9.6412037037037039E-3</v>
      </c>
      <c r="L853" s="5">
        <f>24632 / 86400</f>
        <v>0.28509259259259262</v>
      </c>
    </row>
    <row r="854" spans="1:12" x14ac:dyDescent="0.25">
      <c r="A854" s="3">
        <v>45692.294733796298</v>
      </c>
      <c r="B854" t="s">
        <v>101</v>
      </c>
      <c r="C854" s="3">
        <v>45692.562303240746</v>
      </c>
      <c r="D854" t="s">
        <v>46</v>
      </c>
      <c r="E854" s="4">
        <v>100.831</v>
      </c>
      <c r="F854" s="4">
        <v>44910.737999999998</v>
      </c>
      <c r="G854" s="4">
        <v>45011.569000000003</v>
      </c>
      <c r="H854" s="5">
        <f>9164 / 86400</f>
        <v>0.10606481481481482</v>
      </c>
      <c r="I854" t="s">
        <v>35</v>
      </c>
      <c r="J854" t="s">
        <v>36</v>
      </c>
      <c r="K854" s="5">
        <f>23118 / 86400</f>
        <v>0.26756944444444447</v>
      </c>
      <c r="L854" s="5">
        <f>2127 / 86400</f>
        <v>2.4618055555555556E-2</v>
      </c>
    </row>
    <row r="855" spans="1:12" x14ac:dyDescent="0.25">
      <c r="A855" s="3">
        <v>45692.586921296301</v>
      </c>
      <c r="B855" t="s">
        <v>46</v>
      </c>
      <c r="C855" s="3">
        <v>45692.590543981481</v>
      </c>
      <c r="D855" t="s">
        <v>148</v>
      </c>
      <c r="E855" s="4">
        <v>0.81399999999999995</v>
      </c>
      <c r="F855" s="4">
        <v>45011.569000000003</v>
      </c>
      <c r="G855" s="4">
        <v>45012.383000000002</v>
      </c>
      <c r="H855" s="5">
        <f>100 / 86400</f>
        <v>1.1574074074074073E-3</v>
      </c>
      <c r="I855" t="s">
        <v>152</v>
      </c>
      <c r="J855" t="s">
        <v>54</v>
      </c>
      <c r="K855" s="5">
        <f>313 / 86400</f>
        <v>3.6226851851851854E-3</v>
      </c>
      <c r="L855" s="5">
        <f>890 / 86400</f>
        <v>1.0300925925925925E-2</v>
      </c>
    </row>
    <row r="856" spans="1:12" x14ac:dyDescent="0.25">
      <c r="A856" s="3">
        <v>45692.600844907407</v>
      </c>
      <c r="B856" t="s">
        <v>148</v>
      </c>
      <c r="C856" s="3">
        <v>45692.770543981482</v>
      </c>
      <c r="D856" t="s">
        <v>128</v>
      </c>
      <c r="E856" s="4">
        <v>79.099999999999994</v>
      </c>
      <c r="F856" s="4">
        <v>45012.383000000002</v>
      </c>
      <c r="G856" s="4">
        <v>45091.483</v>
      </c>
      <c r="H856" s="5">
        <f>4479 / 86400</f>
        <v>5.1840277777777777E-2</v>
      </c>
      <c r="I856" t="s">
        <v>80</v>
      </c>
      <c r="J856" t="s">
        <v>70</v>
      </c>
      <c r="K856" s="5">
        <f>14662 / 86400</f>
        <v>0.16969907407407409</v>
      </c>
      <c r="L856" s="5">
        <f>688 / 86400</f>
        <v>7.9629629629629634E-3</v>
      </c>
    </row>
    <row r="857" spans="1:12" x14ac:dyDescent="0.25">
      <c r="A857" s="3">
        <v>45692.778506944444</v>
      </c>
      <c r="B857" t="s">
        <v>128</v>
      </c>
      <c r="C857" s="3">
        <v>45692.778831018513</v>
      </c>
      <c r="D857" t="s">
        <v>121</v>
      </c>
      <c r="E857" s="4">
        <v>3.4000000000000002E-2</v>
      </c>
      <c r="F857" s="4">
        <v>45091.483</v>
      </c>
      <c r="G857" s="4">
        <v>45091.517</v>
      </c>
      <c r="H857" s="5">
        <f>0 / 86400</f>
        <v>0</v>
      </c>
      <c r="I857" t="s">
        <v>43</v>
      </c>
      <c r="J857" t="s">
        <v>160</v>
      </c>
      <c r="K857" s="5">
        <f>28 / 86400</f>
        <v>3.2407407407407406E-4</v>
      </c>
      <c r="L857" s="5">
        <f>684 / 86400</f>
        <v>7.9166666666666673E-3</v>
      </c>
    </row>
    <row r="858" spans="1:12" x14ac:dyDescent="0.25">
      <c r="A858" s="3">
        <v>45692.786747685182</v>
      </c>
      <c r="B858" t="s">
        <v>121</v>
      </c>
      <c r="C858" s="3">
        <v>45692.788101851853</v>
      </c>
      <c r="D858" t="s">
        <v>197</v>
      </c>
      <c r="E858" s="4">
        <v>0.48</v>
      </c>
      <c r="F858" s="4">
        <v>45091.517</v>
      </c>
      <c r="G858" s="4">
        <v>45091.997000000003</v>
      </c>
      <c r="H858" s="5">
        <f>17 / 86400</f>
        <v>1.9675925925925926E-4</v>
      </c>
      <c r="I858" t="s">
        <v>136</v>
      </c>
      <c r="J858" t="s">
        <v>20</v>
      </c>
      <c r="K858" s="5">
        <f>117 / 86400</f>
        <v>1.3541666666666667E-3</v>
      </c>
      <c r="L858" s="5">
        <f>331 / 86400</f>
        <v>3.8310185185185183E-3</v>
      </c>
    </row>
    <row r="859" spans="1:12" x14ac:dyDescent="0.25">
      <c r="A859" s="3">
        <v>45692.791932870372</v>
      </c>
      <c r="B859" t="s">
        <v>197</v>
      </c>
      <c r="C859" s="3">
        <v>45692.796875</v>
      </c>
      <c r="D859" t="s">
        <v>102</v>
      </c>
      <c r="E859" s="4">
        <v>1.0880000000000001</v>
      </c>
      <c r="F859" s="4">
        <v>45091.997000000003</v>
      </c>
      <c r="G859" s="4">
        <v>45093.084999999999</v>
      </c>
      <c r="H859" s="5">
        <f>139 / 86400</f>
        <v>1.6087962962962963E-3</v>
      </c>
      <c r="I859" t="s">
        <v>122</v>
      </c>
      <c r="J859" t="s">
        <v>54</v>
      </c>
      <c r="K859" s="5">
        <f>427 / 86400</f>
        <v>4.9421296296296297E-3</v>
      </c>
      <c r="L859" s="5">
        <f>17549 / 86400</f>
        <v>0.20311342592592593</v>
      </c>
    </row>
    <row r="860" spans="1:12" x14ac:dyDescent="0.25">
      <c r="A860" s="12"/>
      <c r="B860" s="12"/>
      <c r="C860" s="12"/>
      <c r="D860" s="12"/>
      <c r="E860" s="12"/>
      <c r="F860" s="12"/>
      <c r="G860" s="12"/>
      <c r="H860" s="12"/>
      <c r="I860" s="12"/>
      <c r="J860" s="12"/>
    </row>
    <row r="861" spans="1:12" x14ac:dyDescent="0.25">
      <c r="A861" s="12"/>
      <c r="B861" s="12"/>
      <c r="C861" s="12"/>
      <c r="D861" s="12"/>
      <c r="E861" s="12"/>
      <c r="F861" s="12"/>
      <c r="G861" s="12"/>
      <c r="H861" s="12"/>
      <c r="I861" s="12"/>
      <c r="J861" s="12"/>
    </row>
    <row r="862" spans="1:12" s="10" customFormat="1" ht="20.100000000000001" customHeight="1" x14ac:dyDescent="0.35">
      <c r="A862" s="15" t="s">
        <v>332</v>
      </c>
      <c r="B862" s="15"/>
      <c r="C862" s="15"/>
      <c r="D862" s="15"/>
      <c r="E862" s="15"/>
      <c r="F862" s="15"/>
      <c r="G862" s="15"/>
      <c r="H862" s="15"/>
      <c r="I862" s="15"/>
      <c r="J862" s="15"/>
    </row>
    <row r="863" spans="1:12" x14ac:dyDescent="0.25">
      <c r="A863" s="12"/>
      <c r="B863" s="12"/>
      <c r="C863" s="12"/>
      <c r="D863" s="12"/>
      <c r="E863" s="12"/>
      <c r="F863" s="12"/>
      <c r="G863" s="12"/>
      <c r="H863" s="12"/>
      <c r="I863" s="12"/>
      <c r="J863" s="12"/>
    </row>
    <row r="864" spans="1:12" ht="30" x14ac:dyDescent="0.25">
      <c r="A864" s="2" t="s">
        <v>6</v>
      </c>
      <c r="B864" s="2" t="s">
        <v>7</v>
      </c>
      <c r="C864" s="2" t="s">
        <v>8</v>
      </c>
      <c r="D864" s="2" t="s">
        <v>9</v>
      </c>
      <c r="E864" s="2" t="s">
        <v>10</v>
      </c>
      <c r="F864" s="2" t="s">
        <v>11</v>
      </c>
      <c r="G864" s="2" t="s">
        <v>12</v>
      </c>
      <c r="H864" s="2" t="s">
        <v>13</v>
      </c>
      <c r="I864" s="2" t="s">
        <v>14</v>
      </c>
      <c r="J864" s="2" t="s">
        <v>15</v>
      </c>
      <c r="K864" s="2" t="s">
        <v>16</v>
      </c>
      <c r="L864" s="2" t="s">
        <v>17</v>
      </c>
    </row>
    <row r="865" spans="1:12" x14ac:dyDescent="0.25">
      <c r="A865" s="3">
        <v>45692.404374999998</v>
      </c>
      <c r="B865" t="s">
        <v>103</v>
      </c>
      <c r="C865" s="3">
        <v>45692.650821759264</v>
      </c>
      <c r="D865" t="s">
        <v>191</v>
      </c>
      <c r="E865" s="4">
        <v>99.546999999999997</v>
      </c>
      <c r="F865" s="4">
        <v>76939.976999999999</v>
      </c>
      <c r="G865" s="4">
        <v>77039.524000000005</v>
      </c>
      <c r="H865" s="5">
        <f>7419 / 86400</f>
        <v>8.5868055555555559E-2</v>
      </c>
      <c r="I865" t="s">
        <v>109</v>
      </c>
      <c r="J865" t="s">
        <v>25</v>
      </c>
      <c r="K865" s="5">
        <f>21293 / 86400</f>
        <v>0.24644675925925927</v>
      </c>
      <c r="L865" s="5">
        <f>36513 / 86400</f>
        <v>0.42260416666666667</v>
      </c>
    </row>
    <row r="866" spans="1:12" x14ac:dyDescent="0.25">
      <c r="A866" s="3">
        <v>45692.669050925921</v>
      </c>
      <c r="B866" t="s">
        <v>191</v>
      </c>
      <c r="C866" s="3">
        <v>45692.777557870373</v>
      </c>
      <c r="D866" t="s">
        <v>270</v>
      </c>
      <c r="E866" s="4">
        <v>43.356000000000002</v>
      </c>
      <c r="F866" s="4">
        <v>77039.524000000005</v>
      </c>
      <c r="G866" s="4">
        <v>77082.880000000005</v>
      </c>
      <c r="H866" s="5">
        <f>3276 / 86400</f>
        <v>3.7916666666666668E-2</v>
      </c>
      <c r="I866" t="s">
        <v>65</v>
      </c>
      <c r="J866" t="s">
        <v>25</v>
      </c>
      <c r="K866" s="5">
        <f>9375 / 86400</f>
        <v>0.10850694444444445</v>
      </c>
      <c r="L866" s="5">
        <f>81 / 86400</f>
        <v>9.3749999999999997E-4</v>
      </c>
    </row>
    <row r="867" spans="1:12" x14ac:dyDescent="0.25">
      <c r="A867" s="3">
        <v>45692.778495370367</v>
      </c>
      <c r="B867" t="s">
        <v>270</v>
      </c>
      <c r="C867" s="3">
        <v>45692.779467592598</v>
      </c>
      <c r="D867" t="s">
        <v>271</v>
      </c>
      <c r="E867" s="4">
        <v>0.13200000000000001</v>
      </c>
      <c r="F867" s="4">
        <v>77082.880000000005</v>
      </c>
      <c r="G867" s="4">
        <v>77083.012000000002</v>
      </c>
      <c r="H867" s="5">
        <f>37 / 86400</f>
        <v>4.2824074074074075E-4</v>
      </c>
      <c r="I867" t="s">
        <v>114</v>
      </c>
      <c r="J867" t="s">
        <v>137</v>
      </c>
      <c r="K867" s="5">
        <f>84 / 86400</f>
        <v>9.7222222222222219E-4</v>
      </c>
      <c r="L867" s="5">
        <f>516 / 86400</f>
        <v>5.9722222222222225E-3</v>
      </c>
    </row>
    <row r="868" spans="1:12" x14ac:dyDescent="0.25">
      <c r="A868" s="3">
        <v>45692.785439814819</v>
      </c>
      <c r="B868" t="s">
        <v>271</v>
      </c>
      <c r="C868" s="3">
        <v>45692.903379629628</v>
      </c>
      <c r="D868" t="s">
        <v>128</v>
      </c>
      <c r="E868" s="4">
        <v>47.215000000000003</v>
      </c>
      <c r="F868" s="4">
        <v>77083.012000000002</v>
      </c>
      <c r="G868" s="4">
        <v>77130.226999999999</v>
      </c>
      <c r="H868" s="5">
        <f>2898 / 86400</f>
        <v>3.3541666666666664E-2</v>
      </c>
      <c r="I868" t="s">
        <v>244</v>
      </c>
      <c r="J868" t="s">
        <v>25</v>
      </c>
      <c r="K868" s="5">
        <f>10190 / 86400</f>
        <v>0.11793981481481482</v>
      </c>
      <c r="L868" s="5">
        <f>491 / 86400</f>
        <v>5.6828703703703702E-3</v>
      </c>
    </row>
    <row r="869" spans="1:12" x14ac:dyDescent="0.25">
      <c r="A869" s="3">
        <v>45692.909062499995</v>
      </c>
      <c r="B869" t="s">
        <v>128</v>
      </c>
      <c r="C869" s="3">
        <v>45692.909849537042</v>
      </c>
      <c r="D869" t="s">
        <v>121</v>
      </c>
      <c r="E869" s="4">
        <v>0.20599999999999999</v>
      </c>
      <c r="F869" s="4">
        <v>77130.226999999999</v>
      </c>
      <c r="G869" s="4">
        <v>77130.433000000005</v>
      </c>
      <c r="H869" s="5">
        <f>0 / 86400</f>
        <v>0</v>
      </c>
      <c r="I869" t="s">
        <v>122</v>
      </c>
      <c r="J869" t="s">
        <v>174</v>
      </c>
      <c r="K869" s="5">
        <f>68 / 86400</f>
        <v>7.8703703703703705E-4</v>
      </c>
      <c r="L869" s="5">
        <f>320 / 86400</f>
        <v>3.7037037037037038E-3</v>
      </c>
    </row>
    <row r="870" spans="1:12" x14ac:dyDescent="0.25">
      <c r="A870" s="3">
        <v>45692.913553240738</v>
      </c>
      <c r="B870" t="s">
        <v>121</v>
      </c>
      <c r="C870" s="3">
        <v>45692.913761574076</v>
      </c>
      <c r="D870" t="s">
        <v>121</v>
      </c>
      <c r="E870" s="4">
        <v>4.4999999999999998E-2</v>
      </c>
      <c r="F870" s="4">
        <v>77130.433000000005</v>
      </c>
      <c r="G870" s="4">
        <v>77130.478000000003</v>
      </c>
      <c r="H870" s="5">
        <f>0 / 86400</f>
        <v>0</v>
      </c>
      <c r="I870" t="s">
        <v>58</v>
      </c>
      <c r="J870" t="s">
        <v>54</v>
      </c>
      <c r="K870" s="5">
        <f>18 / 86400</f>
        <v>2.0833333333333335E-4</v>
      </c>
      <c r="L870" s="5">
        <f>713 / 86400</f>
        <v>8.2523148148148148E-3</v>
      </c>
    </row>
    <row r="871" spans="1:12" x14ac:dyDescent="0.25">
      <c r="A871" s="3">
        <v>45692.922013888892</v>
      </c>
      <c r="B871" t="s">
        <v>121</v>
      </c>
      <c r="C871" s="3">
        <v>45692.927430555559</v>
      </c>
      <c r="D871" t="s">
        <v>44</v>
      </c>
      <c r="E871" s="4">
        <v>1.5640000000000001</v>
      </c>
      <c r="F871" s="4">
        <v>77130.478000000003</v>
      </c>
      <c r="G871" s="4">
        <v>77132.042000000001</v>
      </c>
      <c r="H871" s="5">
        <f>120 / 86400</f>
        <v>1.3888888888888889E-3</v>
      </c>
      <c r="I871" t="s">
        <v>149</v>
      </c>
      <c r="J871" t="s">
        <v>90</v>
      </c>
      <c r="K871" s="5">
        <f>468 / 86400</f>
        <v>5.4166666666666669E-3</v>
      </c>
      <c r="L871" s="5">
        <f>6269 / 86400</f>
        <v>7.255787037037037E-2</v>
      </c>
    </row>
    <row r="872" spans="1:12" x14ac:dyDescent="0.25">
      <c r="A872" s="12"/>
      <c r="B872" s="12"/>
      <c r="C872" s="12"/>
      <c r="D872" s="12"/>
      <c r="E872" s="12"/>
      <c r="F872" s="12"/>
      <c r="G872" s="12"/>
      <c r="H872" s="12"/>
      <c r="I872" s="12"/>
      <c r="J872" s="12"/>
    </row>
    <row r="873" spans="1:12" x14ac:dyDescent="0.25">
      <c r="A873" s="12"/>
      <c r="B873" s="12"/>
      <c r="C873" s="12"/>
      <c r="D873" s="12"/>
      <c r="E873" s="12"/>
      <c r="F873" s="12"/>
      <c r="G873" s="12"/>
      <c r="H873" s="12"/>
      <c r="I873" s="12"/>
      <c r="J873" s="12"/>
    </row>
    <row r="874" spans="1:12" s="10" customFormat="1" ht="20.100000000000001" customHeight="1" x14ac:dyDescent="0.35">
      <c r="A874" s="15" t="s">
        <v>333</v>
      </c>
      <c r="B874" s="15"/>
      <c r="C874" s="15"/>
      <c r="D874" s="15"/>
      <c r="E874" s="15"/>
      <c r="F874" s="15"/>
      <c r="G874" s="15"/>
      <c r="H874" s="15"/>
      <c r="I874" s="15"/>
      <c r="J874" s="15"/>
    </row>
    <row r="875" spans="1:12" x14ac:dyDescent="0.25">
      <c r="A875" s="12"/>
      <c r="B875" s="12"/>
      <c r="C875" s="12"/>
      <c r="D875" s="12"/>
      <c r="E875" s="12"/>
      <c r="F875" s="12"/>
      <c r="G875" s="12"/>
      <c r="H875" s="12"/>
      <c r="I875" s="12"/>
      <c r="J875" s="12"/>
    </row>
    <row r="876" spans="1:12" ht="30" x14ac:dyDescent="0.25">
      <c r="A876" s="2" t="s">
        <v>6</v>
      </c>
      <c r="B876" s="2" t="s">
        <v>7</v>
      </c>
      <c r="C876" s="2" t="s">
        <v>8</v>
      </c>
      <c r="D876" s="2" t="s">
        <v>9</v>
      </c>
      <c r="E876" s="2" t="s">
        <v>10</v>
      </c>
      <c r="F876" s="2" t="s">
        <v>11</v>
      </c>
      <c r="G876" s="2" t="s">
        <v>12</v>
      </c>
      <c r="H876" s="2" t="s">
        <v>13</v>
      </c>
      <c r="I876" s="2" t="s">
        <v>14</v>
      </c>
      <c r="J876" s="2" t="s">
        <v>15</v>
      </c>
      <c r="K876" s="2" t="s">
        <v>16</v>
      </c>
      <c r="L876" s="2" t="s">
        <v>17</v>
      </c>
    </row>
    <row r="877" spans="1:12" x14ac:dyDescent="0.25">
      <c r="A877" s="3">
        <v>45692.00582175926</v>
      </c>
      <c r="B877" t="s">
        <v>34</v>
      </c>
      <c r="C877" s="3">
        <v>45692.010613425926</v>
      </c>
      <c r="D877" t="s">
        <v>239</v>
      </c>
      <c r="E877" s="4">
        <v>1.24</v>
      </c>
      <c r="F877" s="4">
        <v>37982.824999999997</v>
      </c>
      <c r="G877" s="4">
        <v>37984.065000000002</v>
      </c>
      <c r="H877" s="5">
        <f>121 / 86400</f>
        <v>1.4004629629629629E-3</v>
      </c>
      <c r="I877" t="s">
        <v>223</v>
      </c>
      <c r="J877" t="s">
        <v>174</v>
      </c>
      <c r="K877" s="5">
        <f>414 / 86400</f>
        <v>4.7916666666666663E-3</v>
      </c>
      <c r="L877" s="5">
        <f>17342 / 86400</f>
        <v>0.20071759259259259</v>
      </c>
    </row>
    <row r="878" spans="1:12" x14ac:dyDescent="0.25">
      <c r="A878" s="3">
        <v>45692.205509259264</v>
      </c>
      <c r="B878" t="s">
        <v>239</v>
      </c>
      <c r="C878" s="3">
        <v>45692.418449074074</v>
      </c>
      <c r="D878" t="s">
        <v>40</v>
      </c>
      <c r="E878" s="4">
        <v>90.275000000000006</v>
      </c>
      <c r="F878" s="4">
        <v>37984.065000000002</v>
      </c>
      <c r="G878" s="4">
        <v>38074.339999999997</v>
      </c>
      <c r="H878" s="5">
        <f>6000 / 86400</f>
        <v>6.9444444444444448E-2</v>
      </c>
      <c r="I878" t="s">
        <v>27</v>
      </c>
      <c r="J878" t="s">
        <v>31</v>
      </c>
      <c r="K878" s="5">
        <f>18398 / 86400</f>
        <v>0.2129398148148148</v>
      </c>
      <c r="L878" s="5">
        <f>2051 / 86400</f>
        <v>2.3738425925925927E-2</v>
      </c>
    </row>
    <row r="879" spans="1:12" x14ac:dyDescent="0.25">
      <c r="A879" s="3">
        <v>45692.442187499997</v>
      </c>
      <c r="B879" t="s">
        <v>40</v>
      </c>
      <c r="C879" s="3">
        <v>45692.451631944445</v>
      </c>
      <c r="D879" t="s">
        <v>176</v>
      </c>
      <c r="E879" s="4">
        <v>0.68300000000000005</v>
      </c>
      <c r="F879" s="4">
        <v>38074.339999999997</v>
      </c>
      <c r="G879" s="4">
        <v>38075.023000000001</v>
      </c>
      <c r="H879" s="5">
        <f>569 / 86400</f>
        <v>6.5856481481481478E-3</v>
      </c>
      <c r="I879" t="s">
        <v>149</v>
      </c>
      <c r="J879" t="s">
        <v>140</v>
      </c>
      <c r="K879" s="5">
        <f>816 / 86400</f>
        <v>9.4444444444444445E-3</v>
      </c>
      <c r="L879" s="5">
        <f>444 / 86400</f>
        <v>5.138888888888889E-3</v>
      </c>
    </row>
    <row r="880" spans="1:12" x14ac:dyDescent="0.25">
      <c r="A880" s="3">
        <v>45692.456770833334</v>
      </c>
      <c r="B880" t="s">
        <v>166</v>
      </c>
      <c r="C880" s="3">
        <v>45692.459687499999</v>
      </c>
      <c r="D880" t="s">
        <v>226</v>
      </c>
      <c r="E880" s="4">
        <v>0.46600000000000003</v>
      </c>
      <c r="F880" s="4">
        <v>38075.023000000001</v>
      </c>
      <c r="G880" s="4">
        <v>38075.489000000001</v>
      </c>
      <c r="H880" s="5">
        <f>60 / 86400</f>
        <v>6.9444444444444447E-4</v>
      </c>
      <c r="I880" t="s">
        <v>167</v>
      </c>
      <c r="J880" t="s">
        <v>43</v>
      </c>
      <c r="K880" s="5">
        <f>252 / 86400</f>
        <v>2.9166666666666668E-3</v>
      </c>
      <c r="L880" s="5">
        <f>902 / 86400</f>
        <v>1.0439814814814815E-2</v>
      </c>
    </row>
    <row r="881" spans="1:12" x14ac:dyDescent="0.25">
      <c r="A881" s="3">
        <v>45692.470127314809</v>
      </c>
      <c r="B881" t="s">
        <v>226</v>
      </c>
      <c r="C881" s="3">
        <v>45692.674687499995</v>
      </c>
      <c r="D881" t="s">
        <v>128</v>
      </c>
      <c r="E881" s="4">
        <v>93.665000000000006</v>
      </c>
      <c r="F881" s="4">
        <v>38075.489000000001</v>
      </c>
      <c r="G881" s="4">
        <v>38169.154000000002</v>
      </c>
      <c r="H881" s="5">
        <f>5701 / 86400</f>
        <v>6.598379629629629E-2</v>
      </c>
      <c r="I881" t="s">
        <v>105</v>
      </c>
      <c r="J881" t="s">
        <v>70</v>
      </c>
      <c r="K881" s="5">
        <f>17674 / 86400</f>
        <v>0.20456018518518518</v>
      </c>
      <c r="L881" s="5">
        <f>368 / 86400</f>
        <v>4.2592592592592595E-3</v>
      </c>
    </row>
    <row r="882" spans="1:12" x14ac:dyDescent="0.25">
      <c r="A882" s="3">
        <v>45692.678946759261</v>
      </c>
      <c r="B882" t="s">
        <v>128</v>
      </c>
      <c r="C882" s="3">
        <v>45692.984166666662</v>
      </c>
      <c r="D882" t="s">
        <v>268</v>
      </c>
      <c r="E882" s="4">
        <v>149.12</v>
      </c>
      <c r="F882" s="4">
        <v>38169.154000000002</v>
      </c>
      <c r="G882" s="4">
        <v>38318.273999999998</v>
      </c>
      <c r="H882" s="5">
        <f>7949 / 86400</f>
        <v>9.2002314814814815E-2</v>
      </c>
      <c r="I882" t="s">
        <v>30</v>
      </c>
      <c r="J882" t="s">
        <v>114</v>
      </c>
      <c r="K882" s="5">
        <f>26371 / 86400</f>
        <v>0.3052199074074074</v>
      </c>
      <c r="L882" s="5">
        <f>467 / 86400</f>
        <v>5.4050925925925924E-3</v>
      </c>
    </row>
    <row r="883" spans="1:12" x14ac:dyDescent="0.25">
      <c r="A883" s="3">
        <v>45692.989571759259</v>
      </c>
      <c r="B883" t="s">
        <v>268</v>
      </c>
      <c r="C883" s="3">
        <v>45692.99998842593</v>
      </c>
      <c r="D883" t="s">
        <v>104</v>
      </c>
      <c r="E883" s="4">
        <v>7.6150000000000002</v>
      </c>
      <c r="F883" s="4">
        <v>38318.273999999998</v>
      </c>
      <c r="G883" s="4">
        <v>38325.889000000003</v>
      </c>
      <c r="H883" s="5">
        <f>31 / 86400</f>
        <v>3.5879629629629629E-4</v>
      </c>
      <c r="I883" t="s">
        <v>80</v>
      </c>
      <c r="J883" t="s">
        <v>149</v>
      </c>
      <c r="K883" s="5">
        <f>900 / 86400</f>
        <v>1.0416666666666666E-2</v>
      </c>
      <c r="L883" s="5">
        <f>0 / 86400</f>
        <v>0</v>
      </c>
    </row>
    <row r="884" spans="1:12" x14ac:dyDescent="0.25">
      <c r="A884" s="12"/>
      <c r="B884" s="12"/>
      <c r="C884" s="12"/>
      <c r="D884" s="12"/>
      <c r="E884" s="12"/>
      <c r="F884" s="12"/>
      <c r="G884" s="12"/>
      <c r="H884" s="12"/>
      <c r="I884" s="12"/>
      <c r="J884" s="12"/>
    </row>
    <row r="885" spans="1:12" x14ac:dyDescent="0.25">
      <c r="A885" s="12"/>
      <c r="B885" s="12"/>
      <c r="C885" s="12"/>
      <c r="D885" s="12"/>
      <c r="E885" s="12"/>
      <c r="F885" s="12"/>
      <c r="G885" s="12"/>
      <c r="H885" s="12"/>
      <c r="I885" s="12"/>
      <c r="J885" s="12"/>
    </row>
    <row r="886" spans="1:12" s="10" customFormat="1" ht="20.100000000000001" customHeight="1" x14ac:dyDescent="0.35">
      <c r="A886" s="15" t="s">
        <v>334</v>
      </c>
      <c r="B886" s="15"/>
      <c r="C886" s="15"/>
      <c r="D886" s="15"/>
      <c r="E886" s="15"/>
      <c r="F886" s="15"/>
      <c r="G886" s="15"/>
      <c r="H886" s="15"/>
      <c r="I886" s="15"/>
      <c r="J886" s="15"/>
    </row>
    <row r="887" spans="1:12" x14ac:dyDescent="0.25">
      <c r="A887" s="12"/>
      <c r="B887" s="12"/>
      <c r="C887" s="12"/>
      <c r="D887" s="12"/>
      <c r="E887" s="12"/>
      <c r="F887" s="12"/>
      <c r="G887" s="12"/>
      <c r="H887" s="12"/>
      <c r="I887" s="12"/>
      <c r="J887" s="12"/>
    </row>
    <row r="888" spans="1:12" ht="30" x14ac:dyDescent="0.25">
      <c r="A888" s="2" t="s">
        <v>6</v>
      </c>
      <c r="B888" s="2" t="s">
        <v>7</v>
      </c>
      <c r="C888" s="2" t="s">
        <v>8</v>
      </c>
      <c r="D888" s="2" t="s">
        <v>9</v>
      </c>
      <c r="E888" s="2" t="s">
        <v>10</v>
      </c>
      <c r="F888" s="2" t="s">
        <v>11</v>
      </c>
      <c r="G888" s="2" t="s">
        <v>12</v>
      </c>
      <c r="H888" s="2" t="s">
        <v>13</v>
      </c>
      <c r="I888" s="2" t="s">
        <v>14</v>
      </c>
      <c r="J888" s="2" t="s">
        <v>15</v>
      </c>
      <c r="K888" s="2" t="s">
        <v>16</v>
      </c>
      <c r="L888" s="2" t="s">
        <v>17</v>
      </c>
    </row>
    <row r="889" spans="1:12" x14ac:dyDescent="0.25">
      <c r="A889" s="3">
        <v>45692.275891203702</v>
      </c>
      <c r="B889" t="s">
        <v>106</v>
      </c>
      <c r="C889" s="3">
        <v>45692.346377314811</v>
      </c>
      <c r="D889" t="s">
        <v>226</v>
      </c>
      <c r="E889" s="4">
        <v>35.069000000000003</v>
      </c>
      <c r="F889" s="4">
        <v>190664.27900000001</v>
      </c>
      <c r="G889" s="4">
        <v>190699.348</v>
      </c>
      <c r="H889" s="5">
        <f>1219 / 86400</f>
        <v>1.4108796296296296E-2</v>
      </c>
      <c r="I889" t="s">
        <v>107</v>
      </c>
      <c r="J889" t="s">
        <v>142</v>
      </c>
      <c r="K889" s="5">
        <f>6089 / 86400</f>
        <v>7.0474537037037044E-2</v>
      </c>
      <c r="L889" s="5">
        <f>25690 / 86400</f>
        <v>0.29733796296296294</v>
      </c>
    </row>
    <row r="890" spans="1:12" x14ac:dyDescent="0.25">
      <c r="A890" s="3">
        <v>45692.36782407407</v>
      </c>
      <c r="B890" t="s">
        <v>226</v>
      </c>
      <c r="C890" s="3">
        <v>45692.503414351857</v>
      </c>
      <c r="D890" t="s">
        <v>259</v>
      </c>
      <c r="E890" s="4">
        <v>51.173000000000002</v>
      </c>
      <c r="F890" s="4">
        <v>190699.348</v>
      </c>
      <c r="G890" s="4">
        <v>190750.52100000001</v>
      </c>
      <c r="H890" s="5">
        <f>4141 / 86400</f>
        <v>4.7928240740740743E-2</v>
      </c>
      <c r="I890" t="s">
        <v>109</v>
      </c>
      <c r="J890" t="s">
        <v>36</v>
      </c>
      <c r="K890" s="5">
        <f>11714 / 86400</f>
        <v>0.1355787037037037</v>
      </c>
      <c r="L890" s="5">
        <f>478 / 86400</f>
        <v>5.5324074074074078E-3</v>
      </c>
    </row>
    <row r="891" spans="1:12" x14ac:dyDescent="0.25">
      <c r="A891" s="3">
        <v>45692.508946759262</v>
      </c>
      <c r="B891" t="s">
        <v>259</v>
      </c>
      <c r="C891" s="3">
        <v>45692.652395833335</v>
      </c>
      <c r="D891" t="s">
        <v>46</v>
      </c>
      <c r="E891" s="4">
        <v>50.414000000000001</v>
      </c>
      <c r="F891" s="4">
        <v>190750.52100000001</v>
      </c>
      <c r="G891" s="4">
        <v>190800.935</v>
      </c>
      <c r="H891" s="5">
        <f>4178 / 86400</f>
        <v>4.8356481481481479E-2</v>
      </c>
      <c r="I891" t="s">
        <v>220</v>
      </c>
      <c r="J891" t="s">
        <v>20</v>
      </c>
      <c r="K891" s="5">
        <f>12393 / 86400</f>
        <v>0.1434375</v>
      </c>
      <c r="L891" s="5">
        <f>2803 / 86400</f>
        <v>3.2442129629629626E-2</v>
      </c>
    </row>
    <row r="892" spans="1:12" x14ac:dyDescent="0.25">
      <c r="A892" s="3">
        <v>45692.684837962966</v>
      </c>
      <c r="B892" t="s">
        <v>46</v>
      </c>
      <c r="C892" s="3">
        <v>45692.687719907408</v>
      </c>
      <c r="D892" t="s">
        <v>40</v>
      </c>
      <c r="E892" s="4">
        <v>0.621</v>
      </c>
      <c r="F892" s="4">
        <v>190800.935</v>
      </c>
      <c r="G892" s="4">
        <v>190801.55600000001</v>
      </c>
      <c r="H892" s="5">
        <f>0 / 86400</f>
        <v>0</v>
      </c>
      <c r="I892" t="s">
        <v>122</v>
      </c>
      <c r="J892" t="s">
        <v>54</v>
      </c>
      <c r="K892" s="5">
        <f>248 / 86400</f>
        <v>2.8703703703703703E-3</v>
      </c>
      <c r="L892" s="5">
        <f>56 / 86400</f>
        <v>6.4814814814814813E-4</v>
      </c>
    </row>
    <row r="893" spans="1:12" x14ac:dyDescent="0.25">
      <c r="A893" s="3">
        <v>45692.688368055555</v>
      </c>
      <c r="B893" t="s">
        <v>40</v>
      </c>
      <c r="C893" s="3">
        <v>45692.689837962964</v>
      </c>
      <c r="D893" t="s">
        <v>40</v>
      </c>
      <c r="E893" s="4">
        <v>4.9000000000000002E-2</v>
      </c>
      <c r="F893" s="4">
        <v>190801.55600000001</v>
      </c>
      <c r="G893" s="4">
        <v>190801.60500000001</v>
      </c>
      <c r="H893" s="5">
        <f>20 / 86400</f>
        <v>2.3148148148148149E-4</v>
      </c>
      <c r="I893" t="s">
        <v>140</v>
      </c>
      <c r="J893" t="s">
        <v>125</v>
      </c>
      <c r="K893" s="5">
        <f>126 / 86400</f>
        <v>1.4583333333333334E-3</v>
      </c>
      <c r="L893" s="5">
        <f>241 / 86400</f>
        <v>2.7893518518518519E-3</v>
      </c>
    </row>
    <row r="894" spans="1:12" x14ac:dyDescent="0.25">
      <c r="A894" s="3">
        <v>45692.692627314813</v>
      </c>
      <c r="B894" t="s">
        <v>40</v>
      </c>
      <c r="C894" s="3">
        <v>45692.694247685184</v>
      </c>
      <c r="D894" t="s">
        <v>40</v>
      </c>
      <c r="E894" s="4">
        <v>0.222</v>
      </c>
      <c r="F894" s="4">
        <v>190801.60500000001</v>
      </c>
      <c r="G894" s="4">
        <v>190801.82699999999</v>
      </c>
      <c r="H894" s="5">
        <f>20 / 86400</f>
        <v>2.3148148148148149E-4</v>
      </c>
      <c r="I894" t="s">
        <v>36</v>
      </c>
      <c r="J894" t="s">
        <v>137</v>
      </c>
      <c r="K894" s="5">
        <f>140 / 86400</f>
        <v>1.6203703703703703E-3</v>
      </c>
      <c r="L894" s="5">
        <f>302 / 86400</f>
        <v>3.4953703703703705E-3</v>
      </c>
    </row>
    <row r="895" spans="1:12" x14ac:dyDescent="0.25">
      <c r="A895" s="3">
        <v>45692.697743055556</v>
      </c>
      <c r="B895" t="s">
        <v>40</v>
      </c>
      <c r="C895" s="3">
        <v>45692.701284722221</v>
      </c>
      <c r="D895" t="s">
        <v>128</v>
      </c>
      <c r="E895" s="4">
        <v>0.95799999999999996</v>
      </c>
      <c r="F895" s="4">
        <v>190801.82699999999</v>
      </c>
      <c r="G895" s="4">
        <v>190802.785</v>
      </c>
      <c r="H895" s="5">
        <f>60 / 86400</f>
        <v>6.9444444444444447E-4</v>
      </c>
      <c r="I895" t="s">
        <v>149</v>
      </c>
      <c r="J895" t="s">
        <v>174</v>
      </c>
      <c r="K895" s="5">
        <f>306 / 86400</f>
        <v>3.5416666666666665E-3</v>
      </c>
      <c r="L895" s="5">
        <f>489 / 86400</f>
        <v>5.6597222222222222E-3</v>
      </c>
    </row>
    <row r="896" spans="1:12" x14ac:dyDescent="0.25">
      <c r="A896" s="3">
        <v>45692.70694444445</v>
      </c>
      <c r="B896" t="s">
        <v>128</v>
      </c>
      <c r="C896" s="3">
        <v>45692.878148148149</v>
      </c>
      <c r="D896" t="s">
        <v>110</v>
      </c>
      <c r="E896" s="4">
        <v>61.982999999999997</v>
      </c>
      <c r="F896" s="4">
        <v>190802.785</v>
      </c>
      <c r="G896" s="4">
        <v>190864.76800000001</v>
      </c>
      <c r="H896" s="5">
        <f>4400 / 86400</f>
        <v>5.0925925925925923E-2</v>
      </c>
      <c r="I896" t="s">
        <v>35</v>
      </c>
      <c r="J896" t="s">
        <v>20</v>
      </c>
      <c r="K896" s="5">
        <f>14792 / 86400</f>
        <v>0.17120370370370369</v>
      </c>
      <c r="L896" s="5">
        <f>314 / 86400</f>
        <v>3.6342592592592594E-3</v>
      </c>
    </row>
    <row r="897" spans="1:12" x14ac:dyDescent="0.25">
      <c r="A897" s="3">
        <v>45692.881782407407</v>
      </c>
      <c r="B897" t="s">
        <v>110</v>
      </c>
      <c r="C897" s="3">
        <v>45692.887986111113</v>
      </c>
      <c r="D897" t="s">
        <v>106</v>
      </c>
      <c r="E897" s="4">
        <v>1.823</v>
      </c>
      <c r="F897" s="4">
        <v>190864.76800000001</v>
      </c>
      <c r="G897" s="4">
        <v>190866.59099999999</v>
      </c>
      <c r="H897" s="5">
        <f>59 / 86400</f>
        <v>6.8287037037037036E-4</v>
      </c>
      <c r="I897" t="s">
        <v>167</v>
      </c>
      <c r="J897" t="s">
        <v>90</v>
      </c>
      <c r="K897" s="5">
        <f>535 / 86400</f>
        <v>6.1921296296296299E-3</v>
      </c>
      <c r="L897" s="5">
        <f>249 / 86400</f>
        <v>2.8819444444444444E-3</v>
      </c>
    </row>
    <row r="898" spans="1:12" x14ac:dyDescent="0.25">
      <c r="A898" s="3">
        <v>45692.890868055554</v>
      </c>
      <c r="B898" t="s">
        <v>106</v>
      </c>
      <c r="C898" s="3">
        <v>45692.891921296294</v>
      </c>
      <c r="D898" t="s">
        <v>106</v>
      </c>
      <c r="E898" s="4">
        <v>0.115</v>
      </c>
      <c r="F898" s="4">
        <v>190866.59099999999</v>
      </c>
      <c r="G898" s="4">
        <v>190866.70600000001</v>
      </c>
      <c r="H898" s="5">
        <f>20 / 86400</f>
        <v>2.3148148148148149E-4</v>
      </c>
      <c r="I898" t="s">
        <v>90</v>
      </c>
      <c r="J898" t="s">
        <v>119</v>
      </c>
      <c r="K898" s="5">
        <f>90 / 86400</f>
        <v>1.0416666666666667E-3</v>
      </c>
      <c r="L898" s="5">
        <f>9337 / 86400</f>
        <v>0.10806712962962962</v>
      </c>
    </row>
    <row r="899" spans="1:12" x14ac:dyDescent="0.25">
      <c r="A899" s="12"/>
      <c r="B899" s="12"/>
      <c r="C899" s="12"/>
      <c r="D899" s="12"/>
      <c r="E899" s="12"/>
      <c r="F899" s="12"/>
      <c r="G899" s="12"/>
      <c r="H899" s="12"/>
      <c r="I899" s="12"/>
      <c r="J899" s="12"/>
    </row>
    <row r="900" spans="1:12" x14ac:dyDescent="0.25">
      <c r="A900" s="12"/>
      <c r="B900" s="12"/>
      <c r="C900" s="12"/>
      <c r="D900" s="12"/>
      <c r="E900" s="12"/>
      <c r="F900" s="12"/>
      <c r="G900" s="12"/>
      <c r="H900" s="12"/>
      <c r="I900" s="12"/>
      <c r="J900" s="12"/>
    </row>
    <row r="901" spans="1:12" s="10" customFormat="1" ht="20.100000000000001" customHeight="1" x14ac:dyDescent="0.35">
      <c r="A901" s="15" t="s">
        <v>335</v>
      </c>
      <c r="B901" s="15"/>
      <c r="C901" s="15"/>
      <c r="D901" s="15"/>
      <c r="E901" s="15"/>
      <c r="F901" s="15"/>
      <c r="G901" s="15"/>
      <c r="H901" s="15"/>
      <c r="I901" s="15"/>
      <c r="J901" s="15"/>
    </row>
    <row r="902" spans="1:12" x14ac:dyDescent="0.25">
      <c r="A902" s="12"/>
      <c r="B902" s="12"/>
      <c r="C902" s="12"/>
      <c r="D902" s="12"/>
      <c r="E902" s="12"/>
      <c r="F902" s="12"/>
      <c r="G902" s="12"/>
      <c r="H902" s="12"/>
      <c r="I902" s="12"/>
      <c r="J902" s="12"/>
    </row>
    <row r="903" spans="1:12" ht="30" x14ac:dyDescent="0.25">
      <c r="A903" s="2" t="s">
        <v>6</v>
      </c>
      <c r="B903" s="2" t="s">
        <v>7</v>
      </c>
      <c r="C903" s="2" t="s">
        <v>8</v>
      </c>
      <c r="D903" s="2" t="s">
        <v>9</v>
      </c>
      <c r="E903" s="2" t="s">
        <v>10</v>
      </c>
      <c r="F903" s="2" t="s">
        <v>11</v>
      </c>
      <c r="G903" s="2" t="s">
        <v>12</v>
      </c>
      <c r="H903" s="2" t="s">
        <v>13</v>
      </c>
      <c r="I903" s="2" t="s">
        <v>14</v>
      </c>
      <c r="J903" s="2" t="s">
        <v>15</v>
      </c>
      <c r="K903" s="2" t="s">
        <v>16</v>
      </c>
      <c r="L903" s="2" t="s">
        <v>17</v>
      </c>
    </row>
    <row r="904" spans="1:12" x14ac:dyDescent="0.25">
      <c r="A904" s="3">
        <v>45692.20313657407</v>
      </c>
      <c r="B904" t="s">
        <v>87</v>
      </c>
      <c r="C904" s="3">
        <v>45692.44395833333</v>
      </c>
      <c r="D904" t="s">
        <v>148</v>
      </c>
      <c r="E904" s="4">
        <v>101.334</v>
      </c>
      <c r="F904" s="4">
        <v>520723.46500000003</v>
      </c>
      <c r="G904" s="4">
        <v>520824.799</v>
      </c>
      <c r="H904" s="5">
        <f>7218 / 86400</f>
        <v>8.3541666666666667E-2</v>
      </c>
      <c r="I904" t="s">
        <v>93</v>
      </c>
      <c r="J904" t="s">
        <v>31</v>
      </c>
      <c r="K904" s="5">
        <f>20806 / 86400</f>
        <v>0.24081018518518518</v>
      </c>
      <c r="L904" s="5">
        <f>19022 / 86400</f>
        <v>0.22016203703703704</v>
      </c>
    </row>
    <row r="905" spans="1:12" x14ac:dyDescent="0.25">
      <c r="A905" s="3">
        <v>45692.460983796293</v>
      </c>
      <c r="B905" t="s">
        <v>148</v>
      </c>
      <c r="C905" s="3">
        <v>45692.464317129634</v>
      </c>
      <c r="D905" t="s">
        <v>128</v>
      </c>
      <c r="E905" s="4">
        <v>1.3120000000000001</v>
      </c>
      <c r="F905" s="4">
        <v>520824.799</v>
      </c>
      <c r="G905" s="4">
        <v>520826.11099999998</v>
      </c>
      <c r="H905" s="5">
        <f>40 / 86400</f>
        <v>4.6296296296296298E-4</v>
      </c>
      <c r="I905" t="s">
        <v>214</v>
      </c>
      <c r="J905" t="s">
        <v>36</v>
      </c>
      <c r="K905" s="5">
        <f>287 / 86400</f>
        <v>3.3217592592592591E-3</v>
      </c>
      <c r="L905" s="5">
        <f>395 / 86400</f>
        <v>4.5717592592592589E-3</v>
      </c>
    </row>
    <row r="906" spans="1:12" x14ac:dyDescent="0.25">
      <c r="A906" s="3">
        <v>45692.468888888892</v>
      </c>
      <c r="B906" t="s">
        <v>128</v>
      </c>
      <c r="C906" s="3">
        <v>45692.470914351856</v>
      </c>
      <c r="D906" t="s">
        <v>230</v>
      </c>
      <c r="E906" s="4">
        <v>0.69599999999999995</v>
      </c>
      <c r="F906" s="4">
        <v>520826.11099999998</v>
      </c>
      <c r="G906" s="4">
        <v>520826.80699999997</v>
      </c>
      <c r="H906" s="5">
        <f>19 / 86400</f>
        <v>2.199074074074074E-4</v>
      </c>
      <c r="I906" t="s">
        <v>147</v>
      </c>
      <c r="J906" t="s">
        <v>28</v>
      </c>
      <c r="K906" s="5">
        <f>175 / 86400</f>
        <v>2.0254629629629629E-3</v>
      </c>
      <c r="L906" s="5">
        <f>2400 / 86400</f>
        <v>2.7777777777777776E-2</v>
      </c>
    </row>
    <row r="907" spans="1:12" x14ac:dyDescent="0.25">
      <c r="A907" s="3">
        <v>45692.498692129629</v>
      </c>
      <c r="B907" t="s">
        <v>230</v>
      </c>
      <c r="C907" s="3">
        <v>45692.747384259259</v>
      </c>
      <c r="D907" t="s">
        <v>81</v>
      </c>
      <c r="E907" s="4">
        <v>103.18600000000001</v>
      </c>
      <c r="F907" s="4">
        <v>520826.80699999997</v>
      </c>
      <c r="G907" s="4">
        <v>520929.99300000002</v>
      </c>
      <c r="H907" s="5">
        <f>7038 / 86400</f>
        <v>8.1458333333333327E-2</v>
      </c>
      <c r="I907" t="s">
        <v>22</v>
      </c>
      <c r="J907" t="s">
        <v>25</v>
      </c>
      <c r="K907" s="5">
        <f>21487 / 86400</f>
        <v>0.24869212962962964</v>
      </c>
      <c r="L907" s="5">
        <f>2830 / 86400</f>
        <v>3.2754629629629627E-2</v>
      </c>
    </row>
    <row r="908" spans="1:12" x14ac:dyDescent="0.25">
      <c r="A908" s="3">
        <v>45692.780138888891</v>
      </c>
      <c r="B908" t="s">
        <v>81</v>
      </c>
      <c r="C908" s="3">
        <v>45692.798067129625</v>
      </c>
      <c r="D908" t="s">
        <v>128</v>
      </c>
      <c r="E908" s="4">
        <v>5.915</v>
      </c>
      <c r="F908" s="4">
        <v>520929.99300000002</v>
      </c>
      <c r="G908" s="4">
        <v>520935.908</v>
      </c>
      <c r="H908" s="5">
        <f>320 / 86400</f>
        <v>3.7037037037037038E-3</v>
      </c>
      <c r="I908" t="s">
        <v>130</v>
      </c>
      <c r="J908" t="s">
        <v>28</v>
      </c>
      <c r="K908" s="5">
        <f>1549 / 86400</f>
        <v>1.7928240740740741E-2</v>
      </c>
      <c r="L908" s="5">
        <f>550 / 86400</f>
        <v>6.3657407407407404E-3</v>
      </c>
    </row>
    <row r="909" spans="1:12" x14ac:dyDescent="0.25">
      <c r="A909" s="3">
        <v>45692.804432870369</v>
      </c>
      <c r="B909" t="s">
        <v>128</v>
      </c>
      <c r="C909" s="3">
        <v>45692.806168981479</v>
      </c>
      <c r="D909" t="s">
        <v>87</v>
      </c>
      <c r="E909" s="4">
        <v>0.20300000000000001</v>
      </c>
      <c r="F909" s="4">
        <v>520935.908</v>
      </c>
      <c r="G909" s="4">
        <v>520936.11099999998</v>
      </c>
      <c r="H909" s="5">
        <f>60 / 86400</f>
        <v>6.9444444444444447E-4</v>
      </c>
      <c r="I909" t="s">
        <v>36</v>
      </c>
      <c r="J909" t="s">
        <v>119</v>
      </c>
      <c r="K909" s="5">
        <f>150 / 86400</f>
        <v>1.736111111111111E-3</v>
      </c>
      <c r="L909" s="5">
        <f>16746 / 86400</f>
        <v>0.19381944444444443</v>
      </c>
    </row>
    <row r="910" spans="1:12" x14ac:dyDescent="0.25">
      <c r="A910" s="12"/>
      <c r="B910" s="12"/>
      <c r="C910" s="12"/>
      <c r="D910" s="12"/>
      <c r="E910" s="12"/>
      <c r="F910" s="12"/>
      <c r="G910" s="12"/>
      <c r="H910" s="12"/>
      <c r="I910" s="12"/>
      <c r="J910" s="12"/>
    </row>
    <row r="911" spans="1:12" x14ac:dyDescent="0.25">
      <c r="A911" s="12"/>
      <c r="B911" s="12"/>
      <c r="C911" s="12"/>
      <c r="D911" s="12"/>
      <c r="E911" s="12"/>
      <c r="F911" s="12"/>
      <c r="G911" s="12"/>
      <c r="H911" s="12"/>
      <c r="I911" s="12"/>
      <c r="J911" s="12"/>
    </row>
    <row r="912" spans="1:12" s="10" customFormat="1" ht="20.100000000000001" customHeight="1" x14ac:dyDescent="0.35">
      <c r="A912" s="15" t="s">
        <v>336</v>
      </c>
      <c r="B912" s="15"/>
      <c r="C912" s="15"/>
      <c r="D912" s="15"/>
      <c r="E912" s="15"/>
      <c r="F912" s="15"/>
      <c r="G912" s="15"/>
      <c r="H912" s="15"/>
      <c r="I912" s="15"/>
      <c r="J912" s="15"/>
    </row>
    <row r="913" spans="1:12" x14ac:dyDescent="0.25">
      <c r="A913" s="12"/>
      <c r="B913" s="12"/>
      <c r="C913" s="12"/>
      <c r="D913" s="12"/>
      <c r="E913" s="12"/>
      <c r="F913" s="12"/>
      <c r="G913" s="12"/>
      <c r="H913" s="12"/>
      <c r="I913" s="12"/>
      <c r="J913" s="12"/>
    </row>
    <row r="914" spans="1:12" ht="30" x14ac:dyDescent="0.25">
      <c r="A914" s="2" t="s">
        <v>6</v>
      </c>
      <c r="B914" s="2" t="s">
        <v>7</v>
      </c>
      <c r="C914" s="2" t="s">
        <v>8</v>
      </c>
      <c r="D914" s="2" t="s">
        <v>9</v>
      </c>
      <c r="E914" s="2" t="s">
        <v>10</v>
      </c>
      <c r="F914" s="2" t="s">
        <v>11</v>
      </c>
      <c r="G914" s="2" t="s">
        <v>12</v>
      </c>
      <c r="H914" s="2" t="s">
        <v>13</v>
      </c>
      <c r="I914" s="2" t="s">
        <v>14</v>
      </c>
      <c r="J914" s="2" t="s">
        <v>15</v>
      </c>
      <c r="K914" s="2" t="s">
        <v>16</v>
      </c>
      <c r="L914" s="2" t="s">
        <v>17</v>
      </c>
    </row>
    <row r="915" spans="1:12" x14ac:dyDescent="0.25">
      <c r="A915" s="3">
        <v>45692.233217592591</v>
      </c>
      <c r="B915" t="s">
        <v>91</v>
      </c>
      <c r="C915" s="3">
        <v>45692.2340625</v>
      </c>
      <c r="D915" t="s">
        <v>91</v>
      </c>
      <c r="E915" s="4">
        <v>0</v>
      </c>
      <c r="F915" s="4">
        <v>21341.036</v>
      </c>
      <c r="G915" s="4">
        <v>21341.036</v>
      </c>
      <c r="H915" s="5">
        <f>59 / 86400</f>
        <v>6.8287037037037036E-4</v>
      </c>
      <c r="I915" t="s">
        <v>55</v>
      </c>
      <c r="J915" t="s">
        <v>55</v>
      </c>
      <c r="K915" s="5">
        <f>73 / 86400</f>
        <v>8.4490740740740739E-4</v>
      </c>
      <c r="L915" s="5">
        <f>20263 / 86400</f>
        <v>0.23452546296296295</v>
      </c>
    </row>
    <row r="916" spans="1:12" x14ac:dyDescent="0.25">
      <c r="A916" s="3">
        <v>45692.23537037037</v>
      </c>
      <c r="B916" t="s">
        <v>91</v>
      </c>
      <c r="C916" s="3">
        <v>45692.235972222217</v>
      </c>
      <c r="D916" t="s">
        <v>91</v>
      </c>
      <c r="E916" s="4">
        <v>0</v>
      </c>
      <c r="F916" s="4">
        <v>21341.036</v>
      </c>
      <c r="G916" s="4">
        <v>21341.036</v>
      </c>
      <c r="H916" s="5">
        <f>39 / 86400</f>
        <v>4.5138888888888887E-4</v>
      </c>
      <c r="I916" t="s">
        <v>55</v>
      </c>
      <c r="J916" t="s">
        <v>55</v>
      </c>
      <c r="K916" s="5">
        <f>52 / 86400</f>
        <v>6.018518518518519E-4</v>
      </c>
      <c r="L916" s="5">
        <f>65 / 86400</f>
        <v>7.5231481481481482E-4</v>
      </c>
    </row>
    <row r="917" spans="1:12" x14ac:dyDescent="0.25">
      <c r="A917" s="3">
        <v>45692.236724537041</v>
      </c>
      <c r="B917" t="s">
        <v>91</v>
      </c>
      <c r="C917" s="3">
        <v>45692.243298611109</v>
      </c>
      <c r="D917" t="s">
        <v>202</v>
      </c>
      <c r="E917" s="4">
        <v>1.829</v>
      </c>
      <c r="F917" s="4">
        <v>21341.036</v>
      </c>
      <c r="G917" s="4">
        <v>21342.865000000002</v>
      </c>
      <c r="H917" s="5">
        <f>79 / 86400</f>
        <v>9.1435185185185185E-4</v>
      </c>
      <c r="I917" t="s">
        <v>235</v>
      </c>
      <c r="J917" t="s">
        <v>90</v>
      </c>
      <c r="K917" s="5">
        <f>567 / 86400</f>
        <v>6.5624999999999998E-3</v>
      </c>
      <c r="L917" s="5">
        <f>207 / 86400</f>
        <v>2.3958333333333331E-3</v>
      </c>
    </row>
    <row r="918" spans="1:12" x14ac:dyDescent="0.25">
      <c r="A918" s="3">
        <v>45692.245694444442</v>
      </c>
      <c r="B918" t="s">
        <v>202</v>
      </c>
      <c r="C918" s="3">
        <v>45692.245949074073</v>
      </c>
      <c r="D918" t="s">
        <v>202</v>
      </c>
      <c r="E918" s="4">
        <v>0</v>
      </c>
      <c r="F918" s="4">
        <v>21342.865000000002</v>
      </c>
      <c r="G918" s="4">
        <v>21342.865000000002</v>
      </c>
      <c r="H918" s="5">
        <f>19 / 86400</f>
        <v>2.199074074074074E-4</v>
      </c>
      <c r="I918" t="s">
        <v>55</v>
      </c>
      <c r="J918" t="s">
        <v>55</v>
      </c>
      <c r="K918" s="5">
        <f>21 / 86400</f>
        <v>2.4305555555555555E-4</v>
      </c>
      <c r="L918" s="5">
        <f>311 / 86400</f>
        <v>3.5995370370370369E-3</v>
      </c>
    </row>
    <row r="919" spans="1:12" x14ac:dyDescent="0.25">
      <c r="A919" s="3">
        <v>45692.249548611115</v>
      </c>
      <c r="B919" t="s">
        <v>202</v>
      </c>
      <c r="C919" s="3">
        <v>45692.249594907407</v>
      </c>
      <c r="D919" t="s">
        <v>202</v>
      </c>
      <c r="E919" s="4">
        <v>0</v>
      </c>
      <c r="F919" s="4">
        <v>21342.865000000002</v>
      </c>
      <c r="G919" s="4">
        <v>21342.865000000002</v>
      </c>
      <c r="H919" s="5">
        <f>0 / 86400</f>
        <v>0</v>
      </c>
      <c r="I919" t="s">
        <v>55</v>
      </c>
      <c r="J919" t="s">
        <v>55</v>
      </c>
      <c r="K919" s="5">
        <f>4 / 86400</f>
        <v>4.6296296296296294E-5</v>
      </c>
      <c r="L919" s="5">
        <f>310 / 86400</f>
        <v>3.5879629629629629E-3</v>
      </c>
    </row>
    <row r="920" spans="1:12" x14ac:dyDescent="0.25">
      <c r="A920" s="3">
        <v>45692.253182870365</v>
      </c>
      <c r="B920" t="s">
        <v>202</v>
      </c>
      <c r="C920" s="3">
        <v>45692.254664351851</v>
      </c>
      <c r="D920" t="s">
        <v>202</v>
      </c>
      <c r="E920" s="4">
        <v>0</v>
      </c>
      <c r="F920" s="4">
        <v>21342.865000000002</v>
      </c>
      <c r="G920" s="4">
        <v>21342.865000000002</v>
      </c>
      <c r="H920" s="5">
        <f>119 / 86400</f>
        <v>1.3773148148148147E-3</v>
      </c>
      <c r="I920" t="s">
        <v>55</v>
      </c>
      <c r="J920" t="s">
        <v>55</v>
      </c>
      <c r="K920" s="5">
        <f>128 / 86400</f>
        <v>1.4814814814814814E-3</v>
      </c>
      <c r="L920" s="5">
        <f>3958 / 86400</f>
        <v>4.5810185185185183E-2</v>
      </c>
    </row>
    <row r="921" spans="1:12" x14ac:dyDescent="0.25">
      <c r="A921" s="3">
        <v>45692.300474537042</v>
      </c>
      <c r="B921" t="s">
        <v>202</v>
      </c>
      <c r="C921" s="3">
        <v>45692.304351851853</v>
      </c>
      <c r="D921" t="s">
        <v>44</v>
      </c>
      <c r="E921" s="4">
        <v>1.5149999999999999</v>
      </c>
      <c r="F921" s="4">
        <v>21342.865000000002</v>
      </c>
      <c r="G921" s="4">
        <v>21344.38</v>
      </c>
      <c r="H921" s="5">
        <f>0 / 86400</f>
        <v>0</v>
      </c>
      <c r="I921" t="s">
        <v>204</v>
      </c>
      <c r="J921" t="s">
        <v>36</v>
      </c>
      <c r="K921" s="5">
        <f>335 / 86400</f>
        <v>3.8773148148148148E-3</v>
      </c>
      <c r="L921" s="5">
        <f>4910 / 86400</f>
        <v>5.6828703703703701E-2</v>
      </c>
    </row>
    <row r="922" spans="1:12" x14ac:dyDescent="0.25">
      <c r="A922" s="3">
        <v>45692.361180555556</v>
      </c>
      <c r="B922" t="s">
        <v>44</v>
      </c>
      <c r="C922" s="3">
        <v>45692.361574074079</v>
      </c>
      <c r="D922" t="s">
        <v>44</v>
      </c>
      <c r="E922" s="4">
        <v>0</v>
      </c>
      <c r="F922" s="4">
        <v>21344.38</v>
      </c>
      <c r="G922" s="4">
        <v>21344.38</v>
      </c>
      <c r="H922" s="5">
        <f>19 / 86400</f>
        <v>2.199074074074074E-4</v>
      </c>
      <c r="I922" t="s">
        <v>55</v>
      </c>
      <c r="J922" t="s">
        <v>55</v>
      </c>
      <c r="K922" s="5">
        <f>33 / 86400</f>
        <v>3.8194444444444446E-4</v>
      </c>
      <c r="L922" s="5">
        <f>64 / 86400</f>
        <v>7.407407407407407E-4</v>
      </c>
    </row>
    <row r="923" spans="1:12" x14ac:dyDescent="0.25">
      <c r="A923" s="3">
        <v>45692.362314814818</v>
      </c>
      <c r="B923" t="s">
        <v>44</v>
      </c>
      <c r="C923" s="3">
        <v>45692.363287037035</v>
      </c>
      <c r="D923" t="s">
        <v>44</v>
      </c>
      <c r="E923" s="4">
        <v>0</v>
      </c>
      <c r="F923" s="4">
        <v>21344.38</v>
      </c>
      <c r="G923" s="4">
        <v>21344.38</v>
      </c>
      <c r="H923" s="5">
        <f>79 / 86400</f>
        <v>9.1435185185185185E-4</v>
      </c>
      <c r="I923" t="s">
        <v>55</v>
      </c>
      <c r="J923" t="s">
        <v>55</v>
      </c>
      <c r="K923" s="5">
        <f>83 / 86400</f>
        <v>9.6064814814814819E-4</v>
      </c>
      <c r="L923" s="5">
        <f>1427 / 86400</f>
        <v>1.6516203703703703E-2</v>
      </c>
    </row>
    <row r="924" spans="1:12" x14ac:dyDescent="0.25">
      <c r="A924" s="3">
        <v>45692.379803240736</v>
      </c>
      <c r="B924" t="s">
        <v>44</v>
      </c>
      <c r="C924" s="3">
        <v>45692.573298611111</v>
      </c>
      <c r="D924" t="s">
        <v>148</v>
      </c>
      <c r="E924" s="4">
        <v>80.448999999999998</v>
      </c>
      <c r="F924" s="4">
        <v>21344.38</v>
      </c>
      <c r="G924" s="4">
        <v>21424.829000000002</v>
      </c>
      <c r="H924" s="5">
        <f>4819 / 86400</f>
        <v>5.5775462962962964E-2</v>
      </c>
      <c r="I924" t="s">
        <v>108</v>
      </c>
      <c r="J924" t="s">
        <v>25</v>
      </c>
      <c r="K924" s="5">
        <f>16717 / 86400</f>
        <v>0.19348379629629631</v>
      </c>
      <c r="L924" s="5">
        <f>482 / 86400</f>
        <v>5.5787037037037038E-3</v>
      </c>
    </row>
    <row r="925" spans="1:12" x14ac:dyDescent="0.25">
      <c r="A925" s="3">
        <v>45692.578877314816</v>
      </c>
      <c r="B925" t="s">
        <v>148</v>
      </c>
      <c r="C925" s="3">
        <v>45692.582557870366</v>
      </c>
      <c r="D925" t="s">
        <v>128</v>
      </c>
      <c r="E925" s="4">
        <v>1.3169999999999999</v>
      </c>
      <c r="F925" s="4">
        <v>21424.829000000002</v>
      </c>
      <c r="G925" s="4">
        <v>21426.146000000001</v>
      </c>
      <c r="H925" s="5">
        <f>0 / 86400</f>
        <v>0</v>
      </c>
      <c r="I925" t="s">
        <v>152</v>
      </c>
      <c r="J925" t="s">
        <v>20</v>
      </c>
      <c r="K925" s="5">
        <f>318 / 86400</f>
        <v>3.6805555555555554E-3</v>
      </c>
      <c r="L925" s="5">
        <f>301 / 86400</f>
        <v>3.4837962962962965E-3</v>
      </c>
    </row>
    <row r="926" spans="1:12" x14ac:dyDescent="0.25">
      <c r="A926" s="3">
        <v>45692.586041666669</v>
      </c>
      <c r="B926" t="s">
        <v>128</v>
      </c>
      <c r="C926" s="3">
        <v>45692.589618055557</v>
      </c>
      <c r="D926" t="s">
        <v>272</v>
      </c>
      <c r="E926" s="4">
        <v>0.63700000000000001</v>
      </c>
      <c r="F926" s="4">
        <v>21426.146000000001</v>
      </c>
      <c r="G926" s="4">
        <v>21426.782999999999</v>
      </c>
      <c r="H926" s="5">
        <f>120 / 86400</f>
        <v>1.3888888888888889E-3</v>
      </c>
      <c r="I926" t="s">
        <v>152</v>
      </c>
      <c r="J926" t="s">
        <v>43</v>
      </c>
      <c r="K926" s="5">
        <f>308 / 86400</f>
        <v>3.5648148148148149E-3</v>
      </c>
      <c r="L926" s="5">
        <f>500 / 86400</f>
        <v>5.7870370370370367E-3</v>
      </c>
    </row>
    <row r="927" spans="1:12" x14ac:dyDescent="0.25">
      <c r="A927" s="3">
        <v>45692.595405092594</v>
      </c>
      <c r="B927" t="s">
        <v>272</v>
      </c>
      <c r="C927" s="3">
        <v>45692.863923611112</v>
      </c>
      <c r="D927" t="s">
        <v>230</v>
      </c>
      <c r="E927" s="4">
        <v>93.521000000000001</v>
      </c>
      <c r="F927" s="4">
        <v>21426.782999999999</v>
      </c>
      <c r="G927" s="4">
        <v>21520.304</v>
      </c>
      <c r="H927" s="5">
        <f>7397 / 86400</f>
        <v>8.5613425925925926E-2</v>
      </c>
      <c r="I927" t="s">
        <v>244</v>
      </c>
      <c r="J927" t="s">
        <v>20</v>
      </c>
      <c r="K927" s="5">
        <f>23200 / 86400</f>
        <v>0.26851851851851855</v>
      </c>
      <c r="L927" s="5">
        <f>712 / 86400</f>
        <v>8.2407407407407412E-3</v>
      </c>
    </row>
    <row r="928" spans="1:12" x14ac:dyDescent="0.25">
      <c r="A928" s="3">
        <v>45692.872164351851</v>
      </c>
      <c r="B928" t="s">
        <v>230</v>
      </c>
      <c r="C928" s="3">
        <v>45692.876446759255</v>
      </c>
      <c r="D928" t="s">
        <v>91</v>
      </c>
      <c r="E928" s="4">
        <v>1.4410000000000001</v>
      </c>
      <c r="F928" s="4">
        <v>21520.304</v>
      </c>
      <c r="G928" s="4">
        <v>21521.744999999999</v>
      </c>
      <c r="H928" s="5">
        <f>80 / 86400</f>
        <v>9.2592592592592596E-4</v>
      </c>
      <c r="I928" t="s">
        <v>189</v>
      </c>
      <c r="J928" t="s">
        <v>28</v>
      </c>
      <c r="K928" s="5">
        <f>369 / 86400</f>
        <v>4.2708333333333331E-3</v>
      </c>
      <c r="L928" s="5">
        <f>10674 / 86400</f>
        <v>0.12354166666666666</v>
      </c>
    </row>
    <row r="929" spans="1:12" x14ac:dyDescent="0.25">
      <c r="A929" s="12"/>
      <c r="B929" s="12"/>
      <c r="C929" s="12"/>
      <c r="D929" s="12"/>
      <c r="E929" s="12"/>
      <c r="F929" s="12"/>
      <c r="G929" s="12"/>
      <c r="H929" s="12"/>
      <c r="I929" s="12"/>
      <c r="J929" s="12"/>
    </row>
    <row r="930" spans="1:12" x14ac:dyDescent="0.25">
      <c r="A930" s="12"/>
      <c r="B930" s="12"/>
      <c r="C930" s="12"/>
      <c r="D930" s="12"/>
      <c r="E930" s="12"/>
      <c r="F930" s="12"/>
      <c r="G930" s="12"/>
      <c r="H930" s="12"/>
      <c r="I930" s="12"/>
      <c r="J930" s="12"/>
    </row>
    <row r="931" spans="1:12" s="10" customFormat="1" ht="20.100000000000001" customHeight="1" x14ac:dyDescent="0.35">
      <c r="A931" s="15" t="s">
        <v>337</v>
      </c>
      <c r="B931" s="15"/>
      <c r="C931" s="15"/>
      <c r="D931" s="15"/>
      <c r="E931" s="15"/>
      <c r="F931" s="15"/>
      <c r="G931" s="15"/>
      <c r="H931" s="15"/>
      <c r="I931" s="15"/>
      <c r="J931" s="15"/>
    </row>
    <row r="932" spans="1:12" x14ac:dyDescent="0.25">
      <c r="A932" s="12"/>
      <c r="B932" s="12"/>
      <c r="C932" s="12"/>
      <c r="D932" s="12"/>
      <c r="E932" s="12"/>
      <c r="F932" s="12"/>
      <c r="G932" s="12"/>
      <c r="H932" s="12"/>
      <c r="I932" s="12"/>
      <c r="J932" s="12"/>
    </row>
    <row r="933" spans="1:12" ht="30" x14ac:dyDescent="0.25">
      <c r="A933" s="2" t="s">
        <v>6</v>
      </c>
      <c r="B933" s="2" t="s">
        <v>7</v>
      </c>
      <c r="C933" s="2" t="s">
        <v>8</v>
      </c>
      <c r="D933" s="2" t="s">
        <v>9</v>
      </c>
      <c r="E933" s="2" t="s">
        <v>10</v>
      </c>
      <c r="F933" s="2" t="s">
        <v>11</v>
      </c>
      <c r="G933" s="2" t="s">
        <v>12</v>
      </c>
      <c r="H933" s="2" t="s">
        <v>13</v>
      </c>
      <c r="I933" s="2" t="s">
        <v>14</v>
      </c>
      <c r="J933" s="2" t="s">
        <v>15</v>
      </c>
      <c r="K933" s="2" t="s">
        <v>16</v>
      </c>
      <c r="L933" s="2" t="s">
        <v>17</v>
      </c>
    </row>
    <row r="934" spans="1:12" x14ac:dyDescent="0.25">
      <c r="A934" s="3">
        <v>45692.212118055555</v>
      </c>
      <c r="B934" t="s">
        <v>34</v>
      </c>
      <c r="C934" s="3">
        <v>45692.460185185184</v>
      </c>
      <c r="D934" t="s">
        <v>128</v>
      </c>
      <c r="E934" s="4">
        <v>80.713999999999999</v>
      </c>
      <c r="F934" s="4">
        <v>62812.813000000002</v>
      </c>
      <c r="G934" s="4">
        <v>62893.527000000002</v>
      </c>
      <c r="H934" s="5">
        <f>9197 / 86400</f>
        <v>0.10644675925925925</v>
      </c>
      <c r="I934" t="s">
        <v>108</v>
      </c>
      <c r="J934" t="s">
        <v>28</v>
      </c>
      <c r="K934" s="5">
        <f>21432 / 86400</f>
        <v>0.24805555555555556</v>
      </c>
      <c r="L934" s="5">
        <f>21375 / 86400</f>
        <v>0.24739583333333334</v>
      </c>
    </row>
    <row r="935" spans="1:12" x14ac:dyDescent="0.25">
      <c r="A935" s="3">
        <v>45692.495462962965</v>
      </c>
      <c r="B935" t="s">
        <v>128</v>
      </c>
      <c r="C935" s="3">
        <v>45692.495474537034</v>
      </c>
      <c r="D935" t="s">
        <v>128</v>
      </c>
      <c r="E935" s="4">
        <v>0</v>
      </c>
      <c r="F935" s="4">
        <v>62893.527000000002</v>
      </c>
      <c r="G935" s="4">
        <v>62893.527000000002</v>
      </c>
      <c r="H935" s="5">
        <f>0 / 86400</f>
        <v>0</v>
      </c>
      <c r="I935" t="s">
        <v>55</v>
      </c>
      <c r="J935" t="s">
        <v>55</v>
      </c>
      <c r="K935" s="5">
        <f>0 / 86400</f>
        <v>0</v>
      </c>
      <c r="L935" s="5">
        <f>5 / 86400</f>
        <v>5.7870370370370373E-5</v>
      </c>
    </row>
    <row r="936" spans="1:12" x14ac:dyDescent="0.25">
      <c r="A936" s="3">
        <v>45692.495532407411</v>
      </c>
      <c r="B936" t="s">
        <v>128</v>
      </c>
      <c r="C936" s="3">
        <v>45692.6409375</v>
      </c>
      <c r="D936" t="s">
        <v>34</v>
      </c>
      <c r="E936" s="4">
        <v>61.091000000000001</v>
      </c>
      <c r="F936" s="4">
        <v>62893.527000000002</v>
      </c>
      <c r="G936" s="4">
        <v>62954.618000000002</v>
      </c>
      <c r="H936" s="5">
        <f>4115 / 86400</f>
        <v>4.7627314814814817E-2</v>
      </c>
      <c r="I936" t="s">
        <v>83</v>
      </c>
      <c r="J936" t="s">
        <v>31</v>
      </c>
      <c r="K936" s="5">
        <f>12563 / 86400</f>
        <v>0.1454050925925926</v>
      </c>
      <c r="L936" s="5">
        <f>31022 / 86400</f>
        <v>0.35905092592592591</v>
      </c>
    </row>
    <row r="937" spans="1:12" x14ac:dyDescent="0.25">
      <c r="A937" s="12"/>
      <c r="B937" s="12"/>
      <c r="C937" s="12"/>
      <c r="D937" s="12"/>
      <c r="E937" s="12"/>
      <c r="F937" s="12"/>
      <c r="G937" s="12"/>
      <c r="H937" s="12"/>
      <c r="I937" s="12"/>
      <c r="J937" s="12"/>
    </row>
    <row r="938" spans="1:12" x14ac:dyDescent="0.25">
      <c r="A938" s="12"/>
      <c r="B938" s="12"/>
      <c r="C938" s="12"/>
      <c r="D938" s="12"/>
      <c r="E938" s="12"/>
      <c r="F938" s="12"/>
      <c r="G938" s="12"/>
      <c r="H938" s="12"/>
      <c r="I938" s="12"/>
      <c r="J938" s="12"/>
    </row>
    <row r="939" spans="1:12" s="10" customFormat="1" ht="20.100000000000001" customHeight="1" x14ac:dyDescent="0.35">
      <c r="A939" s="15" t="s">
        <v>338</v>
      </c>
      <c r="B939" s="15"/>
      <c r="C939" s="15"/>
      <c r="D939" s="15"/>
      <c r="E939" s="15"/>
      <c r="F939" s="15"/>
      <c r="G939" s="15"/>
      <c r="H939" s="15"/>
      <c r="I939" s="15"/>
      <c r="J939" s="15"/>
    </row>
    <row r="940" spans="1:12" x14ac:dyDescent="0.25">
      <c r="A940" s="12"/>
      <c r="B940" s="12"/>
      <c r="C940" s="12"/>
      <c r="D940" s="12"/>
      <c r="E940" s="12"/>
      <c r="F940" s="12"/>
      <c r="G940" s="12"/>
      <c r="H940" s="12"/>
      <c r="I940" s="12"/>
      <c r="J940" s="12"/>
    </row>
    <row r="941" spans="1:12" ht="30" x14ac:dyDescent="0.25">
      <c r="A941" s="2" t="s">
        <v>6</v>
      </c>
      <c r="B941" s="2" t="s">
        <v>7</v>
      </c>
      <c r="C941" s="2" t="s">
        <v>8</v>
      </c>
      <c r="D941" s="2" t="s">
        <v>9</v>
      </c>
      <c r="E941" s="2" t="s">
        <v>10</v>
      </c>
      <c r="F941" s="2" t="s">
        <v>11</v>
      </c>
      <c r="G941" s="2" t="s">
        <v>12</v>
      </c>
      <c r="H941" s="2" t="s">
        <v>13</v>
      </c>
      <c r="I941" s="2" t="s">
        <v>14</v>
      </c>
      <c r="J941" s="2" t="s">
        <v>15</v>
      </c>
      <c r="K941" s="2" t="s">
        <v>16</v>
      </c>
      <c r="L941" s="2" t="s">
        <v>17</v>
      </c>
    </row>
    <row r="942" spans="1:12" x14ac:dyDescent="0.25">
      <c r="A942" s="3">
        <v>45692.262766203705</v>
      </c>
      <c r="B942" t="s">
        <v>66</v>
      </c>
      <c r="C942" s="3">
        <v>45692.267696759256</v>
      </c>
      <c r="D942" t="s">
        <v>273</v>
      </c>
      <c r="E942" s="4">
        <v>1.2230000000000001</v>
      </c>
      <c r="F942" s="4">
        <v>4059.8009999999999</v>
      </c>
      <c r="G942" s="4">
        <v>4061.0239999999999</v>
      </c>
      <c r="H942" s="5">
        <f>159 / 86400</f>
        <v>1.8402777777777777E-3</v>
      </c>
      <c r="I942" t="s">
        <v>147</v>
      </c>
      <c r="J942" t="s">
        <v>158</v>
      </c>
      <c r="K942" s="5">
        <f>426 / 86400</f>
        <v>4.9305555555555552E-3</v>
      </c>
      <c r="L942" s="5">
        <f>22841 / 86400</f>
        <v>0.26436342592592593</v>
      </c>
    </row>
    <row r="943" spans="1:12" x14ac:dyDescent="0.25">
      <c r="A943" s="3">
        <v>45692.269293981481</v>
      </c>
      <c r="B943" t="s">
        <v>273</v>
      </c>
      <c r="C943" s="3">
        <v>45692.331134259264</v>
      </c>
      <c r="D943" t="s">
        <v>226</v>
      </c>
      <c r="E943" s="4">
        <v>33.850999999999999</v>
      </c>
      <c r="F943" s="4">
        <v>4061.0239999999999</v>
      </c>
      <c r="G943" s="4">
        <v>4094.875</v>
      </c>
      <c r="H943" s="5">
        <f>941 / 86400</f>
        <v>1.0891203703703703E-2</v>
      </c>
      <c r="I943" t="s">
        <v>234</v>
      </c>
      <c r="J943" t="s">
        <v>136</v>
      </c>
      <c r="K943" s="5">
        <f>5343 / 86400</f>
        <v>6.1840277777777779E-2</v>
      </c>
      <c r="L943" s="5">
        <f>348 / 86400</f>
        <v>4.0277777777777777E-3</v>
      </c>
    </row>
    <row r="944" spans="1:12" x14ac:dyDescent="0.25">
      <c r="A944" s="3">
        <v>45692.335162037038</v>
      </c>
      <c r="B944" t="s">
        <v>226</v>
      </c>
      <c r="C944" s="3">
        <v>45692.606770833328</v>
      </c>
      <c r="D944" t="s">
        <v>121</v>
      </c>
      <c r="E944" s="4">
        <v>101.3</v>
      </c>
      <c r="F944" s="4">
        <v>4094.875</v>
      </c>
      <c r="G944" s="4">
        <v>4196.1750000000002</v>
      </c>
      <c r="H944" s="5">
        <f>7648 / 86400</f>
        <v>8.8518518518518524E-2</v>
      </c>
      <c r="I944" t="s">
        <v>109</v>
      </c>
      <c r="J944" t="s">
        <v>36</v>
      </c>
      <c r="K944" s="5">
        <f>23467 / 86400</f>
        <v>0.27160879629629631</v>
      </c>
      <c r="L944" s="5">
        <f>231 / 86400</f>
        <v>2.673611111111111E-3</v>
      </c>
    </row>
    <row r="945" spans="1:12" x14ac:dyDescent="0.25">
      <c r="A945" s="3">
        <v>45692.609444444446</v>
      </c>
      <c r="B945" t="s">
        <v>121</v>
      </c>
      <c r="C945" s="3">
        <v>45692.611192129625</v>
      </c>
      <c r="D945" t="s">
        <v>175</v>
      </c>
      <c r="E945" s="4">
        <v>0.318</v>
      </c>
      <c r="F945" s="4">
        <v>4196.1750000000002</v>
      </c>
      <c r="G945" s="4">
        <v>4196.4930000000004</v>
      </c>
      <c r="H945" s="5">
        <f>60 / 86400</f>
        <v>6.9444444444444447E-4</v>
      </c>
      <c r="I945" t="s">
        <v>122</v>
      </c>
      <c r="J945" t="s">
        <v>135</v>
      </c>
      <c r="K945" s="5">
        <f>151 / 86400</f>
        <v>1.7476851851851852E-3</v>
      </c>
      <c r="L945" s="5">
        <f>73 / 86400</f>
        <v>8.4490740740740739E-4</v>
      </c>
    </row>
    <row r="946" spans="1:12" x14ac:dyDescent="0.25">
      <c r="A946" s="3">
        <v>45692.612037037034</v>
      </c>
      <c r="B946" t="s">
        <v>175</v>
      </c>
      <c r="C946" s="3">
        <v>45692.614537037036</v>
      </c>
      <c r="D946" t="s">
        <v>226</v>
      </c>
      <c r="E946" s="4">
        <v>0.82</v>
      </c>
      <c r="F946" s="4">
        <v>4196.4930000000004</v>
      </c>
      <c r="G946" s="4">
        <v>4197.3130000000001</v>
      </c>
      <c r="H946" s="5">
        <f>0 / 86400</f>
        <v>0</v>
      </c>
      <c r="I946" t="s">
        <v>173</v>
      </c>
      <c r="J946" t="s">
        <v>28</v>
      </c>
      <c r="K946" s="5">
        <f>216 / 86400</f>
        <v>2.5000000000000001E-3</v>
      </c>
      <c r="L946" s="5">
        <f>1343 / 86400</f>
        <v>1.5543981481481482E-2</v>
      </c>
    </row>
    <row r="947" spans="1:12" x14ac:dyDescent="0.25">
      <c r="A947" s="3">
        <v>45692.63008101852</v>
      </c>
      <c r="B947" t="s">
        <v>226</v>
      </c>
      <c r="C947" s="3">
        <v>45692.702916666662</v>
      </c>
      <c r="D947" t="s">
        <v>18</v>
      </c>
      <c r="E947" s="4">
        <v>35.292000000000002</v>
      </c>
      <c r="F947" s="4">
        <v>4197.3130000000001</v>
      </c>
      <c r="G947" s="4">
        <v>4232.6049999999996</v>
      </c>
      <c r="H947" s="5">
        <f>1539 / 86400</f>
        <v>1.7812499999999998E-2</v>
      </c>
      <c r="I947" t="s">
        <v>53</v>
      </c>
      <c r="J947" t="s">
        <v>114</v>
      </c>
      <c r="K947" s="5">
        <f>6293 / 86400</f>
        <v>7.2835648148148149E-2</v>
      </c>
      <c r="L947" s="5">
        <f>6025 / 86400</f>
        <v>6.9733796296296294E-2</v>
      </c>
    </row>
    <row r="948" spans="1:12" x14ac:dyDescent="0.25">
      <c r="A948" s="3">
        <v>45692.772650462968</v>
      </c>
      <c r="B948" t="s">
        <v>18</v>
      </c>
      <c r="C948" s="3">
        <v>45692.775763888887</v>
      </c>
      <c r="D948" t="s">
        <v>66</v>
      </c>
      <c r="E948" s="4">
        <v>0.41299999999999998</v>
      </c>
      <c r="F948" s="4">
        <v>4232.6049999999996</v>
      </c>
      <c r="G948" s="4">
        <v>4233.018</v>
      </c>
      <c r="H948" s="5">
        <f>139 / 86400</f>
        <v>1.6087962962962963E-3</v>
      </c>
      <c r="I948" t="s">
        <v>20</v>
      </c>
      <c r="J948" t="s">
        <v>137</v>
      </c>
      <c r="K948" s="5">
        <f>269 / 86400</f>
        <v>3.1134259259259257E-3</v>
      </c>
      <c r="L948" s="5">
        <f>19373 / 86400</f>
        <v>0.22422453703703704</v>
      </c>
    </row>
    <row r="949" spans="1:12" x14ac:dyDescent="0.25">
      <c r="A949" s="12"/>
      <c r="B949" s="12"/>
      <c r="C949" s="12"/>
      <c r="D949" s="12"/>
      <c r="E949" s="12"/>
      <c r="F949" s="12"/>
      <c r="G949" s="12"/>
      <c r="H949" s="12"/>
      <c r="I949" s="12"/>
      <c r="J949" s="12"/>
    </row>
    <row r="950" spans="1:12" x14ac:dyDescent="0.25">
      <c r="A950" s="12"/>
      <c r="B950" s="12"/>
      <c r="C950" s="12"/>
      <c r="D950" s="12"/>
      <c r="E950" s="12"/>
      <c r="F950" s="12"/>
      <c r="G950" s="12"/>
      <c r="H950" s="12"/>
      <c r="I950" s="12"/>
      <c r="J950" s="12"/>
    </row>
    <row r="951" spans="1:12" s="10" customFormat="1" ht="20.100000000000001" customHeight="1" x14ac:dyDescent="0.35">
      <c r="A951" s="15" t="s">
        <v>339</v>
      </c>
      <c r="B951" s="15"/>
      <c r="C951" s="15"/>
      <c r="D951" s="15"/>
      <c r="E951" s="15"/>
      <c r="F951" s="15"/>
      <c r="G951" s="15"/>
      <c r="H951" s="15"/>
      <c r="I951" s="15"/>
      <c r="J951" s="15"/>
    </row>
    <row r="952" spans="1:12" x14ac:dyDescent="0.25">
      <c r="A952" s="12"/>
      <c r="B952" s="12"/>
      <c r="C952" s="12"/>
      <c r="D952" s="12"/>
      <c r="E952" s="12"/>
      <c r="F952" s="12"/>
      <c r="G952" s="12"/>
      <c r="H952" s="12"/>
      <c r="I952" s="12"/>
      <c r="J952" s="12"/>
    </row>
    <row r="953" spans="1:12" ht="30" x14ac:dyDescent="0.25">
      <c r="A953" s="2" t="s">
        <v>6</v>
      </c>
      <c r="B953" s="2" t="s">
        <v>7</v>
      </c>
      <c r="C953" s="2" t="s">
        <v>8</v>
      </c>
      <c r="D953" s="2" t="s">
        <v>9</v>
      </c>
      <c r="E953" s="2" t="s">
        <v>10</v>
      </c>
      <c r="F953" s="2" t="s">
        <v>11</v>
      </c>
      <c r="G953" s="2" t="s">
        <v>12</v>
      </c>
      <c r="H953" s="2" t="s">
        <v>13</v>
      </c>
      <c r="I953" s="2" t="s">
        <v>14</v>
      </c>
      <c r="J953" s="2" t="s">
        <v>15</v>
      </c>
      <c r="K953" s="2" t="s">
        <v>16</v>
      </c>
      <c r="L953" s="2" t="s">
        <v>17</v>
      </c>
    </row>
    <row r="954" spans="1:12" x14ac:dyDescent="0.25">
      <c r="A954" s="3">
        <v>45692</v>
      </c>
      <c r="B954" t="s">
        <v>63</v>
      </c>
      <c r="C954" s="3">
        <v>45692.074537037042</v>
      </c>
      <c r="D954" t="s">
        <v>74</v>
      </c>
      <c r="E954" s="4">
        <v>42.927</v>
      </c>
      <c r="F954" s="4">
        <v>406379.14500000002</v>
      </c>
      <c r="G954" s="4">
        <v>406422.07199999999</v>
      </c>
      <c r="H954" s="5">
        <f>1642 / 86400</f>
        <v>1.9004629629629628E-2</v>
      </c>
      <c r="I954" t="s">
        <v>105</v>
      </c>
      <c r="J954" t="s">
        <v>150</v>
      </c>
      <c r="K954" s="5">
        <f>6440 / 86400</f>
        <v>7.4537037037037041E-2</v>
      </c>
      <c r="L954" s="5">
        <f>109 / 86400</f>
        <v>1.261574074074074E-3</v>
      </c>
    </row>
    <row r="955" spans="1:12" x14ac:dyDescent="0.25">
      <c r="A955" s="3">
        <v>45692.075798611113</v>
      </c>
      <c r="B955" t="s">
        <v>74</v>
      </c>
      <c r="C955" s="3">
        <v>45692.13961805556</v>
      </c>
      <c r="D955" t="s">
        <v>274</v>
      </c>
      <c r="E955" s="4">
        <v>30.411999999999999</v>
      </c>
      <c r="F955" s="4">
        <v>406422.07199999999</v>
      </c>
      <c r="G955" s="4">
        <v>406452.484</v>
      </c>
      <c r="H955" s="5">
        <f>839 / 86400</f>
        <v>9.7106481481481488E-3</v>
      </c>
      <c r="I955" t="s">
        <v>195</v>
      </c>
      <c r="J955" t="s">
        <v>114</v>
      </c>
      <c r="K955" s="5">
        <f>5514 / 86400</f>
        <v>6.3819444444444443E-2</v>
      </c>
      <c r="L955" s="5">
        <f>79 / 86400</f>
        <v>9.1435185185185185E-4</v>
      </c>
    </row>
    <row r="956" spans="1:12" x14ac:dyDescent="0.25">
      <c r="A956" s="3">
        <v>45692.140532407408</v>
      </c>
      <c r="B956" t="s">
        <v>274</v>
      </c>
      <c r="C956" s="3">
        <v>45692.14267361111</v>
      </c>
      <c r="D956" t="s">
        <v>111</v>
      </c>
      <c r="E956" s="4">
        <v>1.171</v>
      </c>
      <c r="F956" s="4">
        <v>406452.484</v>
      </c>
      <c r="G956" s="4">
        <v>406453.65500000003</v>
      </c>
      <c r="H956" s="5">
        <f>0 / 86400</f>
        <v>0</v>
      </c>
      <c r="I956" t="s">
        <v>214</v>
      </c>
      <c r="J956" t="s">
        <v>136</v>
      </c>
      <c r="K956" s="5">
        <f>185 / 86400</f>
        <v>2.1412037037037038E-3</v>
      </c>
      <c r="L956" s="5">
        <f>446 / 86400</f>
        <v>5.162037037037037E-3</v>
      </c>
    </row>
    <row r="957" spans="1:12" x14ac:dyDescent="0.25">
      <c r="A957" s="3">
        <v>45692.147835648153</v>
      </c>
      <c r="B957" t="s">
        <v>111</v>
      </c>
      <c r="C957" s="3">
        <v>45692.1484375</v>
      </c>
      <c r="D957" t="s">
        <v>111</v>
      </c>
      <c r="E957" s="4">
        <v>0.108</v>
      </c>
      <c r="F957" s="4">
        <v>406453.65500000003</v>
      </c>
      <c r="G957" s="4">
        <v>406453.76299999998</v>
      </c>
      <c r="H957" s="5">
        <f>0 / 86400</f>
        <v>0</v>
      </c>
      <c r="I957" t="s">
        <v>58</v>
      </c>
      <c r="J957" t="s">
        <v>43</v>
      </c>
      <c r="K957" s="5">
        <f>52 / 86400</f>
        <v>6.018518518518519E-4</v>
      </c>
      <c r="L957" s="5">
        <f>3311 / 86400</f>
        <v>3.8321759259259257E-2</v>
      </c>
    </row>
    <row r="958" spans="1:12" x14ac:dyDescent="0.25">
      <c r="A958" s="3">
        <v>45692.186759259261</v>
      </c>
      <c r="B958" t="s">
        <v>111</v>
      </c>
      <c r="C958" s="3">
        <v>45692.192106481481</v>
      </c>
      <c r="D958" t="s">
        <v>26</v>
      </c>
      <c r="E958" s="4">
        <v>2.2879999999999998</v>
      </c>
      <c r="F958" s="4">
        <v>406453.76299999998</v>
      </c>
      <c r="G958" s="4">
        <v>406456.05099999998</v>
      </c>
      <c r="H958" s="5">
        <f>99 / 86400</f>
        <v>1.1458333333333333E-3</v>
      </c>
      <c r="I958" t="s">
        <v>219</v>
      </c>
      <c r="J958" t="s">
        <v>31</v>
      </c>
      <c r="K958" s="5">
        <f>462 / 86400</f>
        <v>5.347222222222222E-3</v>
      </c>
      <c r="L958" s="5">
        <f>777 / 86400</f>
        <v>8.9930555555555562E-3</v>
      </c>
    </row>
    <row r="959" spans="1:12" x14ac:dyDescent="0.25">
      <c r="A959" s="3">
        <v>45692.201099537036</v>
      </c>
      <c r="B959" t="s">
        <v>26</v>
      </c>
      <c r="C959" s="3">
        <v>45692.212372685186</v>
      </c>
      <c r="D959" t="s">
        <v>143</v>
      </c>
      <c r="E959" s="4">
        <v>5.7309999999999999</v>
      </c>
      <c r="F959" s="4">
        <v>406456.05099999998</v>
      </c>
      <c r="G959" s="4">
        <v>406461.78200000001</v>
      </c>
      <c r="H959" s="5">
        <f>139 / 86400</f>
        <v>1.6087962962962963E-3</v>
      </c>
      <c r="I959" t="s">
        <v>225</v>
      </c>
      <c r="J959" t="s">
        <v>142</v>
      </c>
      <c r="K959" s="5">
        <f>974 / 86400</f>
        <v>1.1273148148148148E-2</v>
      </c>
      <c r="L959" s="5">
        <f>232 / 86400</f>
        <v>2.685185185185185E-3</v>
      </c>
    </row>
    <row r="960" spans="1:12" x14ac:dyDescent="0.25">
      <c r="A960" s="3">
        <v>45692.215057870373</v>
      </c>
      <c r="B960" t="s">
        <v>143</v>
      </c>
      <c r="C960" s="3">
        <v>45692.222488425927</v>
      </c>
      <c r="D960" t="s">
        <v>171</v>
      </c>
      <c r="E960" s="4">
        <v>6.2460000000000004</v>
      </c>
      <c r="F960" s="4">
        <v>406461.78200000001</v>
      </c>
      <c r="G960" s="4">
        <v>406468.02799999999</v>
      </c>
      <c r="H960" s="5">
        <f>59 / 86400</f>
        <v>6.8287037037037036E-4</v>
      </c>
      <c r="I960" t="s">
        <v>30</v>
      </c>
      <c r="J960" t="s">
        <v>203</v>
      </c>
      <c r="K960" s="5">
        <f>642 / 86400</f>
        <v>7.4305555555555557E-3</v>
      </c>
      <c r="L960" s="5">
        <f>946 / 86400</f>
        <v>1.0949074074074075E-2</v>
      </c>
    </row>
    <row r="961" spans="1:12" x14ac:dyDescent="0.25">
      <c r="A961" s="3">
        <v>45692.233437499999</v>
      </c>
      <c r="B961" t="s">
        <v>171</v>
      </c>
      <c r="C961" s="3">
        <v>45692.360914351855</v>
      </c>
      <c r="D961" t="s">
        <v>148</v>
      </c>
      <c r="E961" s="4">
        <v>69.185000000000002</v>
      </c>
      <c r="F961" s="4">
        <v>406468.02799999999</v>
      </c>
      <c r="G961" s="4">
        <v>406537.21299999999</v>
      </c>
      <c r="H961" s="5">
        <f>2301 / 86400</f>
        <v>2.6631944444444444E-2</v>
      </c>
      <c r="I961" t="s">
        <v>33</v>
      </c>
      <c r="J961" t="s">
        <v>136</v>
      </c>
      <c r="K961" s="5">
        <f>11014 / 86400</f>
        <v>0.12747685185185184</v>
      </c>
      <c r="L961" s="5">
        <f>378 / 86400</f>
        <v>4.3750000000000004E-3</v>
      </c>
    </row>
    <row r="962" spans="1:12" x14ac:dyDescent="0.25">
      <c r="A962" s="3">
        <v>45692.365289351852</v>
      </c>
      <c r="B962" t="s">
        <v>148</v>
      </c>
      <c r="C962" s="3">
        <v>45692.368298611109</v>
      </c>
      <c r="D962" t="s">
        <v>230</v>
      </c>
      <c r="E962" s="4">
        <v>0.97799999999999998</v>
      </c>
      <c r="F962" s="4">
        <v>406537.21299999999</v>
      </c>
      <c r="G962" s="4">
        <v>406538.19099999999</v>
      </c>
      <c r="H962" s="5">
        <f>40 / 86400</f>
        <v>4.6296296296296298E-4</v>
      </c>
      <c r="I962" t="s">
        <v>159</v>
      </c>
      <c r="J962" t="s">
        <v>28</v>
      </c>
      <c r="K962" s="5">
        <f>260 / 86400</f>
        <v>3.0092592592592593E-3</v>
      </c>
      <c r="L962" s="5">
        <f>2017 / 86400</f>
        <v>2.3344907407407408E-2</v>
      </c>
    </row>
    <row r="963" spans="1:12" x14ac:dyDescent="0.25">
      <c r="A963" s="3">
        <v>45692.391643518524</v>
      </c>
      <c r="B963" t="s">
        <v>230</v>
      </c>
      <c r="C963" s="3">
        <v>45692.605729166666</v>
      </c>
      <c r="D963" t="s">
        <v>111</v>
      </c>
      <c r="E963" s="4">
        <v>87.527000000000001</v>
      </c>
      <c r="F963" s="4">
        <v>406538.19099999999</v>
      </c>
      <c r="G963" s="4">
        <v>406625.71799999999</v>
      </c>
      <c r="H963" s="5">
        <f>6337 / 86400</f>
        <v>7.3344907407407414E-2</v>
      </c>
      <c r="I963" t="s">
        <v>107</v>
      </c>
      <c r="J963" t="s">
        <v>25</v>
      </c>
      <c r="K963" s="5">
        <f>18497 / 86400</f>
        <v>0.21408564814814815</v>
      </c>
      <c r="L963" s="5">
        <f>457 / 86400</f>
        <v>5.2893518518518515E-3</v>
      </c>
    </row>
    <row r="964" spans="1:12" x14ac:dyDescent="0.25">
      <c r="A964" s="3">
        <v>45692.611018518517</v>
      </c>
      <c r="B964" t="s">
        <v>111</v>
      </c>
      <c r="C964" s="3">
        <v>45692.611250000002</v>
      </c>
      <c r="D964" t="s">
        <v>111</v>
      </c>
      <c r="E964" s="4">
        <v>2.9000000000000001E-2</v>
      </c>
      <c r="F964" s="4">
        <v>406625.71799999999</v>
      </c>
      <c r="G964" s="4">
        <v>406625.74699999997</v>
      </c>
      <c r="H964" s="5">
        <f>0 / 86400</f>
        <v>0</v>
      </c>
      <c r="I964" t="s">
        <v>135</v>
      </c>
      <c r="J964" t="s">
        <v>119</v>
      </c>
      <c r="K964" s="5">
        <f>20 / 86400</f>
        <v>2.3148148148148149E-4</v>
      </c>
      <c r="L964" s="5">
        <f>468 / 86400</f>
        <v>5.4166666666666669E-3</v>
      </c>
    </row>
    <row r="965" spans="1:12" x14ac:dyDescent="0.25">
      <c r="A965" s="3">
        <v>45692.616666666669</v>
      </c>
      <c r="B965" t="s">
        <v>111</v>
      </c>
      <c r="C965" s="3">
        <v>45692.624710648146</v>
      </c>
      <c r="D965" t="s">
        <v>26</v>
      </c>
      <c r="E965" s="4">
        <v>3.2570000000000001</v>
      </c>
      <c r="F965" s="4">
        <v>406625.74699999997</v>
      </c>
      <c r="G965" s="4">
        <v>406629.00400000002</v>
      </c>
      <c r="H965" s="5">
        <f>199 / 86400</f>
        <v>2.3032407407407407E-3</v>
      </c>
      <c r="I965" t="s">
        <v>252</v>
      </c>
      <c r="J965" t="s">
        <v>25</v>
      </c>
      <c r="K965" s="5">
        <f>694 / 86400</f>
        <v>8.0324074074074082E-3</v>
      </c>
      <c r="L965" s="5">
        <f>7319 / 86400</f>
        <v>8.4710648148148146E-2</v>
      </c>
    </row>
    <row r="966" spans="1:12" x14ac:dyDescent="0.25">
      <c r="A966" s="3">
        <v>45692.709421296298</v>
      </c>
      <c r="B966" t="s">
        <v>26</v>
      </c>
      <c r="C966" s="3">
        <v>45692.739016203705</v>
      </c>
      <c r="D966" t="s">
        <v>23</v>
      </c>
      <c r="E966" s="4">
        <v>7.6420000000000003</v>
      </c>
      <c r="F966" s="4">
        <v>406629.00400000002</v>
      </c>
      <c r="G966" s="4">
        <v>406636.64600000001</v>
      </c>
      <c r="H966" s="5">
        <f>717 / 86400</f>
        <v>8.2986111111111108E-3</v>
      </c>
      <c r="I966" t="s">
        <v>139</v>
      </c>
      <c r="J966" t="s">
        <v>174</v>
      </c>
      <c r="K966" s="5">
        <f>2557 / 86400</f>
        <v>2.9594907407407407E-2</v>
      </c>
      <c r="L966" s="5">
        <f>639 / 86400</f>
        <v>7.3958333333333333E-3</v>
      </c>
    </row>
    <row r="967" spans="1:12" x14ac:dyDescent="0.25">
      <c r="A967" s="3">
        <v>45692.746412037042</v>
      </c>
      <c r="B967" t="s">
        <v>23</v>
      </c>
      <c r="C967" s="3">
        <v>45692.754270833335</v>
      </c>
      <c r="D967" t="s">
        <v>275</v>
      </c>
      <c r="E967" s="4">
        <v>2.3380000000000001</v>
      </c>
      <c r="F967" s="4">
        <v>406636.64600000001</v>
      </c>
      <c r="G967" s="4">
        <v>406638.984</v>
      </c>
      <c r="H967" s="5">
        <f>239 / 86400</f>
        <v>2.7662037037037039E-3</v>
      </c>
      <c r="I967" t="s">
        <v>216</v>
      </c>
      <c r="J967" t="s">
        <v>90</v>
      </c>
      <c r="K967" s="5">
        <f>678 / 86400</f>
        <v>7.8472222222222224E-3</v>
      </c>
      <c r="L967" s="5">
        <f>520 / 86400</f>
        <v>6.0185185185185185E-3</v>
      </c>
    </row>
    <row r="968" spans="1:12" x14ac:dyDescent="0.25">
      <c r="A968" s="3">
        <v>45692.760289351849</v>
      </c>
      <c r="B968" t="s">
        <v>275</v>
      </c>
      <c r="C968" s="3">
        <v>45692.762662037036</v>
      </c>
      <c r="D968" t="s">
        <v>26</v>
      </c>
      <c r="E968" s="4">
        <v>0.56999999999999995</v>
      </c>
      <c r="F968" s="4">
        <v>406638.984</v>
      </c>
      <c r="G968" s="4">
        <v>406639.554</v>
      </c>
      <c r="H968" s="5">
        <f>39 / 86400</f>
        <v>4.5138888888888887E-4</v>
      </c>
      <c r="I968" t="s">
        <v>136</v>
      </c>
      <c r="J968" t="s">
        <v>158</v>
      </c>
      <c r="K968" s="5">
        <f>204 / 86400</f>
        <v>2.3611111111111111E-3</v>
      </c>
      <c r="L968" s="5">
        <f>12865 / 86400</f>
        <v>0.14890046296296297</v>
      </c>
    </row>
    <row r="969" spans="1:12" x14ac:dyDescent="0.25">
      <c r="A969" s="3">
        <v>45692.911562499998</v>
      </c>
      <c r="B969" t="s">
        <v>26</v>
      </c>
      <c r="C969" s="3">
        <v>45692.914016203707</v>
      </c>
      <c r="D969" t="s">
        <v>26</v>
      </c>
      <c r="E969" s="4">
        <v>4.9000000000000002E-2</v>
      </c>
      <c r="F969" s="4">
        <v>406639.554</v>
      </c>
      <c r="G969" s="4">
        <v>406639.603</v>
      </c>
      <c r="H969" s="5">
        <f>139 / 86400</f>
        <v>1.6087962962962963E-3</v>
      </c>
      <c r="I969" t="s">
        <v>119</v>
      </c>
      <c r="J969" t="s">
        <v>125</v>
      </c>
      <c r="K969" s="5">
        <f>211 / 86400</f>
        <v>2.4421296296296296E-3</v>
      </c>
      <c r="L969" s="5">
        <f>7428 / 86400</f>
        <v>8.5972222222222228E-2</v>
      </c>
    </row>
    <row r="970" spans="1:12" x14ac:dyDescent="0.25">
      <c r="A970" s="12"/>
      <c r="B970" s="12"/>
      <c r="C970" s="12"/>
      <c r="D970" s="12"/>
      <c r="E970" s="12"/>
      <c r="F970" s="12"/>
      <c r="G970" s="12"/>
      <c r="H970" s="12"/>
      <c r="I970" s="12"/>
      <c r="J970" s="12"/>
    </row>
    <row r="971" spans="1:12" x14ac:dyDescent="0.25">
      <c r="A971" s="12"/>
      <c r="B971" s="12"/>
      <c r="C971" s="12"/>
      <c r="D971" s="12"/>
      <c r="E971" s="12"/>
      <c r="F971" s="12"/>
      <c r="G971" s="12"/>
      <c r="H971" s="12"/>
      <c r="I971" s="12"/>
      <c r="J971" s="12"/>
    </row>
    <row r="972" spans="1:12" s="10" customFormat="1" ht="20.100000000000001" customHeight="1" x14ac:dyDescent="0.35">
      <c r="A972" s="15" t="s">
        <v>340</v>
      </c>
      <c r="B972" s="15"/>
      <c r="C972" s="15"/>
      <c r="D972" s="15"/>
      <c r="E972" s="15"/>
      <c r="F972" s="15"/>
      <c r="G972" s="15"/>
      <c r="H972" s="15"/>
      <c r="I972" s="15"/>
      <c r="J972" s="15"/>
    </row>
    <row r="973" spans="1:12" x14ac:dyDescent="0.25">
      <c r="A973" s="12"/>
      <c r="B973" s="12"/>
      <c r="C973" s="12"/>
      <c r="D973" s="12"/>
      <c r="E973" s="12"/>
      <c r="F973" s="12"/>
      <c r="G973" s="12"/>
      <c r="H973" s="12"/>
      <c r="I973" s="12"/>
      <c r="J973" s="12"/>
    </row>
    <row r="974" spans="1:12" ht="30" x14ac:dyDescent="0.25">
      <c r="A974" s="2" t="s">
        <v>6</v>
      </c>
      <c r="B974" s="2" t="s">
        <v>7</v>
      </c>
      <c r="C974" s="2" t="s">
        <v>8</v>
      </c>
      <c r="D974" s="2" t="s">
        <v>9</v>
      </c>
      <c r="E974" s="2" t="s">
        <v>10</v>
      </c>
      <c r="F974" s="2" t="s">
        <v>11</v>
      </c>
      <c r="G974" s="2" t="s">
        <v>12</v>
      </c>
      <c r="H974" s="2" t="s">
        <v>13</v>
      </c>
      <c r="I974" s="2" t="s">
        <v>14</v>
      </c>
      <c r="J974" s="2" t="s">
        <v>15</v>
      </c>
      <c r="K974" s="2" t="s">
        <v>16</v>
      </c>
      <c r="L974" s="2" t="s">
        <v>17</v>
      </c>
    </row>
    <row r="975" spans="1:12" x14ac:dyDescent="0.25">
      <c r="A975" s="3">
        <v>45692</v>
      </c>
      <c r="B975" t="s">
        <v>110</v>
      </c>
      <c r="C975" s="3">
        <v>45692.048576388886</v>
      </c>
      <c r="D975" t="s">
        <v>276</v>
      </c>
      <c r="E975" s="4">
        <v>16.934999999999999</v>
      </c>
      <c r="F975" s="4">
        <v>547503.31499999994</v>
      </c>
      <c r="G975" s="4">
        <v>547520.25</v>
      </c>
      <c r="H975" s="5">
        <f>2180 / 86400</f>
        <v>2.5231481481481483E-2</v>
      </c>
      <c r="I975" t="s">
        <v>33</v>
      </c>
      <c r="J975" t="s">
        <v>20</v>
      </c>
      <c r="K975" s="5">
        <f>4197 / 86400</f>
        <v>4.8576388888888891E-2</v>
      </c>
      <c r="L975" s="5">
        <f>39327 / 86400</f>
        <v>0.4551736111111111</v>
      </c>
    </row>
    <row r="976" spans="1:12" x14ac:dyDescent="0.25">
      <c r="A976" s="3">
        <v>45692.503750000003</v>
      </c>
      <c r="B976" t="s">
        <v>276</v>
      </c>
      <c r="C976" s="3">
        <v>45692.996990740736</v>
      </c>
      <c r="D976" t="s">
        <v>111</v>
      </c>
      <c r="E976" s="4">
        <v>193.21199999999999</v>
      </c>
      <c r="F976" s="4">
        <v>547520.25</v>
      </c>
      <c r="G976" s="4">
        <v>547713.46200000006</v>
      </c>
      <c r="H976" s="5">
        <f>15537 / 86400</f>
        <v>0.17982638888888888</v>
      </c>
      <c r="I976" t="s">
        <v>67</v>
      </c>
      <c r="J976" t="s">
        <v>36</v>
      </c>
      <c r="K976" s="5">
        <f>42615 / 86400</f>
        <v>0.49322916666666666</v>
      </c>
      <c r="L976" s="5">
        <f>259 / 86400</f>
        <v>2.9976851851851853E-3</v>
      </c>
    </row>
    <row r="977" spans="1:12" x14ac:dyDescent="0.25">
      <c r="A977" s="12"/>
      <c r="B977" s="12"/>
      <c r="C977" s="12"/>
      <c r="D977" s="12"/>
      <c r="E977" s="12"/>
      <c r="F977" s="12"/>
      <c r="G977" s="12"/>
      <c r="H977" s="12"/>
      <c r="I977" s="12"/>
      <c r="J977" s="12"/>
    </row>
    <row r="978" spans="1:12" x14ac:dyDescent="0.25">
      <c r="A978" s="12"/>
      <c r="B978" s="12"/>
      <c r="C978" s="12"/>
      <c r="D978" s="12"/>
      <c r="E978" s="12"/>
      <c r="F978" s="12"/>
      <c r="G978" s="12"/>
      <c r="H978" s="12"/>
      <c r="I978" s="12"/>
      <c r="J978" s="12"/>
    </row>
    <row r="979" spans="1:12" s="10" customFormat="1" ht="20.100000000000001" customHeight="1" x14ac:dyDescent="0.35">
      <c r="A979" s="15" t="s">
        <v>341</v>
      </c>
      <c r="B979" s="15"/>
      <c r="C979" s="15"/>
      <c r="D979" s="15"/>
      <c r="E979" s="15"/>
      <c r="F979" s="15"/>
      <c r="G979" s="15"/>
      <c r="H979" s="15"/>
      <c r="I979" s="15"/>
      <c r="J979" s="15"/>
    </row>
    <row r="980" spans="1:12" x14ac:dyDescent="0.25">
      <c r="A980" s="12"/>
      <c r="B980" s="12"/>
      <c r="C980" s="12"/>
      <c r="D980" s="12"/>
      <c r="E980" s="12"/>
      <c r="F980" s="12"/>
      <c r="G980" s="12"/>
      <c r="H980" s="12"/>
      <c r="I980" s="12"/>
      <c r="J980" s="12"/>
    </row>
    <row r="981" spans="1:12" ht="30" x14ac:dyDescent="0.25">
      <c r="A981" s="2" t="s">
        <v>6</v>
      </c>
      <c r="B981" s="2" t="s">
        <v>7</v>
      </c>
      <c r="C981" s="2" t="s">
        <v>8</v>
      </c>
      <c r="D981" s="2" t="s">
        <v>9</v>
      </c>
      <c r="E981" s="2" t="s">
        <v>10</v>
      </c>
      <c r="F981" s="2" t="s">
        <v>11</v>
      </c>
      <c r="G981" s="2" t="s">
        <v>12</v>
      </c>
      <c r="H981" s="2" t="s">
        <v>13</v>
      </c>
      <c r="I981" s="2" t="s">
        <v>14</v>
      </c>
      <c r="J981" s="2" t="s">
        <v>15</v>
      </c>
      <c r="K981" s="2" t="s">
        <v>16</v>
      </c>
      <c r="L981" s="2" t="s">
        <v>17</v>
      </c>
    </row>
    <row r="982" spans="1:12" x14ac:dyDescent="0.25">
      <c r="A982" s="3">
        <v>45692.271180555559</v>
      </c>
      <c r="B982" t="s">
        <v>112</v>
      </c>
      <c r="C982" s="3">
        <v>45692.317511574074</v>
      </c>
      <c r="D982" t="s">
        <v>148</v>
      </c>
      <c r="E982" s="4">
        <v>124.81000000000745</v>
      </c>
      <c r="F982" s="4">
        <v>45565.334999999999</v>
      </c>
      <c r="G982" s="4">
        <v>45690.145000000004</v>
      </c>
      <c r="H982" s="5">
        <f>1038 / 86400</f>
        <v>1.2013888888888888E-2</v>
      </c>
      <c r="I982" t="s">
        <v>57</v>
      </c>
      <c r="J982" t="s">
        <v>277</v>
      </c>
      <c r="K982" s="5">
        <f>4003 / 86400</f>
        <v>4.6331018518518521E-2</v>
      </c>
      <c r="L982" s="5">
        <f>23972 / 86400</f>
        <v>0.2774537037037037</v>
      </c>
    </row>
    <row r="983" spans="1:12" x14ac:dyDescent="0.25">
      <c r="A983" s="3">
        <v>45692.323784722219</v>
      </c>
      <c r="B983" t="s">
        <v>148</v>
      </c>
      <c r="C983" s="3">
        <v>45692.324143518519</v>
      </c>
      <c r="D983" t="s">
        <v>148</v>
      </c>
      <c r="E983" s="4">
        <v>0.15499999999254943</v>
      </c>
      <c r="F983" s="4">
        <v>45690.145000000004</v>
      </c>
      <c r="G983" s="4">
        <v>45690.3</v>
      </c>
      <c r="H983" s="5">
        <f>0 / 86400</f>
        <v>0</v>
      </c>
      <c r="I983" t="s">
        <v>135</v>
      </c>
      <c r="J983" t="s">
        <v>70</v>
      </c>
      <c r="K983" s="5">
        <f>30 / 86400</f>
        <v>3.4722222222222224E-4</v>
      </c>
      <c r="L983" s="5">
        <f>930 / 86400</f>
        <v>1.0763888888888889E-2</v>
      </c>
    </row>
    <row r="984" spans="1:12" x14ac:dyDescent="0.25">
      <c r="A984" s="3">
        <v>45692.334907407407</v>
      </c>
      <c r="B984" t="s">
        <v>148</v>
      </c>
      <c r="C984" s="3">
        <v>45692.366944444446</v>
      </c>
      <c r="D984" t="s">
        <v>84</v>
      </c>
      <c r="E984" s="4">
        <v>120.47000000000745</v>
      </c>
      <c r="F984" s="4">
        <v>45690.3</v>
      </c>
      <c r="G984" s="4">
        <v>45810.770000000004</v>
      </c>
      <c r="H984" s="5">
        <f>418 / 86400</f>
        <v>4.8379629629629632E-3</v>
      </c>
      <c r="I984" t="s">
        <v>105</v>
      </c>
      <c r="J984" t="s">
        <v>278</v>
      </c>
      <c r="K984" s="5">
        <f>2768 / 86400</f>
        <v>3.2037037037037037E-2</v>
      </c>
      <c r="L984" s="5">
        <f>235 / 86400</f>
        <v>2.7199074074074074E-3</v>
      </c>
    </row>
    <row r="985" spans="1:12" x14ac:dyDescent="0.25">
      <c r="A985" s="3">
        <v>45692.369664351849</v>
      </c>
      <c r="B985" t="s">
        <v>84</v>
      </c>
      <c r="C985" s="3">
        <v>45692.372685185182</v>
      </c>
      <c r="D985" t="s">
        <v>23</v>
      </c>
      <c r="E985" s="4">
        <v>2.9449999999999998</v>
      </c>
      <c r="F985" s="4">
        <v>45810.770000000004</v>
      </c>
      <c r="G985" s="4">
        <v>45813.715000000011</v>
      </c>
      <c r="H985" s="5">
        <f>100 / 86400</f>
        <v>1.1574074074074073E-3</v>
      </c>
      <c r="I985" t="s">
        <v>31</v>
      </c>
      <c r="J985" t="s">
        <v>204</v>
      </c>
      <c r="K985" s="5">
        <f>260 / 86400</f>
        <v>3.0092592592592593E-3</v>
      </c>
      <c r="L985" s="5">
        <f>140 / 86400</f>
        <v>1.6203703703703703E-3</v>
      </c>
    </row>
    <row r="986" spans="1:12" x14ac:dyDescent="0.25">
      <c r="A986" s="3">
        <v>45692.374305555553</v>
      </c>
      <c r="B986" t="s">
        <v>23</v>
      </c>
      <c r="C986" s="3">
        <v>45692.3747337963</v>
      </c>
      <c r="D986" t="s">
        <v>23</v>
      </c>
      <c r="E986" s="4">
        <v>6.9999999992549425E-2</v>
      </c>
      <c r="F986" s="4">
        <v>45813.715000000011</v>
      </c>
      <c r="G986" s="4">
        <v>45813.785000000003</v>
      </c>
      <c r="H986" s="5">
        <f>0 / 86400</f>
        <v>0</v>
      </c>
      <c r="I986" t="s">
        <v>125</v>
      </c>
      <c r="J986" t="s">
        <v>43</v>
      </c>
      <c r="K986" s="5">
        <f>36 / 86400</f>
        <v>4.1666666666666669E-4</v>
      </c>
      <c r="L986" s="5">
        <f>1624 / 86400</f>
        <v>1.8796296296296297E-2</v>
      </c>
    </row>
    <row r="987" spans="1:12" x14ac:dyDescent="0.25">
      <c r="A987" s="3">
        <v>45692.393530092595</v>
      </c>
      <c r="B987" t="s">
        <v>23</v>
      </c>
      <c r="C987" s="3">
        <v>45692.393969907411</v>
      </c>
      <c r="D987" t="s">
        <v>23</v>
      </c>
      <c r="E987" s="4">
        <v>0.15</v>
      </c>
      <c r="F987" s="4">
        <v>45813.785000000003</v>
      </c>
      <c r="G987" s="4">
        <v>45813.934999999998</v>
      </c>
      <c r="H987" s="5">
        <f>0 / 86400</f>
        <v>0</v>
      </c>
      <c r="I987" t="s">
        <v>43</v>
      </c>
      <c r="J987" t="s">
        <v>28</v>
      </c>
      <c r="K987" s="5">
        <f>38 / 86400</f>
        <v>4.3981481481481481E-4</v>
      </c>
      <c r="L987" s="5">
        <f>146 / 86400</f>
        <v>1.6898148148148148E-3</v>
      </c>
    </row>
    <row r="988" spans="1:12" x14ac:dyDescent="0.25">
      <c r="A988" s="3">
        <v>45692.39565972222</v>
      </c>
      <c r="B988" t="s">
        <v>23</v>
      </c>
      <c r="C988" s="3">
        <v>45692.396180555559</v>
      </c>
      <c r="D988" t="s">
        <v>23</v>
      </c>
      <c r="E988" s="4">
        <v>0</v>
      </c>
      <c r="F988" s="4">
        <v>45813.934999999998</v>
      </c>
      <c r="G988" s="4">
        <v>45813.934999999998</v>
      </c>
      <c r="H988" s="5">
        <f>39 / 86400</f>
        <v>4.5138888888888887E-4</v>
      </c>
      <c r="I988" t="s">
        <v>55</v>
      </c>
      <c r="J988" t="s">
        <v>55</v>
      </c>
      <c r="K988" s="5">
        <f>44 / 86400</f>
        <v>5.0925925925925921E-4</v>
      </c>
      <c r="L988" s="5">
        <f>26533 / 86400</f>
        <v>0.30709490740740741</v>
      </c>
    </row>
    <row r="989" spans="1:12" x14ac:dyDescent="0.25">
      <c r="A989" s="3">
        <v>45692.703275462962</v>
      </c>
      <c r="B989" t="s">
        <v>23</v>
      </c>
      <c r="C989" s="3">
        <v>45692.711122685185</v>
      </c>
      <c r="D989" t="s">
        <v>23</v>
      </c>
      <c r="E989" s="4">
        <v>0</v>
      </c>
      <c r="F989" s="4">
        <v>45813.934999999998</v>
      </c>
      <c r="G989" s="4">
        <v>45813.934999999998</v>
      </c>
      <c r="H989" s="5">
        <f>660 / 86400</f>
        <v>7.6388888888888886E-3</v>
      </c>
      <c r="I989" t="s">
        <v>55</v>
      </c>
      <c r="J989" t="s">
        <v>55</v>
      </c>
      <c r="K989" s="5">
        <f>678 / 86400</f>
        <v>7.8472222222222224E-3</v>
      </c>
      <c r="L989" s="5">
        <f>2026 / 86400</f>
        <v>2.3449074074074074E-2</v>
      </c>
    </row>
    <row r="990" spans="1:12" x14ac:dyDescent="0.25">
      <c r="A990" s="3">
        <v>45692.734571759254</v>
      </c>
      <c r="B990" t="s">
        <v>23</v>
      </c>
      <c r="C990" s="3">
        <v>45692.737175925926</v>
      </c>
      <c r="D990" t="s">
        <v>23</v>
      </c>
      <c r="E990" s="4">
        <v>0</v>
      </c>
      <c r="F990" s="4">
        <v>45813.934999999998</v>
      </c>
      <c r="G990" s="4">
        <v>45813.934999999998</v>
      </c>
      <c r="H990" s="5">
        <f>219 / 86400</f>
        <v>2.5347222222222221E-3</v>
      </c>
      <c r="I990" t="s">
        <v>55</v>
      </c>
      <c r="J990" t="s">
        <v>55</v>
      </c>
      <c r="K990" s="5">
        <f>225 / 86400</f>
        <v>2.6041666666666665E-3</v>
      </c>
      <c r="L990" s="5">
        <f>234 / 86400</f>
        <v>2.7083333333333334E-3</v>
      </c>
    </row>
    <row r="991" spans="1:12" x14ac:dyDescent="0.25">
      <c r="A991" s="3">
        <v>45692.739884259259</v>
      </c>
      <c r="B991" t="s">
        <v>23</v>
      </c>
      <c r="C991" s="3">
        <v>45692.740844907406</v>
      </c>
      <c r="D991" t="s">
        <v>23</v>
      </c>
      <c r="E991" s="4">
        <v>0</v>
      </c>
      <c r="F991" s="4">
        <v>45813.934999999998</v>
      </c>
      <c r="G991" s="4">
        <v>45813.934999999998</v>
      </c>
      <c r="H991" s="5">
        <f>79 / 86400</f>
        <v>9.1435185185185185E-4</v>
      </c>
      <c r="I991" t="s">
        <v>55</v>
      </c>
      <c r="J991" t="s">
        <v>55</v>
      </c>
      <c r="K991" s="5">
        <f>83 / 86400</f>
        <v>9.6064814814814819E-4</v>
      </c>
      <c r="L991" s="5">
        <f>532 / 86400</f>
        <v>6.1574074074074074E-3</v>
      </c>
    </row>
    <row r="992" spans="1:12" x14ac:dyDescent="0.25">
      <c r="A992" s="3">
        <v>45692.74700231482</v>
      </c>
      <c r="B992" t="s">
        <v>23</v>
      </c>
      <c r="C992" s="3">
        <v>45692.748460648145</v>
      </c>
      <c r="D992" t="s">
        <v>23</v>
      </c>
      <c r="E992" s="4">
        <v>0.01</v>
      </c>
      <c r="F992" s="4">
        <v>45813.934999999998</v>
      </c>
      <c r="G992" s="4">
        <v>45813.945</v>
      </c>
      <c r="H992" s="5">
        <f>119 / 86400</f>
        <v>1.3773148148148147E-3</v>
      </c>
      <c r="I992" t="s">
        <v>55</v>
      </c>
      <c r="J992" t="s">
        <v>55</v>
      </c>
      <c r="K992" s="5">
        <f>126 / 86400</f>
        <v>1.4583333333333334E-3</v>
      </c>
      <c r="L992" s="5">
        <f>3 / 86400</f>
        <v>3.4722222222222222E-5</v>
      </c>
    </row>
    <row r="993" spans="1:12" x14ac:dyDescent="0.25">
      <c r="A993" s="3">
        <v>45692.748495370368</v>
      </c>
      <c r="B993" t="s">
        <v>23</v>
      </c>
      <c r="C993" s="3">
        <v>45692.749513888892</v>
      </c>
      <c r="D993" t="s">
        <v>23</v>
      </c>
      <c r="E993" s="4">
        <v>0</v>
      </c>
      <c r="F993" s="4">
        <v>45813.945</v>
      </c>
      <c r="G993" s="4">
        <v>45813.945</v>
      </c>
      <c r="H993" s="5">
        <f>70 / 86400</f>
        <v>8.1018518518518516E-4</v>
      </c>
      <c r="I993" t="s">
        <v>55</v>
      </c>
      <c r="J993" t="s">
        <v>55</v>
      </c>
      <c r="K993" s="5">
        <f>88 / 86400</f>
        <v>1.0185185185185184E-3</v>
      </c>
      <c r="L993" s="5">
        <f>66 / 86400</f>
        <v>7.6388888888888893E-4</v>
      </c>
    </row>
    <row r="994" spans="1:12" x14ac:dyDescent="0.25">
      <c r="A994" s="3">
        <v>45692.750277777777</v>
      </c>
      <c r="B994" t="s">
        <v>23</v>
      </c>
      <c r="C994" s="3">
        <v>45692.753240740742</v>
      </c>
      <c r="D994" t="s">
        <v>84</v>
      </c>
      <c r="E994" s="4">
        <v>3.24</v>
      </c>
      <c r="F994" s="4">
        <v>45813.945</v>
      </c>
      <c r="G994" s="4">
        <v>45817.184999999998</v>
      </c>
      <c r="H994" s="5">
        <f>100 / 86400</f>
        <v>1.1574074074074073E-3</v>
      </c>
      <c r="I994" t="s">
        <v>150</v>
      </c>
      <c r="J994" t="s">
        <v>139</v>
      </c>
      <c r="K994" s="5">
        <f>256 / 86400</f>
        <v>2.9629629629629628E-3</v>
      </c>
      <c r="L994" s="5">
        <f>798 / 86400</f>
        <v>9.2361111111111116E-3</v>
      </c>
    </row>
    <row r="995" spans="1:12" x14ac:dyDescent="0.25">
      <c r="A995" s="3">
        <v>45692.762476851851</v>
      </c>
      <c r="B995" t="s">
        <v>84</v>
      </c>
      <c r="C995" s="3">
        <v>45692.770844907413</v>
      </c>
      <c r="D995" t="s">
        <v>26</v>
      </c>
      <c r="E995" s="4">
        <v>18.670000000000002</v>
      </c>
      <c r="F995" s="4">
        <v>45817.184999999998</v>
      </c>
      <c r="G995" s="4">
        <v>45835.855000000003</v>
      </c>
      <c r="H995" s="5">
        <f>80 / 86400</f>
        <v>9.2592592592592596E-4</v>
      </c>
      <c r="I995" t="s">
        <v>99</v>
      </c>
      <c r="J995" t="s">
        <v>82</v>
      </c>
      <c r="K995" s="5">
        <f>723 / 86400</f>
        <v>8.3680555555555557E-3</v>
      </c>
      <c r="L995" s="5">
        <f>2910 / 86400</f>
        <v>3.3680555555555554E-2</v>
      </c>
    </row>
    <row r="996" spans="1:12" x14ac:dyDescent="0.25">
      <c r="A996" s="3">
        <v>45692.804525462961</v>
      </c>
      <c r="B996" t="s">
        <v>26</v>
      </c>
      <c r="C996" s="3">
        <v>45692.808009259257</v>
      </c>
      <c r="D996" t="s">
        <v>112</v>
      </c>
      <c r="E996" s="4">
        <v>3.48</v>
      </c>
      <c r="F996" s="4">
        <v>45835.855000000003</v>
      </c>
      <c r="G996" s="4">
        <v>45839.334999999999</v>
      </c>
      <c r="H996" s="5">
        <f>40 / 86400</f>
        <v>4.6296296296296298E-4</v>
      </c>
      <c r="I996" t="s">
        <v>114</v>
      </c>
      <c r="J996" t="s">
        <v>189</v>
      </c>
      <c r="K996" s="5">
        <f>300 / 86400</f>
        <v>3.472222222222222E-3</v>
      </c>
      <c r="L996" s="5">
        <f>79 / 86400</f>
        <v>9.1435185185185185E-4</v>
      </c>
    </row>
    <row r="997" spans="1:12" x14ac:dyDescent="0.25">
      <c r="A997" s="3">
        <v>45692.808923611112</v>
      </c>
      <c r="B997" t="s">
        <v>112</v>
      </c>
      <c r="C997" s="3">
        <v>45692.809629629628</v>
      </c>
      <c r="D997" t="s">
        <v>112</v>
      </c>
      <c r="E997" s="4">
        <v>0.28499999999999998</v>
      </c>
      <c r="F997" s="4">
        <v>45839.334999999999</v>
      </c>
      <c r="G997" s="4">
        <v>45839.62</v>
      </c>
      <c r="H997" s="5">
        <f>19 / 86400</f>
        <v>2.199074074074074E-4</v>
      </c>
      <c r="I997" t="s">
        <v>137</v>
      </c>
      <c r="J997" t="s">
        <v>25</v>
      </c>
      <c r="K997" s="5">
        <f>60 / 86400</f>
        <v>6.9444444444444447E-4</v>
      </c>
      <c r="L997" s="5">
        <f>16447 / 86400</f>
        <v>0.19035879629629629</v>
      </c>
    </row>
    <row r="998" spans="1:12" x14ac:dyDescent="0.25">
      <c r="A998" s="12"/>
      <c r="B998" s="12"/>
      <c r="C998" s="12"/>
      <c r="D998" s="12"/>
      <c r="E998" s="12"/>
      <c r="F998" s="12"/>
      <c r="G998" s="12"/>
      <c r="H998" s="12"/>
      <c r="I998" s="12"/>
      <c r="J998" s="12"/>
    </row>
    <row r="999" spans="1:12" x14ac:dyDescent="0.25">
      <c r="A999" s="12"/>
      <c r="B999" s="12"/>
      <c r="C999" s="12"/>
      <c r="D999" s="12"/>
      <c r="E999" s="12"/>
      <c r="F999" s="12"/>
      <c r="G999" s="12"/>
      <c r="H999" s="12"/>
      <c r="I999" s="12"/>
      <c r="J999" s="12"/>
    </row>
    <row r="1000" spans="1:12" s="10" customFormat="1" ht="20.100000000000001" customHeight="1" x14ac:dyDescent="0.35">
      <c r="A1000" s="15" t="s">
        <v>342</v>
      </c>
      <c r="B1000" s="15"/>
      <c r="C1000" s="15"/>
      <c r="D1000" s="15"/>
      <c r="E1000" s="15"/>
      <c r="F1000" s="15"/>
      <c r="G1000" s="15"/>
      <c r="H1000" s="15"/>
      <c r="I1000" s="15"/>
      <c r="J1000" s="15"/>
    </row>
    <row r="1001" spans="1:12" x14ac:dyDescent="0.25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</row>
    <row r="1002" spans="1:12" ht="30" x14ac:dyDescent="0.25">
      <c r="A1002" s="2" t="s">
        <v>6</v>
      </c>
      <c r="B1002" s="2" t="s">
        <v>7</v>
      </c>
      <c r="C1002" s="2" t="s">
        <v>8</v>
      </c>
      <c r="D1002" s="2" t="s">
        <v>9</v>
      </c>
      <c r="E1002" s="2" t="s">
        <v>10</v>
      </c>
      <c r="F1002" s="2" t="s">
        <v>11</v>
      </c>
      <c r="G1002" s="2" t="s">
        <v>12</v>
      </c>
      <c r="H1002" s="2" t="s">
        <v>13</v>
      </c>
      <c r="I1002" s="2" t="s">
        <v>14</v>
      </c>
      <c r="J1002" s="2" t="s">
        <v>15</v>
      </c>
      <c r="K1002" s="2" t="s">
        <v>16</v>
      </c>
      <c r="L1002" s="2" t="s">
        <v>17</v>
      </c>
    </row>
    <row r="1003" spans="1:12" x14ac:dyDescent="0.25">
      <c r="A1003" s="3">
        <v>45692.183124999996</v>
      </c>
      <c r="B1003" t="s">
        <v>113</v>
      </c>
      <c r="C1003" s="3">
        <v>45692.267789351856</v>
      </c>
      <c r="D1003" t="s">
        <v>279</v>
      </c>
      <c r="E1003" s="4">
        <v>50.326999999999998</v>
      </c>
      <c r="F1003" s="4">
        <v>56771.286</v>
      </c>
      <c r="G1003" s="4">
        <v>56821.612999999998</v>
      </c>
      <c r="H1003" s="5">
        <f>1879 / 86400</f>
        <v>2.1747685185185186E-2</v>
      </c>
      <c r="I1003" t="s">
        <v>45</v>
      </c>
      <c r="J1003" t="s">
        <v>152</v>
      </c>
      <c r="K1003" s="5">
        <f>7315 / 86400</f>
        <v>8.4664351851851852E-2</v>
      </c>
      <c r="L1003" s="5">
        <f>15849 / 86400</f>
        <v>0.1834375</v>
      </c>
    </row>
    <row r="1004" spans="1:12" x14ac:dyDescent="0.25">
      <c r="A1004" s="3">
        <v>45692.268101851849</v>
      </c>
      <c r="B1004" t="s">
        <v>279</v>
      </c>
      <c r="C1004" s="3">
        <v>45692.366585648153</v>
      </c>
      <c r="D1004" t="s">
        <v>280</v>
      </c>
      <c r="E1004" s="4">
        <v>51.871000000000002</v>
      </c>
      <c r="F1004" s="4">
        <v>56821.612999999998</v>
      </c>
      <c r="G1004" s="4">
        <v>56873.483999999997</v>
      </c>
      <c r="H1004" s="5">
        <f>2200 / 86400</f>
        <v>2.5462962962962962E-2</v>
      </c>
      <c r="I1004" t="s">
        <v>33</v>
      </c>
      <c r="J1004" t="s">
        <v>122</v>
      </c>
      <c r="K1004" s="5">
        <f>8509 / 86400</f>
        <v>9.8483796296296292E-2</v>
      </c>
      <c r="L1004" s="5">
        <f>1424 / 86400</f>
        <v>1.6481481481481482E-2</v>
      </c>
    </row>
    <row r="1005" spans="1:12" x14ac:dyDescent="0.25">
      <c r="A1005" s="3">
        <v>45692.383067129631</v>
      </c>
      <c r="B1005" t="s">
        <v>280</v>
      </c>
      <c r="C1005" s="3">
        <v>45692.38795138889</v>
      </c>
      <c r="D1005" t="s">
        <v>148</v>
      </c>
      <c r="E1005" s="4">
        <v>1.1100000000000001</v>
      </c>
      <c r="F1005" s="4">
        <v>56873.483999999997</v>
      </c>
      <c r="G1005" s="4">
        <v>56874.593999999997</v>
      </c>
      <c r="H1005" s="5">
        <f>99 / 86400</f>
        <v>1.1458333333333333E-3</v>
      </c>
      <c r="I1005" t="s">
        <v>155</v>
      </c>
      <c r="J1005" t="s">
        <v>54</v>
      </c>
      <c r="K1005" s="5">
        <f>422 / 86400</f>
        <v>4.8842592592592592E-3</v>
      </c>
      <c r="L1005" s="5">
        <f>535 / 86400</f>
        <v>6.1921296296296299E-3</v>
      </c>
    </row>
    <row r="1006" spans="1:12" x14ac:dyDescent="0.25">
      <c r="A1006" s="3">
        <v>45692.394143518519</v>
      </c>
      <c r="B1006" t="s">
        <v>148</v>
      </c>
      <c r="C1006" s="3">
        <v>45692.512638888889</v>
      </c>
      <c r="D1006" t="s">
        <v>133</v>
      </c>
      <c r="E1006" s="4">
        <v>52.509</v>
      </c>
      <c r="F1006" s="4">
        <v>56874.593999999997</v>
      </c>
      <c r="G1006" s="4">
        <v>56927.103000000003</v>
      </c>
      <c r="H1006" s="5">
        <f>3481 / 86400</f>
        <v>4.0289351851851854E-2</v>
      </c>
      <c r="I1006" t="s">
        <v>93</v>
      </c>
      <c r="J1006" t="s">
        <v>31</v>
      </c>
      <c r="K1006" s="5">
        <f>10237 / 86400</f>
        <v>0.1184837962962963</v>
      </c>
      <c r="L1006" s="5">
        <f>184 / 86400</f>
        <v>2.1296296296296298E-3</v>
      </c>
    </row>
    <row r="1007" spans="1:12" x14ac:dyDescent="0.25">
      <c r="A1007" s="3">
        <v>45692.514768518522</v>
      </c>
      <c r="B1007" t="s">
        <v>133</v>
      </c>
      <c r="C1007" s="3">
        <v>45692.638113425928</v>
      </c>
      <c r="D1007" t="s">
        <v>128</v>
      </c>
      <c r="E1007" s="4">
        <v>52.078000000000003</v>
      </c>
      <c r="F1007" s="4">
        <v>56927.103000000003</v>
      </c>
      <c r="G1007" s="4">
        <v>56979.180999999997</v>
      </c>
      <c r="H1007" s="5">
        <f>3639 / 86400</f>
        <v>4.2118055555555554E-2</v>
      </c>
      <c r="I1007" t="s">
        <v>80</v>
      </c>
      <c r="J1007" t="s">
        <v>31</v>
      </c>
      <c r="K1007" s="5">
        <f>10657 / 86400</f>
        <v>0.1233449074074074</v>
      </c>
      <c r="L1007" s="5">
        <f>420 / 86400</f>
        <v>4.8611111111111112E-3</v>
      </c>
    </row>
    <row r="1008" spans="1:12" x14ac:dyDescent="0.25">
      <c r="A1008" s="3">
        <v>45692.642974537041</v>
      </c>
      <c r="B1008" t="s">
        <v>128</v>
      </c>
      <c r="C1008" s="3">
        <v>45692.644490740742</v>
      </c>
      <c r="D1008" t="s">
        <v>113</v>
      </c>
      <c r="E1008" s="4">
        <v>0.19700000000000001</v>
      </c>
      <c r="F1008" s="4">
        <v>56979.180999999997</v>
      </c>
      <c r="G1008" s="4">
        <v>56979.377999999997</v>
      </c>
      <c r="H1008" s="5">
        <f>20 / 86400</f>
        <v>2.3148148148148149E-4</v>
      </c>
      <c r="I1008" t="s">
        <v>20</v>
      </c>
      <c r="J1008" t="s">
        <v>119</v>
      </c>
      <c r="K1008" s="5">
        <f>131 / 86400</f>
        <v>1.5162037037037036E-3</v>
      </c>
      <c r="L1008" s="5">
        <f>95 / 86400</f>
        <v>1.0995370370370371E-3</v>
      </c>
    </row>
    <row r="1009" spans="1:12" x14ac:dyDescent="0.25">
      <c r="A1009" s="3">
        <v>45692.645590277782</v>
      </c>
      <c r="B1009" t="s">
        <v>113</v>
      </c>
      <c r="C1009" s="3">
        <v>45692.646493055552</v>
      </c>
      <c r="D1009" t="s">
        <v>113</v>
      </c>
      <c r="E1009" s="4">
        <v>3.1E-2</v>
      </c>
      <c r="F1009" s="4">
        <v>56979.377999999997</v>
      </c>
      <c r="G1009" s="4">
        <v>56979.409</v>
      </c>
      <c r="H1009" s="5">
        <f>39 / 86400</f>
        <v>4.5138888888888887E-4</v>
      </c>
      <c r="I1009" t="s">
        <v>43</v>
      </c>
      <c r="J1009" t="s">
        <v>125</v>
      </c>
      <c r="K1009" s="5">
        <f>78 / 86400</f>
        <v>9.0277777777777774E-4</v>
      </c>
      <c r="L1009" s="5">
        <f>30542 / 86400</f>
        <v>0.35349537037037038</v>
      </c>
    </row>
    <row r="1010" spans="1:12" x14ac:dyDescent="0.25">
      <c r="A1010" s="12"/>
      <c r="B1010" s="12"/>
      <c r="C1010" s="12"/>
      <c r="D1010" s="12"/>
      <c r="E1010" s="12"/>
      <c r="F1010" s="12"/>
      <c r="G1010" s="12"/>
      <c r="H1010" s="12"/>
      <c r="I1010" s="12"/>
      <c r="J1010" s="12"/>
    </row>
    <row r="1011" spans="1:12" x14ac:dyDescent="0.25">
      <c r="A1011" s="12"/>
      <c r="B1011" s="12"/>
      <c r="C1011" s="12"/>
      <c r="D1011" s="12"/>
      <c r="E1011" s="12"/>
      <c r="F1011" s="12"/>
      <c r="G1011" s="12"/>
      <c r="H1011" s="12"/>
      <c r="I1011" s="12"/>
      <c r="J1011" s="12"/>
    </row>
    <row r="1012" spans="1:12" s="10" customFormat="1" ht="20.100000000000001" customHeight="1" x14ac:dyDescent="0.35">
      <c r="A1012" s="15" t="s">
        <v>343</v>
      </c>
      <c r="B1012" s="15"/>
      <c r="C1012" s="15"/>
      <c r="D1012" s="15"/>
      <c r="E1012" s="15"/>
      <c r="F1012" s="15"/>
      <c r="G1012" s="15"/>
      <c r="H1012" s="15"/>
      <c r="I1012" s="15"/>
      <c r="J1012" s="15"/>
    </row>
    <row r="1013" spans="1:12" x14ac:dyDescent="0.25">
      <c r="A1013" s="12"/>
      <c r="B1013" s="12"/>
      <c r="C1013" s="12"/>
      <c r="D1013" s="12"/>
      <c r="E1013" s="12"/>
      <c r="F1013" s="12"/>
      <c r="G1013" s="12"/>
      <c r="H1013" s="12"/>
      <c r="I1013" s="12"/>
      <c r="J1013" s="12"/>
    </row>
    <row r="1014" spans="1:12" ht="30" x14ac:dyDescent="0.25">
      <c r="A1014" s="2" t="s">
        <v>6</v>
      </c>
      <c r="B1014" s="2" t="s">
        <v>7</v>
      </c>
      <c r="C1014" s="2" t="s">
        <v>8</v>
      </c>
      <c r="D1014" s="2" t="s">
        <v>9</v>
      </c>
      <c r="E1014" s="2" t="s">
        <v>10</v>
      </c>
      <c r="F1014" s="2" t="s">
        <v>11</v>
      </c>
      <c r="G1014" s="2" t="s">
        <v>12</v>
      </c>
      <c r="H1014" s="2" t="s">
        <v>13</v>
      </c>
      <c r="I1014" s="2" t="s">
        <v>14</v>
      </c>
      <c r="J1014" s="2" t="s">
        <v>15</v>
      </c>
      <c r="K1014" s="2" t="s">
        <v>16</v>
      </c>
      <c r="L1014" s="2" t="s">
        <v>17</v>
      </c>
    </row>
    <row r="1015" spans="1:12" x14ac:dyDescent="0.25">
      <c r="A1015" s="3">
        <v>45692</v>
      </c>
      <c r="B1015" t="s">
        <v>115</v>
      </c>
      <c r="C1015" s="3">
        <v>45692.001261574071</v>
      </c>
      <c r="D1015" t="s">
        <v>21</v>
      </c>
      <c r="E1015" s="4">
        <v>0.60399999999999998</v>
      </c>
      <c r="F1015" s="4">
        <v>59912.023000000001</v>
      </c>
      <c r="G1015" s="4">
        <v>59912.627</v>
      </c>
      <c r="H1015" s="5">
        <f>0 / 86400</f>
        <v>0</v>
      </c>
      <c r="I1015" t="s">
        <v>211</v>
      </c>
      <c r="J1015" t="s">
        <v>114</v>
      </c>
      <c r="K1015" s="5">
        <f>109 / 86400</f>
        <v>1.261574074074074E-3</v>
      </c>
      <c r="L1015" s="5">
        <f>727 / 86400</f>
        <v>8.4143518518518517E-3</v>
      </c>
    </row>
    <row r="1016" spans="1:12" x14ac:dyDescent="0.25">
      <c r="A1016" s="3">
        <v>45692.009675925925</v>
      </c>
      <c r="B1016" t="s">
        <v>21</v>
      </c>
      <c r="C1016" s="3">
        <v>45692.014745370368</v>
      </c>
      <c r="D1016" t="s">
        <v>40</v>
      </c>
      <c r="E1016" s="4">
        <v>1.607</v>
      </c>
      <c r="F1016" s="4">
        <v>59912.627</v>
      </c>
      <c r="G1016" s="4">
        <v>59914.233999999997</v>
      </c>
      <c r="H1016" s="5">
        <f>100 / 86400</f>
        <v>1.1574074074074073E-3</v>
      </c>
      <c r="I1016" t="s">
        <v>235</v>
      </c>
      <c r="J1016" t="s">
        <v>58</v>
      </c>
      <c r="K1016" s="5">
        <f>438 / 86400</f>
        <v>5.0694444444444441E-3</v>
      </c>
      <c r="L1016" s="5">
        <f>11956 / 86400</f>
        <v>0.13837962962962963</v>
      </c>
    </row>
    <row r="1017" spans="1:12" x14ac:dyDescent="0.25">
      <c r="A1017" s="3">
        <v>45692.153124999997</v>
      </c>
      <c r="B1017" t="s">
        <v>40</v>
      </c>
      <c r="C1017" s="3">
        <v>45692.15688657407</v>
      </c>
      <c r="D1017" t="s">
        <v>146</v>
      </c>
      <c r="E1017" s="4">
        <v>0.67600000000000005</v>
      </c>
      <c r="F1017" s="4">
        <v>59914.233999999997</v>
      </c>
      <c r="G1017" s="4">
        <v>59914.91</v>
      </c>
      <c r="H1017" s="5">
        <f>179 / 86400</f>
        <v>2.0717592592592593E-3</v>
      </c>
      <c r="I1017" t="s">
        <v>252</v>
      </c>
      <c r="J1017" t="s">
        <v>43</v>
      </c>
      <c r="K1017" s="5">
        <f>325 / 86400</f>
        <v>3.7615740740740739E-3</v>
      </c>
      <c r="L1017" s="5">
        <f>2693 / 86400</f>
        <v>3.1168981481481482E-2</v>
      </c>
    </row>
    <row r="1018" spans="1:12" x14ac:dyDescent="0.25">
      <c r="A1018" s="3">
        <v>45692.188055555554</v>
      </c>
      <c r="B1018" t="s">
        <v>146</v>
      </c>
      <c r="C1018" s="3">
        <v>45692.326168981483</v>
      </c>
      <c r="D1018" t="s">
        <v>191</v>
      </c>
      <c r="E1018" s="4">
        <v>76.153999999999996</v>
      </c>
      <c r="F1018" s="4">
        <v>59914.91</v>
      </c>
      <c r="G1018" s="4">
        <v>59991.063999999998</v>
      </c>
      <c r="H1018" s="5">
        <f>3198 / 86400</f>
        <v>3.7013888888888888E-2</v>
      </c>
      <c r="I1018" t="s">
        <v>32</v>
      </c>
      <c r="J1018" t="s">
        <v>136</v>
      </c>
      <c r="K1018" s="5">
        <f>11932 / 86400</f>
        <v>0.13810185185185186</v>
      </c>
      <c r="L1018" s="5">
        <f>766 / 86400</f>
        <v>8.86574074074074E-3</v>
      </c>
    </row>
    <row r="1019" spans="1:12" x14ac:dyDescent="0.25">
      <c r="A1019" s="3">
        <v>45692.335034722222</v>
      </c>
      <c r="B1019" t="s">
        <v>191</v>
      </c>
      <c r="C1019" s="3">
        <v>45692.337870370371</v>
      </c>
      <c r="D1019" t="s">
        <v>281</v>
      </c>
      <c r="E1019" s="4">
        <v>0.92300000000000004</v>
      </c>
      <c r="F1019" s="4">
        <v>59991.063999999998</v>
      </c>
      <c r="G1019" s="4">
        <v>59991.987000000001</v>
      </c>
      <c r="H1019" s="5">
        <f>39 / 86400</f>
        <v>4.5138888888888887E-4</v>
      </c>
      <c r="I1019" t="s">
        <v>134</v>
      </c>
      <c r="J1019" t="s">
        <v>28</v>
      </c>
      <c r="K1019" s="5">
        <f>245 / 86400</f>
        <v>2.8356481481481483E-3</v>
      </c>
      <c r="L1019" s="5">
        <f>3276 / 86400</f>
        <v>3.7916666666666668E-2</v>
      </c>
    </row>
    <row r="1020" spans="1:12" x14ac:dyDescent="0.25">
      <c r="A1020" s="3">
        <v>45692.375787037032</v>
      </c>
      <c r="B1020" t="s">
        <v>281</v>
      </c>
      <c r="C1020" s="3">
        <v>45692.534629629634</v>
      </c>
      <c r="D1020" t="s">
        <v>163</v>
      </c>
      <c r="E1020" s="4">
        <v>58.523000000000003</v>
      </c>
      <c r="F1020" s="4">
        <v>59991.987000000001</v>
      </c>
      <c r="G1020" s="4">
        <v>60050.51</v>
      </c>
      <c r="H1020" s="5">
        <f>5679 / 86400</f>
        <v>6.5729166666666672E-2</v>
      </c>
      <c r="I1020" t="s">
        <v>67</v>
      </c>
      <c r="J1020" t="s">
        <v>20</v>
      </c>
      <c r="K1020" s="5">
        <f>13724 / 86400</f>
        <v>0.15884259259259259</v>
      </c>
      <c r="L1020" s="5">
        <f>172 / 86400</f>
        <v>1.9907407407407408E-3</v>
      </c>
    </row>
    <row r="1021" spans="1:12" x14ac:dyDescent="0.25">
      <c r="A1021" s="3">
        <v>45692.536620370374</v>
      </c>
      <c r="B1021" t="s">
        <v>163</v>
      </c>
      <c r="C1021" s="3">
        <v>45692.537210648152</v>
      </c>
      <c r="D1021" t="s">
        <v>163</v>
      </c>
      <c r="E1021" s="4">
        <v>0.02</v>
      </c>
      <c r="F1021" s="4">
        <v>60050.51</v>
      </c>
      <c r="G1021" s="4">
        <v>60050.53</v>
      </c>
      <c r="H1021" s="5">
        <f>20 / 86400</f>
        <v>2.3148148148148149E-4</v>
      </c>
      <c r="I1021" t="s">
        <v>135</v>
      </c>
      <c r="J1021" t="s">
        <v>125</v>
      </c>
      <c r="K1021" s="5">
        <f>50 / 86400</f>
        <v>5.7870370370370367E-4</v>
      </c>
      <c r="L1021" s="5">
        <f>306 / 86400</f>
        <v>3.5416666666666665E-3</v>
      </c>
    </row>
    <row r="1022" spans="1:12" x14ac:dyDescent="0.25">
      <c r="A1022" s="3">
        <v>45692.540752314817</v>
      </c>
      <c r="B1022" t="s">
        <v>163</v>
      </c>
      <c r="C1022" s="3">
        <v>45692.593541666662</v>
      </c>
      <c r="D1022" t="s">
        <v>128</v>
      </c>
      <c r="E1022" s="4">
        <v>30.789000000000001</v>
      </c>
      <c r="F1022" s="4">
        <v>60050.53</v>
      </c>
      <c r="G1022" s="4">
        <v>60081.319000000003</v>
      </c>
      <c r="H1022" s="5">
        <f>920 / 86400</f>
        <v>1.0648148148148148E-2</v>
      </c>
      <c r="I1022" t="s">
        <v>27</v>
      </c>
      <c r="J1022" t="s">
        <v>150</v>
      </c>
      <c r="K1022" s="5">
        <f>4560 / 86400</f>
        <v>5.2777777777777778E-2</v>
      </c>
      <c r="L1022" s="5">
        <f>404 / 86400</f>
        <v>4.6759259259259263E-3</v>
      </c>
    </row>
    <row r="1023" spans="1:12" x14ac:dyDescent="0.25">
      <c r="A1023" s="3">
        <v>45692.598217592589</v>
      </c>
      <c r="B1023" t="s">
        <v>128</v>
      </c>
      <c r="C1023" s="3">
        <v>45692.598981481482</v>
      </c>
      <c r="D1023" t="s">
        <v>121</v>
      </c>
      <c r="E1023" s="4">
        <v>0.219</v>
      </c>
      <c r="F1023" s="4">
        <v>60081.319000000003</v>
      </c>
      <c r="G1023" s="4">
        <v>60081.538</v>
      </c>
      <c r="H1023" s="5">
        <f>0 / 86400</f>
        <v>0</v>
      </c>
      <c r="I1023" t="s">
        <v>150</v>
      </c>
      <c r="J1023" t="s">
        <v>90</v>
      </c>
      <c r="K1023" s="5">
        <f>65 / 86400</f>
        <v>7.5231481481481482E-4</v>
      </c>
      <c r="L1023" s="5">
        <f>369 / 86400</f>
        <v>4.2708333333333331E-3</v>
      </c>
    </row>
    <row r="1024" spans="1:12" x14ac:dyDescent="0.25">
      <c r="A1024" s="3">
        <v>45692.603252314817</v>
      </c>
      <c r="B1024" t="s">
        <v>121</v>
      </c>
      <c r="C1024" s="3">
        <v>45692.604120370372</v>
      </c>
      <c r="D1024" t="s">
        <v>121</v>
      </c>
      <c r="E1024" s="4">
        <v>0.03</v>
      </c>
      <c r="F1024" s="4">
        <v>60081.538</v>
      </c>
      <c r="G1024" s="4">
        <v>60081.567999999999</v>
      </c>
      <c r="H1024" s="5">
        <f>39 / 86400</f>
        <v>4.5138888888888887E-4</v>
      </c>
      <c r="I1024" t="s">
        <v>119</v>
      </c>
      <c r="J1024" t="s">
        <v>125</v>
      </c>
      <c r="K1024" s="5">
        <f>75 / 86400</f>
        <v>8.6805555555555551E-4</v>
      </c>
      <c r="L1024" s="5">
        <f>195 / 86400</f>
        <v>2.2569444444444442E-3</v>
      </c>
    </row>
    <row r="1025" spans="1:12" x14ac:dyDescent="0.25">
      <c r="A1025" s="3">
        <v>45692.60637731482</v>
      </c>
      <c r="B1025" t="s">
        <v>121</v>
      </c>
      <c r="C1025" s="3">
        <v>45692.608969907407</v>
      </c>
      <c r="D1025" t="s">
        <v>40</v>
      </c>
      <c r="E1025" s="4">
        <v>0.75700000000000001</v>
      </c>
      <c r="F1025" s="4">
        <v>60081.567999999999</v>
      </c>
      <c r="G1025" s="4">
        <v>60082.324999999997</v>
      </c>
      <c r="H1025" s="5">
        <f>40 / 86400</f>
        <v>4.6296296296296298E-4</v>
      </c>
      <c r="I1025" t="s">
        <v>149</v>
      </c>
      <c r="J1025" t="s">
        <v>90</v>
      </c>
      <c r="K1025" s="5">
        <f>223 / 86400</f>
        <v>2.5810185185185185E-3</v>
      </c>
      <c r="L1025" s="5">
        <f>861 / 86400</f>
        <v>9.9652777777777778E-3</v>
      </c>
    </row>
    <row r="1026" spans="1:12" x14ac:dyDescent="0.25">
      <c r="A1026" s="3">
        <v>45692.618935185186</v>
      </c>
      <c r="B1026" t="s">
        <v>40</v>
      </c>
      <c r="C1026" s="3">
        <v>45692.621064814812</v>
      </c>
      <c r="D1026" t="s">
        <v>202</v>
      </c>
      <c r="E1026" s="4">
        <v>8.5000000000000006E-2</v>
      </c>
      <c r="F1026" s="4">
        <v>60082.324999999997</v>
      </c>
      <c r="G1026" s="4">
        <v>60082.41</v>
      </c>
      <c r="H1026" s="5">
        <f>139 / 86400</f>
        <v>1.6087962962962963E-3</v>
      </c>
      <c r="I1026" t="s">
        <v>158</v>
      </c>
      <c r="J1026" t="s">
        <v>161</v>
      </c>
      <c r="K1026" s="5">
        <f>184 / 86400</f>
        <v>2.1296296296296298E-3</v>
      </c>
      <c r="L1026" s="5">
        <f>494 / 86400</f>
        <v>5.7175925925925927E-3</v>
      </c>
    </row>
    <row r="1027" spans="1:12" x14ac:dyDescent="0.25">
      <c r="A1027" s="3">
        <v>45692.626782407402</v>
      </c>
      <c r="B1027" t="s">
        <v>202</v>
      </c>
      <c r="C1027" s="3">
        <v>45692.979247685187</v>
      </c>
      <c r="D1027" t="s">
        <v>21</v>
      </c>
      <c r="E1027" s="4">
        <v>164.22200000000001</v>
      </c>
      <c r="F1027" s="4">
        <v>60082.41</v>
      </c>
      <c r="G1027" s="4">
        <v>60246.631999999998</v>
      </c>
      <c r="H1027" s="5">
        <f>9780 / 86400</f>
        <v>0.11319444444444444</v>
      </c>
      <c r="I1027" t="s">
        <v>32</v>
      </c>
      <c r="J1027" t="s">
        <v>70</v>
      </c>
      <c r="K1027" s="5">
        <f>30452 / 86400</f>
        <v>0.35245370370370371</v>
      </c>
      <c r="L1027" s="5">
        <f>856 / 86400</f>
        <v>9.9074074074074082E-3</v>
      </c>
    </row>
    <row r="1028" spans="1:12" x14ac:dyDescent="0.25">
      <c r="A1028" s="3">
        <v>45692.989155092597</v>
      </c>
      <c r="B1028" t="s">
        <v>21</v>
      </c>
      <c r="C1028" s="3">
        <v>45692.994988425926</v>
      </c>
      <c r="D1028" t="s">
        <v>40</v>
      </c>
      <c r="E1028" s="4">
        <v>1.597</v>
      </c>
      <c r="F1028" s="4">
        <v>60246.631999999998</v>
      </c>
      <c r="G1028" s="4">
        <v>60248.228999999999</v>
      </c>
      <c r="H1028" s="5">
        <f>172 / 86400</f>
        <v>1.9907407407407408E-3</v>
      </c>
      <c r="I1028" t="s">
        <v>235</v>
      </c>
      <c r="J1028" t="s">
        <v>174</v>
      </c>
      <c r="K1028" s="5">
        <f>504 / 86400</f>
        <v>5.8333333333333336E-3</v>
      </c>
      <c r="L1028" s="5">
        <f>432 / 86400</f>
        <v>5.0000000000000001E-3</v>
      </c>
    </row>
    <row r="1029" spans="1:12" x14ac:dyDescent="0.25">
      <c r="A1029" s="12"/>
      <c r="B1029" s="12"/>
      <c r="C1029" s="12"/>
      <c r="D1029" s="12"/>
      <c r="E1029" s="12"/>
      <c r="F1029" s="12"/>
      <c r="G1029" s="12"/>
      <c r="H1029" s="12"/>
      <c r="I1029" s="12"/>
      <c r="J1029" s="12"/>
    </row>
    <row r="1030" spans="1:12" x14ac:dyDescent="0.25">
      <c r="A1030" s="12" t="s">
        <v>117</v>
      </c>
      <c r="B1030" s="12"/>
      <c r="C1030" s="12"/>
      <c r="D1030" s="12"/>
      <c r="E1030" s="12"/>
      <c r="F1030" s="12"/>
      <c r="G1030" s="12"/>
      <c r="H1030" s="12"/>
      <c r="I1030" s="12"/>
      <c r="J1030" s="12"/>
    </row>
  </sheetData>
  <mergeCells count="258">
    <mergeCell ref="A1010:J1010"/>
    <mergeCell ref="A1011:J1011"/>
    <mergeCell ref="A1012:J1012"/>
    <mergeCell ref="A1013:J1013"/>
    <mergeCell ref="A1029:J1029"/>
    <mergeCell ref="A1030:J1030"/>
    <mergeCell ref="A972:J972"/>
    <mergeCell ref="A973:J973"/>
    <mergeCell ref="A977:J977"/>
    <mergeCell ref="A978:J978"/>
    <mergeCell ref="A979:J979"/>
    <mergeCell ref="A980:J980"/>
    <mergeCell ref="A998:J998"/>
    <mergeCell ref="A999:J999"/>
    <mergeCell ref="A1000:J1000"/>
    <mergeCell ref="A939:J939"/>
    <mergeCell ref="A940:J940"/>
    <mergeCell ref="A949:J949"/>
    <mergeCell ref="A950:J950"/>
    <mergeCell ref="A951:J951"/>
    <mergeCell ref="A952:J952"/>
    <mergeCell ref="A970:J970"/>
    <mergeCell ref="A971:J971"/>
    <mergeCell ref="A1001:J1001"/>
    <mergeCell ref="A911:J911"/>
    <mergeCell ref="A912:J912"/>
    <mergeCell ref="A913:J913"/>
    <mergeCell ref="A929:J929"/>
    <mergeCell ref="A930:J930"/>
    <mergeCell ref="A931:J931"/>
    <mergeCell ref="A932:J932"/>
    <mergeCell ref="A937:J937"/>
    <mergeCell ref="A938:J938"/>
    <mergeCell ref="A884:J884"/>
    <mergeCell ref="A885:J885"/>
    <mergeCell ref="A886:J886"/>
    <mergeCell ref="A887:J887"/>
    <mergeCell ref="A899:J899"/>
    <mergeCell ref="A900:J900"/>
    <mergeCell ref="A901:J901"/>
    <mergeCell ref="A902:J902"/>
    <mergeCell ref="A910:J910"/>
    <mergeCell ref="A851:J851"/>
    <mergeCell ref="A860:J860"/>
    <mergeCell ref="A861:J861"/>
    <mergeCell ref="A862:J862"/>
    <mergeCell ref="A863:J863"/>
    <mergeCell ref="A872:J872"/>
    <mergeCell ref="A873:J873"/>
    <mergeCell ref="A874:J874"/>
    <mergeCell ref="A875:J875"/>
    <mergeCell ref="A818:J818"/>
    <mergeCell ref="A819:J819"/>
    <mergeCell ref="A830:J830"/>
    <mergeCell ref="A831:J831"/>
    <mergeCell ref="A832:J832"/>
    <mergeCell ref="A833:J833"/>
    <mergeCell ref="A848:J848"/>
    <mergeCell ref="A849:J849"/>
    <mergeCell ref="A850:J850"/>
    <mergeCell ref="A777:J777"/>
    <mergeCell ref="A778:J778"/>
    <mergeCell ref="A779:J779"/>
    <mergeCell ref="A794:J794"/>
    <mergeCell ref="A795:J795"/>
    <mergeCell ref="A796:J796"/>
    <mergeCell ref="A797:J797"/>
    <mergeCell ref="A816:J816"/>
    <mergeCell ref="A817:J817"/>
    <mergeCell ref="A743:J743"/>
    <mergeCell ref="A744:J744"/>
    <mergeCell ref="A745:J745"/>
    <mergeCell ref="A746:J746"/>
    <mergeCell ref="A751:J751"/>
    <mergeCell ref="A752:J752"/>
    <mergeCell ref="A753:J753"/>
    <mergeCell ref="A754:J754"/>
    <mergeCell ref="A776:J776"/>
    <mergeCell ref="A711:J711"/>
    <mergeCell ref="A718:J718"/>
    <mergeCell ref="A719:J719"/>
    <mergeCell ref="A720:J720"/>
    <mergeCell ref="A721:J721"/>
    <mergeCell ref="A734:J734"/>
    <mergeCell ref="A735:J735"/>
    <mergeCell ref="A736:J736"/>
    <mergeCell ref="A737:J737"/>
    <mergeCell ref="A686:J686"/>
    <mergeCell ref="A687:J687"/>
    <mergeCell ref="A693:J693"/>
    <mergeCell ref="A694:J694"/>
    <mergeCell ref="A695:J695"/>
    <mergeCell ref="A696:J696"/>
    <mergeCell ref="A708:J708"/>
    <mergeCell ref="A709:J709"/>
    <mergeCell ref="A710:J710"/>
    <mergeCell ref="A647:J647"/>
    <mergeCell ref="A648:J648"/>
    <mergeCell ref="A649:J649"/>
    <mergeCell ref="A662:J662"/>
    <mergeCell ref="A663:J663"/>
    <mergeCell ref="A664:J664"/>
    <mergeCell ref="A665:J665"/>
    <mergeCell ref="A684:J684"/>
    <mergeCell ref="A685:J685"/>
    <mergeCell ref="A621:J621"/>
    <mergeCell ref="A622:J622"/>
    <mergeCell ref="A623:J623"/>
    <mergeCell ref="A624:J624"/>
    <mergeCell ref="A635:J635"/>
    <mergeCell ref="A636:J636"/>
    <mergeCell ref="A637:J637"/>
    <mergeCell ref="A638:J638"/>
    <mergeCell ref="A646:J646"/>
    <mergeCell ref="A586:J586"/>
    <mergeCell ref="A599:J599"/>
    <mergeCell ref="A600:J600"/>
    <mergeCell ref="A601:J601"/>
    <mergeCell ref="A602:J602"/>
    <mergeCell ref="A605:J605"/>
    <mergeCell ref="A606:J606"/>
    <mergeCell ref="A607:J607"/>
    <mergeCell ref="A608:J608"/>
    <mergeCell ref="A550:J550"/>
    <mergeCell ref="A551:J551"/>
    <mergeCell ref="A565:J565"/>
    <mergeCell ref="A566:J566"/>
    <mergeCell ref="A567:J567"/>
    <mergeCell ref="A568:J568"/>
    <mergeCell ref="A583:J583"/>
    <mergeCell ref="A584:J584"/>
    <mergeCell ref="A585:J585"/>
    <mergeCell ref="A511:J511"/>
    <mergeCell ref="A512:J512"/>
    <mergeCell ref="A513:J513"/>
    <mergeCell ref="A525:J525"/>
    <mergeCell ref="A526:J526"/>
    <mergeCell ref="A527:J527"/>
    <mergeCell ref="A528:J528"/>
    <mergeCell ref="A548:J548"/>
    <mergeCell ref="A549:J549"/>
    <mergeCell ref="A487:J487"/>
    <mergeCell ref="A488:J488"/>
    <mergeCell ref="A489:J489"/>
    <mergeCell ref="A490:J490"/>
    <mergeCell ref="A496:J496"/>
    <mergeCell ref="A497:J497"/>
    <mergeCell ref="A498:J498"/>
    <mergeCell ref="A499:J499"/>
    <mergeCell ref="A510:J510"/>
    <mergeCell ref="A437:J437"/>
    <mergeCell ref="A453:J453"/>
    <mergeCell ref="A454:J454"/>
    <mergeCell ref="A455:J455"/>
    <mergeCell ref="A456:J456"/>
    <mergeCell ref="A466:J466"/>
    <mergeCell ref="A467:J467"/>
    <mergeCell ref="A468:J468"/>
    <mergeCell ref="A469:J469"/>
    <mergeCell ref="A407:J407"/>
    <mergeCell ref="A408:J408"/>
    <mergeCell ref="A421:J421"/>
    <mergeCell ref="A422:J422"/>
    <mergeCell ref="A423:J423"/>
    <mergeCell ref="A424:J424"/>
    <mergeCell ref="A434:J434"/>
    <mergeCell ref="A435:J435"/>
    <mergeCell ref="A436:J436"/>
    <mergeCell ref="A384:J384"/>
    <mergeCell ref="A385:J385"/>
    <mergeCell ref="A386:J386"/>
    <mergeCell ref="A395:J395"/>
    <mergeCell ref="A396:J396"/>
    <mergeCell ref="A397:J397"/>
    <mergeCell ref="A398:J398"/>
    <mergeCell ref="A405:J405"/>
    <mergeCell ref="A406:J406"/>
    <mergeCell ref="A341:J341"/>
    <mergeCell ref="A342:J342"/>
    <mergeCell ref="A343:J343"/>
    <mergeCell ref="A344:J344"/>
    <mergeCell ref="A352:J352"/>
    <mergeCell ref="A353:J353"/>
    <mergeCell ref="A354:J354"/>
    <mergeCell ref="A355:J355"/>
    <mergeCell ref="A383:J383"/>
    <mergeCell ref="A303:J303"/>
    <mergeCell ref="A317:J317"/>
    <mergeCell ref="A318:J318"/>
    <mergeCell ref="A319:J319"/>
    <mergeCell ref="A320:J320"/>
    <mergeCell ref="A329:J329"/>
    <mergeCell ref="A330:J330"/>
    <mergeCell ref="A331:J331"/>
    <mergeCell ref="A332:J332"/>
    <mergeCell ref="A260:J260"/>
    <mergeCell ref="A261:J261"/>
    <mergeCell ref="A275:J275"/>
    <mergeCell ref="A276:J276"/>
    <mergeCell ref="A277:J277"/>
    <mergeCell ref="A278:J278"/>
    <mergeCell ref="A300:J300"/>
    <mergeCell ref="A301:J301"/>
    <mergeCell ref="A302:J302"/>
    <mergeCell ref="A219:J219"/>
    <mergeCell ref="A220:J220"/>
    <mergeCell ref="A221:J221"/>
    <mergeCell ref="A249:J249"/>
    <mergeCell ref="A250:J250"/>
    <mergeCell ref="A251:J251"/>
    <mergeCell ref="A252:J252"/>
    <mergeCell ref="A258:J258"/>
    <mergeCell ref="A259:J259"/>
    <mergeCell ref="A204:J204"/>
    <mergeCell ref="A205:J205"/>
    <mergeCell ref="A206:J206"/>
    <mergeCell ref="A207:J207"/>
    <mergeCell ref="A211:J211"/>
    <mergeCell ref="A212:J212"/>
    <mergeCell ref="A213:J213"/>
    <mergeCell ref="A214:J214"/>
    <mergeCell ref="A218:J218"/>
    <mergeCell ref="A154:J154"/>
    <mergeCell ref="A173:J173"/>
    <mergeCell ref="A174:J174"/>
    <mergeCell ref="A175:J175"/>
    <mergeCell ref="A176:J176"/>
    <mergeCell ref="A188:J188"/>
    <mergeCell ref="A189:J189"/>
    <mergeCell ref="A190:J190"/>
    <mergeCell ref="A191:J191"/>
    <mergeCell ref="A117:J117"/>
    <mergeCell ref="A118:J118"/>
    <mergeCell ref="A135:J135"/>
    <mergeCell ref="A136:J136"/>
    <mergeCell ref="A137:J137"/>
    <mergeCell ref="A138:J138"/>
    <mergeCell ref="A151:J151"/>
    <mergeCell ref="A152:J152"/>
    <mergeCell ref="A153:J153"/>
    <mergeCell ref="A74:J74"/>
    <mergeCell ref="A75:J75"/>
    <mergeCell ref="A76:J76"/>
    <mergeCell ref="A101:J101"/>
    <mergeCell ref="A102:J102"/>
    <mergeCell ref="A103:J103"/>
    <mergeCell ref="A104:J104"/>
    <mergeCell ref="A115:J115"/>
    <mergeCell ref="A116:J116"/>
    <mergeCell ref="A1:J1"/>
    <mergeCell ref="A2:J2"/>
    <mergeCell ref="A3:J3"/>
    <mergeCell ref="A4:J4"/>
    <mergeCell ref="A5:J5"/>
    <mergeCell ref="A6:J6"/>
    <mergeCell ref="A71:J71"/>
    <mergeCell ref="A72:J72"/>
    <mergeCell ref="A73:J73"/>
  </mergeCells>
  <phoneticPr fontId="5" type="noConversion"/>
  <conditionalFormatting sqref="A8:A69">
    <cfRule type="duplicateValues" dxfId="1" priority="2"/>
  </conditionalFormatting>
  <conditionalFormatting sqref="A8:A70">
    <cfRule type="duplicateValues" dxfId="0" priority="1"/>
  </conditionalFormatting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2025-09-22T19:51:59Z</dcterms:created>
  <dcterms:modified xsi:type="dcterms:W3CDTF">2025-09-23T21:47:23Z</dcterms:modified>
</cp:coreProperties>
</file>