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3FEA2240-FB90-42B6-918B-4BA188442AC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66" i="1" l="1"/>
  <c r="K1266" i="1"/>
  <c r="H1266" i="1"/>
  <c r="L1265" i="1"/>
  <c r="K1265" i="1"/>
  <c r="H1265" i="1"/>
  <c r="L1264" i="1"/>
  <c r="K1264" i="1"/>
  <c r="H1264" i="1"/>
  <c r="L1263" i="1"/>
  <c r="K1263" i="1"/>
  <c r="H1263" i="1"/>
  <c r="L1262" i="1"/>
  <c r="K1262" i="1"/>
  <c r="H1262" i="1"/>
  <c r="L1261" i="1"/>
  <c r="K1261" i="1"/>
  <c r="H1261" i="1"/>
  <c r="L1260" i="1"/>
  <c r="K1260" i="1"/>
  <c r="H1260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32" i="1"/>
  <c r="K1232" i="1"/>
  <c r="H1232" i="1"/>
  <c r="L1231" i="1"/>
  <c r="K1231" i="1"/>
  <c r="H1231" i="1"/>
  <c r="L1230" i="1"/>
  <c r="K1230" i="1"/>
  <c r="H1230" i="1"/>
  <c r="L1229" i="1"/>
  <c r="K1229" i="1"/>
  <c r="H1229" i="1"/>
  <c r="L1228" i="1"/>
  <c r="K1228" i="1"/>
  <c r="H1228" i="1"/>
  <c r="L1227" i="1"/>
  <c r="K1227" i="1"/>
  <c r="H1227" i="1"/>
  <c r="L1226" i="1"/>
  <c r="K1226" i="1"/>
  <c r="H1226" i="1"/>
  <c r="L1225" i="1"/>
  <c r="K1225" i="1"/>
  <c r="H1225" i="1"/>
  <c r="L1224" i="1"/>
  <c r="K1224" i="1"/>
  <c r="H1224" i="1"/>
  <c r="L1223" i="1"/>
  <c r="K1223" i="1"/>
  <c r="H1223" i="1"/>
  <c r="L1222" i="1"/>
  <c r="K1222" i="1"/>
  <c r="H1222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8" i="1"/>
  <c r="K1198" i="1"/>
  <c r="H1198" i="1"/>
  <c r="L1197" i="1"/>
  <c r="K1197" i="1"/>
  <c r="H1197" i="1"/>
  <c r="L1196" i="1"/>
  <c r="K1196" i="1"/>
  <c r="H1196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6" i="1"/>
  <c r="K1186" i="1"/>
  <c r="H1186" i="1"/>
  <c r="L1185" i="1"/>
  <c r="K1185" i="1"/>
  <c r="H1185" i="1"/>
  <c r="L1184" i="1"/>
  <c r="K1184" i="1"/>
  <c r="H1184" i="1"/>
  <c r="L1183" i="1"/>
  <c r="K1183" i="1"/>
  <c r="H1183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71" i="1"/>
  <c r="K1171" i="1"/>
  <c r="H1171" i="1"/>
  <c r="L1170" i="1"/>
  <c r="K1170" i="1"/>
  <c r="H1170" i="1"/>
  <c r="L1169" i="1"/>
  <c r="K1169" i="1"/>
  <c r="H1169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43" i="1"/>
  <c r="K1143" i="1"/>
  <c r="H1143" i="1"/>
  <c r="L1142" i="1"/>
  <c r="K1142" i="1"/>
  <c r="H1142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89" i="1"/>
  <c r="K989" i="1"/>
  <c r="H989" i="1"/>
  <c r="L988" i="1"/>
  <c r="K988" i="1"/>
  <c r="H988" i="1"/>
  <c r="L987" i="1"/>
  <c r="K987" i="1"/>
  <c r="H987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25" i="1"/>
  <c r="K925" i="1"/>
  <c r="H925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39" i="1"/>
  <c r="K839" i="1"/>
  <c r="H839" i="1"/>
  <c r="L838" i="1"/>
  <c r="K838" i="1"/>
  <c r="H838" i="1"/>
  <c r="L837" i="1"/>
  <c r="K837" i="1"/>
  <c r="H837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07" i="1"/>
  <c r="K807" i="1"/>
  <c r="H807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0" i="1"/>
  <c r="K670" i="1"/>
  <c r="H670" i="1"/>
  <c r="L669" i="1"/>
  <c r="K669" i="1"/>
  <c r="H669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5" i="1"/>
  <c r="K655" i="1"/>
  <c r="H655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3" i="1"/>
  <c r="K623" i="1"/>
  <c r="H623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0" i="1"/>
  <c r="K450" i="1"/>
  <c r="H450" i="1"/>
  <c r="L449" i="1"/>
  <c r="K449" i="1"/>
  <c r="H449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2" i="1"/>
  <c r="K412" i="1"/>
  <c r="H412" i="1"/>
  <c r="L411" i="1"/>
  <c r="K411" i="1"/>
  <c r="H411" i="1"/>
  <c r="L410" i="1"/>
  <c r="K410" i="1"/>
  <c r="H410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07" i="1"/>
  <c r="K107" i="1"/>
  <c r="H107" i="1"/>
  <c r="L106" i="1"/>
  <c r="K106" i="1"/>
  <c r="H106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<sst xmlns="http://schemas.openxmlformats.org/spreadsheetml/2006/main" count="4675" uniqueCount="463">
  <si>
    <t>Informe de trayectos</t>
  </si>
  <si>
    <t>Periodo: 10 de febrero de 2025 0:00 - 10 de febrero de 2025 23:59</t>
  </si>
  <si>
    <t>Informe generado</t>
  </si>
  <si>
    <t>a: 22 de septiembre de 2025 14:13</t>
  </si>
  <si>
    <t>Resumen del informe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</si>
  <si>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</si>
  <si>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</si>
  <si>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</si>
  <si>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</si>
  <si>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</si>
  <si>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</si>
  <si>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</si>
  <si>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</si>
  <si>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</si>
  <si>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</si>
  <si>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</si>
  <si>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</si>
  <si>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</si>
  <si>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84 km/h</t>
  </si>
  <si>
    <t>16 km/h</t>
  </si>
  <si>
    <t>Avenida Lima Norte, Santa Eulalia, Lima Metropolitana, Lima, 15468, Perú</t>
  </si>
  <si>
    <t>96 km/h</t>
  </si>
  <si>
    <t>20 km/h</t>
  </si>
  <si>
    <t>Avenida Los Incas, Ate, Lima Metropolitana, Lima, 15483, Perú</t>
  </si>
  <si>
    <t>79 km/h</t>
  </si>
  <si>
    <t>18 km/h</t>
  </si>
  <si>
    <t>Calle Manantiales de Vida, Ate, Lima Metropolitana, Lima, 15487, Perú</t>
  </si>
  <si>
    <t>78 km/h</t>
  </si>
  <si>
    <t>17 km/h</t>
  </si>
  <si>
    <t>Ate, Lima Metropolitana, Lima, 15483, Perú</t>
  </si>
  <si>
    <t>81 km/h</t>
  </si>
  <si>
    <t>14 km/h</t>
  </si>
  <si>
    <t>75 km/h</t>
  </si>
  <si>
    <t>19 km/h</t>
  </si>
  <si>
    <t>Avenida Nicolás de Ayllón, Ate, Lima Metropolitana, Lima, 15008, Perú, (Ruta4507nueva era 23-10-23, RUTA DESVIO TEM.  4507)</t>
  </si>
  <si>
    <t>85 km/h</t>
  </si>
  <si>
    <t>24 km/h</t>
  </si>
  <si>
    <t>Carretera Central, Chaclacayo, Lima Metropolitana, Lima, 15476, Perú</t>
  </si>
  <si>
    <t>80 km/h</t>
  </si>
  <si>
    <t>Calle los Alamos, Chosica, Lima Metropolitana, Lima, 15468, Perú</t>
  </si>
  <si>
    <t>70 km/h</t>
  </si>
  <si>
    <t>Calle Las Gardenias, Ricardo Palma, Huarochirí, Lima, 15468, Perú</t>
  </si>
  <si>
    <t>45 km/h</t>
  </si>
  <si>
    <t>4 km/h</t>
  </si>
  <si>
    <t>Avenida José Santos Chocano, Ricardo Palma, Huarochirí, Lima, 15468, Perú</t>
  </si>
  <si>
    <t>Capitan Gamarra, Ricardo Palma, Huarochirí, Lima, 15468, Perú, (Ruta4507nueva era 23-10-23)</t>
  </si>
  <si>
    <t>98 km/h</t>
  </si>
  <si>
    <t>23 km/h</t>
  </si>
  <si>
    <t>Jirón Coronel Miguel Baquero, 210, Lima, Lima Metropolitana, Lima, 15082, Perú</t>
  </si>
  <si>
    <t>Avenida José Carlos Mariátegui, Ricardo Palma, Huarochirí, Lima, 15468, Perú</t>
  </si>
  <si>
    <t>82 km/h</t>
  </si>
  <si>
    <t>Calle Huayna Cápac, 200, Chaclacayo, Lima Metropolitana, Lima, 15474, Perú</t>
  </si>
  <si>
    <t>89 km/h</t>
  </si>
  <si>
    <t>Avenida José Carlos Mariátegui, Ate, Lima Metropolitana, Lima, 15487, Perú</t>
  </si>
  <si>
    <t>93 km/h</t>
  </si>
  <si>
    <t>Calle Cerro de Pasco, Ate, Lima Metropolitana, Lima, 15498, Perú</t>
  </si>
  <si>
    <t>68 km/h</t>
  </si>
  <si>
    <t>15 km/h</t>
  </si>
  <si>
    <t>Avenida Bernard de Balaguer, Lurigancho, Lima Metropolitana, Lima, 15464, Perú</t>
  </si>
  <si>
    <t>11 km/h</t>
  </si>
  <si>
    <t>88 km/h</t>
  </si>
  <si>
    <t>6 km/h</t>
  </si>
  <si>
    <t>1 km/h</t>
  </si>
  <si>
    <t>Calle 1, Ate, Lima Metropolitana, Lima, 15483, Perú</t>
  </si>
  <si>
    <t>Simón Bolívar, Ricardo Palma, Huarochirí, Lima, 15468, Perú</t>
  </si>
  <si>
    <t>Jirón Sánchez Pinillos, Lima, Lima Metropolitana, Lima, 15082, Perú, (Ruta4507nueva era 23-10-23)</t>
  </si>
  <si>
    <t>64 km/h</t>
  </si>
  <si>
    <t>Calle Leoncio Prado, Santa Eulalia, Huarochirí, Lima, 15468, Perú</t>
  </si>
  <si>
    <t>Chaclacayo, Lima Metropolitana, Lima, 15472, Perú, (Ruta4507nueva era 23-10-23)</t>
  </si>
  <si>
    <t>Avenida Nicolás de Ayllón, Ate, Lima Metropolitana, Lima, 15498, Perú, (Ruta4507nueva era 23-10-23)</t>
  </si>
  <si>
    <t>Calle Las Tunas, Santa Anita, Lima Metropolitana, Lima, 15007, Perú</t>
  </si>
  <si>
    <t>71 km/h</t>
  </si>
  <si>
    <t>Calle Los Topacios, Lurigancho, Lima Metropolitana, Lima, 15472, Perú</t>
  </si>
  <si>
    <t>Carretera Central (auxiliar), Chaclacayo, Lima Metropolitana, Lima, 15476, Perú, (Ruta4507nueva era 23-10-23)</t>
  </si>
  <si>
    <t>Avenida Paseo de la República, Lima, Lima Metropolitana, Lima, 15083, Perú, (Ruta4507nueva era 23-10-23)</t>
  </si>
  <si>
    <t>Avenida Almirante Miguel Grau, La Victoria, Lima Metropolitana, Lima, 15001, Perú, (Ruta4507nueva era 23-10-23)</t>
  </si>
  <si>
    <t>99 km/h</t>
  </si>
  <si>
    <t>Calle 11, Santa Anita, Lima Metropolitana, Lima, 15009, Perú</t>
  </si>
  <si>
    <t>73 km/h</t>
  </si>
  <si>
    <t>Carretera Central, Ate, Lima Metropolitana, Lima, 15474, Perú</t>
  </si>
  <si>
    <t>Ate, Lima Metropolitana, Lima, 15474, Perú</t>
  </si>
  <si>
    <t>Chosica, Lima Metropolitana, Lima, 15468, Perú</t>
  </si>
  <si>
    <t>Avenida Enrique Guzmán y Valle, Chosica, Lima Metropolitana, Lima, 15468, Perú</t>
  </si>
  <si>
    <t>76 km/h</t>
  </si>
  <si>
    <t>Calle Los Álamos, Ate, Lima Metropolitana, Lima, 15483, Perú</t>
  </si>
  <si>
    <t>59 km/h</t>
  </si>
  <si>
    <t>Jirón Argentina, Chosica, Lima Metropolitana, Lima, 15468, Perú</t>
  </si>
  <si>
    <t>94 km/h</t>
  </si>
  <si>
    <t>83 km/h</t>
  </si>
  <si>
    <t>7 km/h</t>
  </si>
  <si>
    <t>Santa Eulalia, Huarochirí, Lima, 15468, Perú</t>
  </si>
  <si>
    <t>91 km/h</t>
  </si>
  <si>
    <t>Avenida Las Retamas, Ricardo Palma, Huarochirí, Lima, 15468, Perú</t>
  </si>
  <si>
    <t>87 km/h</t>
  </si>
  <si>
    <t>Avenida Lima Norte, Chosica, Lima Metropolitana, Lima, 15468, Perú</t>
  </si>
  <si>
    <t>Avenida Nicolás de Ayllón, Ate, Lima Metropolitana, Lima, 15487, Perú, (Ruta4507nueva era 23-10-23)</t>
  </si>
  <si>
    <t>92 km/h</t>
  </si>
  <si>
    <t>13 km/h</t>
  </si>
  <si>
    <t>Ate, Lima Metropolitana, Lima, 15487, Perú</t>
  </si>
  <si>
    <t>Corcona, Huarochirí, Lima, Perú</t>
  </si>
  <si>
    <t>Calle 20 de Enero, Santa Eulalia, Huarochirí, Lima, 15468, Perú</t>
  </si>
  <si>
    <t>Avenida Los Cipreses, Santa Anita, Lima Metropolitana, Lima, 15002, Perú, (RUTA DESVIO TEM.  4507)</t>
  </si>
  <si>
    <t>12 km/h</t>
  </si>
  <si>
    <t>Avenida Micaela Bastidas, 561, Santa Eulalia, Huarochirí, Lima, 15468, Perú</t>
  </si>
  <si>
    <t>Avenida Nicolás de Ayllón, 836, Ate, Lima Metropolitana, Lima, 15487, Perú, (Ruta4507nueva era 23-10-23)</t>
  </si>
  <si>
    <t>Micaela Bastidas, Ate, Lima Metropolitana, Lima, 15498, Perú</t>
  </si>
  <si>
    <t>Avenida Almirante Miguel Grau, 1380, Lima, Lima Metropolitana, Lima, 15011, Perú, (Ruta4507nueva era 23-10-23)</t>
  </si>
  <si>
    <t>Ojeda, 145, Chosica, Lima Metropolitana, Lima, 15468, Perú</t>
  </si>
  <si>
    <t>95 km/h</t>
  </si>
  <si>
    <t>Calle Estocolmo, Ate, Lima Metropolitana, Lima, 15498, Perú</t>
  </si>
  <si>
    <t>Plaza Francisco Bolognesi, Lima, Lima Metropolitana, Lima, 15083, Perú, (Ruta4507nueva era 23-10-23)</t>
  </si>
  <si>
    <t>Carretera Central, Ate, Lima Metropolitana, Lima, 15487, Perú, (Ruta4507nueva era 23-10-23)</t>
  </si>
  <si>
    <t>Avenida Nicolás de Ayllón, Ate, Lima Metropolitana, Lima, 15008, Perú, (Ruta4507nueva era 23-10-23)</t>
  </si>
  <si>
    <t>Calle 2, Ate, Lima Metropolitana, Lima, 15487, Perú</t>
  </si>
  <si>
    <t>66 km/h</t>
  </si>
  <si>
    <t>Avenida Lima Sur, Chosica, Lima Metropolitana, Lima, 15468, Perú, (Ruta4507nueva era 23-10-23)</t>
  </si>
  <si>
    <t>102 km/h</t>
  </si>
  <si>
    <t>50 km/h</t>
  </si>
  <si>
    <t>Carretera Central, Ate, Lima Metropolitana, Lima, 15487, Perú, (S06 SANTA CLARA, Ruta4507nueva era 23-10-23)</t>
  </si>
  <si>
    <t>Carretera Central, Lurigancho, Lima Metropolitana, Lima, 15472, Perú, (Ruta4507nueva era 23-10-23)</t>
  </si>
  <si>
    <t>Totales:</t>
  </si>
  <si>
    <t/>
  </si>
  <si>
    <t>* Los datos de combustible se calculan de acuerdo con el consumo medio de combustible del vehículo especificado en su configuración</t>
  </si>
  <si>
    <t>Avenida Simón Bolívar, Santa Eulalia, Huarochirí, Lima, 15468, Perú</t>
  </si>
  <si>
    <t>77 km/h</t>
  </si>
  <si>
    <t>5 km/h</t>
  </si>
  <si>
    <t>0 km/h</t>
  </si>
  <si>
    <t>Avenida Simón Bolívar, Santa Eulalia, Huarochirí, Lima, 15468, Perú, (Ruta4507nueva era 23-10-23)</t>
  </si>
  <si>
    <t>Calle Cesar Vallejo, Ricardo Palma, Huarochirí, Lima, 15468, Perú</t>
  </si>
  <si>
    <t>10 km/h</t>
  </si>
  <si>
    <t>Jirón Washington, 1065, Lima, Lima Metropolitana, Lima, 15001, Perú</t>
  </si>
  <si>
    <t>52 km/h</t>
  </si>
  <si>
    <t>2 km/h</t>
  </si>
  <si>
    <t>Ciclovía Colonial, Lima, Lima Metropolitana, Lima, 15082, Perú</t>
  </si>
  <si>
    <t>26 km/h</t>
  </si>
  <si>
    <t>Jose Carlos Mariátegui, Chosica, Lima Metropolitana, Lima, 15468, Perú, (PARADERO RICARDO PALMA)</t>
  </si>
  <si>
    <t>21 km/h</t>
  </si>
  <si>
    <t>Jose Carlos Mariátegui, Ricardo Palma, Lima Metropolitana, Lima, 15468, Perú, (PARADERO RICARDO PALMA)</t>
  </si>
  <si>
    <t>9 km/h</t>
  </si>
  <si>
    <t>Avenida Lima Norte, Santa Eulalia, Huarochirí, Lima, 15468, Perú, (Ruta4507nueva era 23-10-23)</t>
  </si>
  <si>
    <t>28 km/h</t>
  </si>
  <si>
    <t>37 km/h</t>
  </si>
  <si>
    <t>Ricardo Palma, Huarochirí, Lima, 15468, Perú, (CURVA RICARDO PALMA, Ruta4507nueva era 23-10-23)</t>
  </si>
  <si>
    <t>38 km/h</t>
  </si>
  <si>
    <t>Carretera Central, Chaclacayo, Lima Metropolitana, Lima, 15476, Perú, (Ruta4507nueva era 23-10-23)</t>
  </si>
  <si>
    <t>41 km/h</t>
  </si>
  <si>
    <t>Avenida De Las Torres, San Luis, Lima Metropolitana, Lima, 15022, Perú</t>
  </si>
  <si>
    <t>22 km/h</t>
  </si>
  <si>
    <t>39 km/h</t>
  </si>
  <si>
    <t>34 km/h</t>
  </si>
  <si>
    <t>Avenida Almirante Miguel Grau, 243, Lima, Lima Metropolitana, Lima, 15001, Perú, (Ruta4507nueva era 23-10-23)</t>
  </si>
  <si>
    <t>Calle Salaverry, 280, Chosica, Lima Metropolitana, Lima, 15468, Perú, (Ruta4507nueva era 23-10-23)</t>
  </si>
  <si>
    <t>Pasaje José Balta, Ate, Lima Metropolitana, Lima, 15487, Perú</t>
  </si>
  <si>
    <t>Carretera Central, Lurigancho, Lima Metropolitana, Lima, 15483, Perú, (Ruta4507nueva era 23-10-23)</t>
  </si>
  <si>
    <t>61 km/h</t>
  </si>
  <si>
    <t>67 km/h</t>
  </si>
  <si>
    <t>72 km/h</t>
  </si>
  <si>
    <t>Avenida José Carlos Mariátegui, Ricardo Palma, Huarochirí, Lima, 15468, Perú, (Ruta4507nueva era 23-10-23)</t>
  </si>
  <si>
    <t>32 km/h</t>
  </si>
  <si>
    <t>Jirón Sánchez Pinillos, Lima, Lima Metropolitana, Lima, 15082, Perú</t>
  </si>
  <si>
    <t>Avenida 5 de Setiembre, Ricardo Palma, Huarochirí, Lima, 15468, Perú, (Ruta4507nueva era 23-10-23)</t>
  </si>
  <si>
    <t>Carretera Central, Chaclacayo, Lima Metropolitana, Lima, 15474, Perú</t>
  </si>
  <si>
    <t>Carretera Central, Chaclacayo, Lima Metropolitana, Lima, 15474, Perú, (Ruta4507nueva era 23-10-23)</t>
  </si>
  <si>
    <t>48 km/h</t>
  </si>
  <si>
    <t>Ricardo Palma, Huarochirí, Lima, 15468, Perú, (Ruta4507nueva era 23-10-23)</t>
  </si>
  <si>
    <t>Lima, Lima Metropolitana, Lima, 15082, Perú</t>
  </si>
  <si>
    <t>Avenida Andrés Avelino Cáceres, Ate, Lima Metropolitana, Lima, 15483, Perú</t>
  </si>
  <si>
    <t>60 km/h</t>
  </si>
  <si>
    <t>8 km/h</t>
  </si>
  <si>
    <t>3 km/h</t>
  </si>
  <si>
    <t>Calle Córdova, Ricardo Palma, Huarochirí, Lima, 15468, Perú, (Ruta4507nueva era 23-10-23)</t>
  </si>
  <si>
    <t>25 km/h</t>
  </si>
  <si>
    <t>Avenida Nicolás de Ayllón, Ate, Lima Metropolitana, Lima, 15002, Perú, (Ruta4507nueva era 23-10-23, RUTA DESVIO TEM.  4507)</t>
  </si>
  <si>
    <t>62 km/h</t>
  </si>
  <si>
    <t>Marcos Puente Llanos, Ate, Lima Metropolitana, Lima, 15498, Perú, (RUTA DESVIO TEM.  4507)</t>
  </si>
  <si>
    <t>Calle Berlín, Ate, Lima Metropolitana, Lima, 15498, Perú</t>
  </si>
  <si>
    <t>30 km/h</t>
  </si>
  <si>
    <t>Calle Berlín, Ate, Lima Metropolitana, Lima, 15498, Perú, (RUTA DESVIO TEM.  4507)</t>
  </si>
  <si>
    <t>Avenida Minería, Santa Anita, Lima Metropolitana, Lima, 15008, Perú, (Ruta4507nueva era 23-10-23, RUTA DESVIO TEM.  4507)</t>
  </si>
  <si>
    <t>Avenida Nicolás de Ayllón, Santa Anita, Lima Metropolitana, Lima, 15008, Perú, (Ruta4507nueva era 23-10-23)</t>
  </si>
  <si>
    <t>Avenida Los Cipreses, Santa Anita, Lima Metropolitana, Lima, 15002, Perú</t>
  </si>
  <si>
    <t>Avenida Los Ruiseñores, Santa Anita, Lima Metropolitana, Lima, 15008, Perú, (RUTA DESVIO TEM.  4507)</t>
  </si>
  <si>
    <t>Avenida Huancaray, Santa Anita, Lima Metropolitana, Lima, 15007, Perú, (RUTA DESVIO TEM.  4507)</t>
  </si>
  <si>
    <t>Avenida Santa Rosa, Santa Anita, Lima Metropolitana, Lima, 15007, Perú, (RUTA DESVIO TEM.  4507)</t>
  </si>
  <si>
    <t>Santa Anita, Lima Metropolitana, Lima, 15007, Perú, (RUTA DESVIO TEM.  4507)</t>
  </si>
  <si>
    <t>27 km/h</t>
  </si>
  <si>
    <t>Avenida Metropolitana, Santa Anita, Lima Metropolitana, Lima, 15009, Perú, (RUTA DESVIO TEM.  4507)</t>
  </si>
  <si>
    <t>Avenida Metropolitana, Ate, Lima Metropolitana, Lima, 15498, Perú, (RUTA DESVIO TEM.  4507)</t>
  </si>
  <si>
    <t>65 km/h</t>
  </si>
  <si>
    <t>54 km/h</t>
  </si>
  <si>
    <t>Marcos Puente Llanos, Ate, Lima Metropolitana, Lima, 15498, Perú</t>
  </si>
  <si>
    <t>51 km/h</t>
  </si>
  <si>
    <t>Carretera Central, Ate, Lima Metropolitana, Lima, 15474, Perú, (Ruta4507nueva era 23-10-23)</t>
  </si>
  <si>
    <t>29 km/h</t>
  </si>
  <si>
    <t>Avenida Andrés Avelino Cáceres, Ate, Lima Metropolitana, Lima, 15474, Perú</t>
  </si>
  <si>
    <t>58 km/h</t>
  </si>
  <si>
    <t>43 km/h</t>
  </si>
  <si>
    <t>Carretera Central, Ate, Lima Metropolitana, Lima, 15483, Perú, (Ruta4507nueva era 23-10-23)</t>
  </si>
  <si>
    <t>Carretera Central, Chaclacayo, Lima Metropolitana, Lima, 15474, Perú, (S07ÑAÑA, Ruta4507nueva era 23-10-23)</t>
  </si>
  <si>
    <t>47 km/h</t>
  </si>
  <si>
    <t>49 km/h</t>
  </si>
  <si>
    <t>Avenida Unión, Chaclacayo, Lima Metropolitana, Lima, 15474, Perú, (S07ÑAÑA, Ruta4507nueva era 23-10-23)</t>
  </si>
  <si>
    <t>42 km/h</t>
  </si>
  <si>
    <t>35 km/h</t>
  </si>
  <si>
    <t>Carretera Central, Ate, Lima Metropolitana, Lima, 15474, Perú, (Horacio Zeballos, Ruta4507nueva era 23-10-23)</t>
  </si>
  <si>
    <t>56 km/h</t>
  </si>
  <si>
    <t>31 km/h</t>
  </si>
  <si>
    <t>Avenida Nicolás de Ayllón, 5818, Ate, Lima Metropolitana, Lima, 15498, Perú, (Ruta4507nueva era 23-10-23)</t>
  </si>
  <si>
    <t>55 km/h</t>
  </si>
  <si>
    <t>Jirón San Martín de Porres, Ate, Lima Metropolitana, Lima, 15498, Perú, (Ruta4507nueva era 23-10-23, RUTA DESVIO TEM.  4507)</t>
  </si>
  <si>
    <t>Avenida Santa María, Ate, Lima Metropolitana, Lima, 15498, Perú, (Ruta4507nueva era 23-10-23)</t>
  </si>
  <si>
    <t>33 km/h</t>
  </si>
  <si>
    <t>Ate, Lima Metropolitana, Lima, 15498, Perú, (Ruta4507nueva era 23-10-23)</t>
  </si>
  <si>
    <t>44 km/h</t>
  </si>
  <si>
    <t>Avenida Nicolás de Ayllón, Santa Anita, Lima Metropolitana, Lima, 15498, Perú, (Ruta4507nueva era 23-10-23)</t>
  </si>
  <si>
    <t>57 km/h</t>
  </si>
  <si>
    <t>Avenida Nicolás de Ayllón, Santa Anita, Lima Metropolitana, Lima, 15009, Perú, (Ruta4507nueva era 23-10-23)</t>
  </si>
  <si>
    <t>Las Alondras, 175, Santa Anita, Lima Metropolitana, Lima, 15008, Perú, (Ruta4507nueva era 23-10-23)</t>
  </si>
  <si>
    <t>Avenida Nicolás de Ayllón, Santa Anita, Lima Metropolitana, Lima, 15008, Perú, (Ruta4507nueva era 23-10-23, RUTA DESVIO TEM.  4507)</t>
  </si>
  <si>
    <t>Vía de Evitamiento, Santa Anita, Lima Metropolitana, Lima, 15008, Perú, (Ruta4507nueva era 23-10-23)</t>
  </si>
  <si>
    <t>Vía de Evitamiento, Santa Anita, Lima Metropolitana, Lima, 15008, Perú, (Ruta4507nueva era 23-10-23, RUTA DESVIO TEM.  4507)</t>
  </si>
  <si>
    <t>Avenida Nicolás de Ayllón, El Agustino, Lima Metropolitana, Lima, 15008, Perú, (Ruta4507nueva era 23-10-23)</t>
  </si>
  <si>
    <t>Calle Santa Inés, Ate, Lima Metropolitana, Lima, 15008, Perú, (Ruta4507nueva era 23-10-23, RUTA DESVIO TEM.  4507)</t>
  </si>
  <si>
    <t>Avenida Nicolás de Ayllón, Ate, Lima Metropolitana, Lima, 15009, Perú, (Ruta4507nueva era 23-10-23)</t>
  </si>
  <si>
    <t>Víctor Raúl Haya de la Torre, Ate, Lima Metropolitana, Lima, 15498, Perú, (Ruta4507nueva era 23-10-23)</t>
  </si>
  <si>
    <t>Avenida Nicolás de Ayllón, 4770, Ate, Lima Metropolitana, Lima, 15498, Perú, (Ruta4507nueva era 23-10-23)</t>
  </si>
  <si>
    <t>Victor Raul Haya de la Torre, Ate, Lima Metropolitana, Lima, 15498, Perú, (Ruta4507nueva era 23-10-23)</t>
  </si>
  <si>
    <t>Avenida Nicolás de Ayllón, Ate, Lima Metropolitana, Lima, 15498, Perú, (Ruta4507nueva era 23-10-23, RUTA DESVIO TEM.  4507)</t>
  </si>
  <si>
    <t>Avenida Nueva Neópolis, Ate, Lima Metropolitana, Lima, 15487, Perú, (Ruta4507nueva era 23-10-23)</t>
  </si>
  <si>
    <t>36 km/h</t>
  </si>
  <si>
    <t>Avenida Jaime Zubieta Calderón, Ate, Lima Metropolitana, Lima, 15483, Perú, (Ruta4507nueva era 23-10-23)</t>
  </si>
  <si>
    <t>Avenida Nicolás Ayllón, Chaclacayo, Lima Metropolitana, Lima, 15472, Perú, (Ruta4507nueva era 23-10-23)</t>
  </si>
  <si>
    <t>69 km/h</t>
  </si>
  <si>
    <t>Avenida Las Flores, Lurigancho, Lima Metropolitana, Lima, 15468, Perú, (Ruta4507nueva era 23-10-23)</t>
  </si>
  <si>
    <t>40 km/h</t>
  </si>
  <si>
    <t>Avenida Lima Sur, 824, Chosica, Lima Metropolitana, Lima, 15468, Perú, (Ruta4507nueva era 23-10-23)</t>
  </si>
  <si>
    <t>Jirón Chucuito, 187, Chosica, Lima Metropolitana, Lima, 15468, Perú, (Ruta4507nueva era 23-10-23)</t>
  </si>
  <si>
    <t>Avenida Lima Sur, 275, Chosica, Lima Metropolitana, Lima, 15468, Perú, (Ruta4507nueva era 23-10-23)</t>
  </si>
  <si>
    <t>Avenida Lima Norte, Santa Eulalia, Lima Metropolitana, Lima, 15468, Perú, (Ruta4507nueva era 23-10-23)</t>
  </si>
  <si>
    <t>Jirón Trujillo Sur, Chosica, Lima Metropolitana, Lima, 15468, Perú, (Ruta4507nueva era 23-10-23)</t>
  </si>
  <si>
    <t>Jirón Tacna, Chosica, Lima Metropolitana, Lima, 15468, Perú</t>
  </si>
  <si>
    <t>Jirón Tacna, Chosica, Lima Metropolitana, Lima, 15468, Perú, (Ruta4507nueva era 23-10-23)</t>
  </si>
  <si>
    <t>Avenida Las Flores, Chosica, Lima Metropolitana, Lima, 15468, Perú, (Ruta4507nueva era 23-10-23)</t>
  </si>
  <si>
    <t>Calle Los Geranios, Chosica, Lima Metropolitana, Lima, 15468, Perú, (Ruta4507nueva era 23-10-23)</t>
  </si>
  <si>
    <t>Avenida Las Flores, Lurigancho, Lima Metropolitana, Lima, 15472, Perú, (Ruta4507nueva era 23-10-23)</t>
  </si>
  <si>
    <t>Avenida Nicolás Ayllón, Chaclacayo, Lima Metropolitana, Lima, 15472, Perú</t>
  </si>
  <si>
    <t>Carretera Central, Chaclacayo, Lima Metropolitana, Lima, 15464, Perú, (Ruta4507nueva era 23-10-23)</t>
  </si>
  <si>
    <t>63 km/h</t>
  </si>
  <si>
    <t>Ate, Lima Metropolitana, Lima, 15487, Perú, (Ruta4507nueva era 23-10-23)</t>
  </si>
  <si>
    <t>Avenida Nicolás de Ayllón, 816-818, Ate, Lima Metropolitana, Lima, 15487, Perú, (Ruta4507nueva era 23-10-23)</t>
  </si>
  <si>
    <t>Las Alondras, 237, Santa Anita, Lima Metropolitana, Lima, 15008, Perú, (Ruta4507nueva era 23-10-23)</t>
  </si>
  <si>
    <t>Avenida Francisco Bolognesi, Santa Anita, Lima Metropolitana, Lima, 15008, Perú, (Ruta4507nueva era 23-10-23)</t>
  </si>
  <si>
    <t>Jirón Meliton Carbajal, Ate, Lima Metropolitana, Lima, 15019, Perú</t>
  </si>
  <si>
    <t>Jirón Los Lirios, Ate, Lima Metropolitana, Lima, 15019, Perú</t>
  </si>
  <si>
    <t>Calle Ollanta, San Luis, Lima Metropolitana, Lima, 15019, Perú</t>
  </si>
  <si>
    <t>Inca Garcilaso de la Vega, Lima, Lima Metropolitana, Lima, 15019, Perú</t>
  </si>
  <si>
    <t>15 de Abril, El Agustino, Lima Metropolitana, Lima, 15004, Perú</t>
  </si>
  <si>
    <t>Avenida Inca Garcilazo de la Vega, Lima, Lima Metropolitana, Lima, 15004, Perú</t>
  </si>
  <si>
    <t>Jirón Junín, El Agustino, Lima Metropolitana, Lima, 15003, Perú</t>
  </si>
  <si>
    <t>Jirón Junín, Lima, Lima Metropolitana, Lima, 15003, Perú</t>
  </si>
  <si>
    <t>Jirón Conchucos, 996, Lima, Lima Metropolitana, Lima, 15003, Perú</t>
  </si>
  <si>
    <t>Avenida Sebastián Lorente, 1162, Lima, Lima Metropolitana, Lima, 15011, Perú</t>
  </si>
  <si>
    <t>Avenida Almirante Miguel Grau, 1832, Lima, Lima Metropolitana, Lima, 15011, Perú</t>
  </si>
  <si>
    <t>Avenida Almirante Miguel Grau, 1804, Lima, Lima Metropolitana, Lima, 15011, Perú</t>
  </si>
  <si>
    <t>Avenida Almirante Miguel Grau, 1772, Lima, Lima Metropolitana, Lima, 15011, Perú, (Ruta4507nueva era 23-10-23)</t>
  </si>
  <si>
    <t>Avenida Almirante Miguel Grau, 1299, Lima, Lima Metropolitana, Lima, 15011, Perú, (Ruta4507nueva era 23-10-23)</t>
  </si>
  <si>
    <t>Avenida Almirante Miguel Grau, 1294, Lima, Lima Metropolitana, Lima, 15011, Perú, (Ruta4507nueva era 23-10-23)</t>
  </si>
  <si>
    <t>Vía Expresa Almirante Miguel Grau, La Victoria, Lima Metropolitana, Lima, 15011, Perú, (Ruta4507nueva era 23-10-23)</t>
  </si>
  <si>
    <t>Avenida Almirante Miguel Grau, 1200, Lima, Lima Metropolitana, Lima, 15011, Perú, (Ruta4507nueva era 23-10-23)</t>
  </si>
  <si>
    <t>Avenida Paseo de la República, La Victoria, Lima Metropolitana, Lima, 15001, Perú, (Ruta4507nueva era 23-10-23)</t>
  </si>
  <si>
    <t>Avenida 28 de Julio, Lima, Lima Metropolitana, Lima, 15083, Perú</t>
  </si>
  <si>
    <t>Avenida 28 de Julio, 715, Jesús María, Lima Metropolitana, Lima, 15083, Perú</t>
  </si>
  <si>
    <t>Avenida Alfonso Ugarte, 494, Breña, Lima Metropolitana, Lima, 15083, Perú, (Ruta4507nueva era 23-10-23)</t>
  </si>
  <si>
    <t>Jirón Paraguay, 426, Lima, Lima Metropolitana, Lima, 15083, Perú, (Ruta4507nueva era 23-10-23)</t>
  </si>
  <si>
    <t>Avenida Alfonso Ugarte, 1409, Lima, Lima Metropolitana, Lima, 15083, Perú</t>
  </si>
  <si>
    <t>Avenida Alfonso Ugarte, 1235, Lima, Lima Metropolitana, Lima, 15083, Perú, (Ruta4507nueva era 23-10-23)</t>
  </si>
  <si>
    <t>Avenida Alfonso Ugarte, 1227, Breña, Lima Metropolitana, Lima, 15083, Perú, (Ruta4507nueva era 23-10-23)</t>
  </si>
  <si>
    <t>Jirón Huarochirí, Lima, Lima Metropolitana, Lima, 15082, Perú</t>
  </si>
  <si>
    <t>Jirón Huarochirí, 643, Lima, Lima Metropolitana, Lima, 15082, Perú</t>
  </si>
  <si>
    <t>Avenida Óscar Raimundo Benavides, 150, Lima, Lima Metropolitana, Lima, 15082, Perú</t>
  </si>
  <si>
    <t>Avenida Óscar Raimundo Benavides, 150, Lima, Lima Metropolitana, Lima, 15082, Perú, (Ruta4507nueva era 23-10-23)</t>
  </si>
  <si>
    <t>Avenida Alfonso Ugarte, 619, Lima, Lima Metropolitana, Lima, 15082, Perú, (Ruta4507nueva era 23-10-23)</t>
  </si>
  <si>
    <t>Avenida Alfonso Ugarte, Breña, Lima Metropolitana, Lima, 15082, Perú, (S01Alfonso Ugarte/ Metro, Ruta4507nueva era 23-10-23)</t>
  </si>
  <si>
    <t>Avenida Alfonso Ugarte, Breña, Lima Metropolitana, Lima, 15082, Perú, (Ruta4507nueva era 23-10-23)</t>
  </si>
  <si>
    <t>Jirón Gregorio Paredes, Lima, Lima Metropolitana, Lima, 15083, Perú</t>
  </si>
  <si>
    <t>Avenida Guzmán Blanco, 290, Lima, Lima Metropolitana, Lima, 15083, Perú</t>
  </si>
  <si>
    <t>Avenida Guzmán Blanco, 321, Lima, Lima Metropolitana, Lima, 15046, Perú</t>
  </si>
  <si>
    <t>Avenida Guzmán Blanco, 481, Lima, Lima Metropolitana, Lima, 15046, Perú</t>
  </si>
  <si>
    <t>Avenida Guzmán Blanco, 507, Lima, Lima Metropolitana, Lima, 15046, Perú</t>
  </si>
  <si>
    <t>Avenida 28 de Julio, Jesús María, Lima Metropolitana, Lima, 15083, Perú</t>
  </si>
  <si>
    <t>Avenida República de Chile, Jesús María, Lima Metropolitana, Lima, 15083, Perú</t>
  </si>
  <si>
    <t>Avenida Paseo de la República, 385, La Victoria, Lima Metropolitana, Lima, 15001, Perú</t>
  </si>
  <si>
    <t>Vía Expresa Almirante Miguel Grau, La Victoria, Lima Metropolitana, Lima, 15001, Perú, (Ruta4507nueva era 23-10-23)</t>
  </si>
  <si>
    <t>Vía Expresa Almirante Miguel Grau, Lima, Lima Metropolitana, Lima, 15001, Perú, (Ruta4507nueva era 23-10-23)</t>
  </si>
  <si>
    <t>Avenida Almirante Miguel Grau, 813, Lima, Lima Metropolitana, Lima, 15001, Perú, (Ruta4507nueva era 23-10-23)</t>
  </si>
  <si>
    <t>Avenida Almirante Miguel Grau, 848, Lima, Lima Metropolitana, Lima, 15001, Perú, (Ruta4507nueva era 23-10-23)</t>
  </si>
  <si>
    <t>Avenida Almirante Miguel Grau, Lima, Lima Metropolitana, Lima, 15011, Perú, (Ruta4507nueva era 23-10-23)</t>
  </si>
  <si>
    <t>Avenida Almirante Miguel Grau, 1499, Lima, Lima Metropolitana, Lima, 15011, Perú, (Ruta4507nueva era 23-10-23)</t>
  </si>
  <si>
    <t>Prolongación Avenida San Pablo, Lima, Lima Metropolitana, Lima, 15011, Perú, (Ruta4507nueva era 23-10-23)</t>
  </si>
  <si>
    <t>Prolongación Avenida San Pablo, Lima, Lima Metropolitana, Lima, 15011, Perú</t>
  </si>
  <si>
    <t>Avenida Nicolás de Ayllón, La Victoria, Lima Metropolitana, Lima, 15019, Perú, (S03 Nicolas Ayllon/ Mexico, Ruta4507nueva era 23-10-23)</t>
  </si>
  <si>
    <t>Avenida Circunvalación, 200, San Luis, Lima Metropolitana, Lima, 15019, Perú, (Ruta4507nueva era 23-10-23)</t>
  </si>
  <si>
    <t>Avenida Nicolás de Ayllón, C 32, Ate, Lima Metropolitana, Lima, 15008, Perú, (Ruta4507nueva era 23-10-23)</t>
  </si>
  <si>
    <t>Calle Julieta, 104, Ate, Lima Metropolitana, Lima, 15009, Perú, (Ruta4507nueva era 23-10-23)</t>
  </si>
  <si>
    <t>53 km/h</t>
  </si>
  <si>
    <t>Ate, Lima Metropolitana, Lima, 15009, Perú, (Ruta4507nueva era 23-10-23)</t>
  </si>
  <si>
    <t>Avenida Nicolás de Ayllón, Km. 3.5, Santa Anita, Lima Metropolitana, Lima, 00051, Perú, (Ruta4507nueva era 23-10-23)</t>
  </si>
  <si>
    <t>Avenida Nicolás de Ayllón, 15498, Ate, Lima Metropolitana, Lima, 15498, Perú, (Ruta4507nueva era 23-10-23, RUTA DESVIO TEM.  4507)</t>
  </si>
  <si>
    <t>Avenida Nicolás de Ayllón, Ate, Lima Metropolitana, Lima, 15498, Perú, (S05Vitarte/ ALT. Hospital, Ruta4507nueva era 23-10-23)</t>
  </si>
  <si>
    <t>Avenida José Carlos Mariátegui, Ate, Lima Metropolitana, Lima, 15498, Perú, (S05Vitarte/ ALT. Hospital, Ruta4507nueva era 23-10-23)</t>
  </si>
  <si>
    <t>Carretera Central, 1030, Ate, Lima Metropolitana, Lima, 15487, Perú, (Ruta4507nueva era 23-10-23)</t>
  </si>
  <si>
    <t>46 km/h</t>
  </si>
  <si>
    <t>Carretera Central, Chaclacayo, Lima Metropolitana, Lima, 15464, Perú</t>
  </si>
  <si>
    <t>Avenida Lima Sur, 1254, Chosica, Lima Metropolitana, Lima, 15468, Perú</t>
  </si>
  <si>
    <t>Jirón Iquitos, Chosica, Lima Metropolitana, Lima, 15468, Perú</t>
  </si>
  <si>
    <t>Jirón Arica, Chosica, Lima Metropolitana, Lima, 15468, Perú</t>
  </si>
  <si>
    <t>Avenida Lima Sur, Chosica, Lima Metropolitana, Lima, 15468, Perú</t>
  </si>
  <si>
    <t>Avenida Malecón Manco Cápac, Chaclacayo, Lima Metropolitana, Lima, 15472, Perú, (Ruta4507nueva era 23-10-23)</t>
  </si>
  <si>
    <t>Carretera Central, Lurigancho, Lima Metropolitana, Lima, 15483, Perú</t>
  </si>
  <si>
    <t>Pasaje Gould, Lima, Lima Metropolitana, Lima, 15082, Perú</t>
  </si>
  <si>
    <t>Carretera Central, Ricardo Palma, Huarochirí, Lima, 15468, Perú</t>
  </si>
  <si>
    <t>Abraham Valdelomar, Ricardo Palma, Huarochirí, Lima, 15468, Perú</t>
  </si>
  <si>
    <t>Jirón Los Próceres, Santa Eulalia, Huarochirí, Lima, 15468, Perú</t>
  </si>
  <si>
    <t>Simón Bolívar, Ricardo Palma, Huarochirí, Lima, 15468, Perú, (TALLER TRASANDINO)</t>
  </si>
  <si>
    <t>Avenida 5 de Setiembre, Ricardo Palma, Huarochirí, Lima, 15468, Perú</t>
  </si>
  <si>
    <t>Simón Bolívar, Ricardo Palma, Huarochirí, Lima, 15468, Perú, (Ruta4507nueva era 23-10-23)</t>
  </si>
  <si>
    <t>Lurigancho, Lima Metropolitana, Lima, 15468, Perú</t>
  </si>
  <si>
    <t>Avenida Óscar Raimundo Benavides, 301, Lima, Lima Metropolitana, Lima, 15082, Perú</t>
  </si>
  <si>
    <t>Avenida José Carlos Mariátegui, Ricardo Palma, Huarochirí, Lima, 15468, Perú, (CURVA RICARDO PALMA, Ruta4507nueva era 23-10-23)</t>
  </si>
  <si>
    <t>Avenida Nicolás de Ayllón, 1912, Ate, Lima Metropolitana, Lima, 15002, Perú, (Ruta4507nueva era 23-10-23, RUTA DESVIO TEM.  4507)</t>
  </si>
  <si>
    <t>Avenida Óscar Raimundo Benavides, 213, Lima, Lima Metropolitana, Lima, 15082, Perú, (Ruta4507nueva era 23-10-23)</t>
  </si>
  <si>
    <t>Avenida Óscar Raimundo Benavides, 213, Lima, Lima Metropolitana, Lima, 15082, Perú</t>
  </si>
  <si>
    <t>74 km/h</t>
  </si>
  <si>
    <t>Avenida Río Perene, Ate, Lima Metropolitana, Lima, 15498, Perú</t>
  </si>
  <si>
    <t>Jirón Zorritos, Lima, Lima Metropolitana, Lima, 15082, Perú</t>
  </si>
  <si>
    <t>Calle Arequipa, Ate, Lima Metropolitana, Lima, 15498, Perú</t>
  </si>
  <si>
    <t>Avenida Nicolás Ayllón, 137, Lima, Lima Metropolitana, Lima, 15011, Perú, (Ruta4507nueva era 23-10-23)</t>
  </si>
  <si>
    <t>Avenida Alfonso Cobián, Chaclacayo, Lima Metropolitana, Lima, 15476, Perú</t>
  </si>
  <si>
    <t>Avenida Los Incas, 205, Ate, Lima Metropolitana, Lima, 15483, Perú</t>
  </si>
  <si>
    <t>Jirón Sánchez Pinillos, 189, Lima, Lima Metropolitana, Lima, 15082, Perú, (Ruta4507nueva era 23-10-23)</t>
  </si>
  <si>
    <t>Calle Angel Cepollini, San Luis, Lima Metropolitana, Lima, 15019, Perú</t>
  </si>
  <si>
    <t>Calle Los Gladiolos, Chosica, Lima Metropolitana, Lima, 15468, Perú</t>
  </si>
  <si>
    <t>Avenida Lima Norte, Santa Eulalia, Huarochirí, Lima, 15468, Perú</t>
  </si>
  <si>
    <t>Jirón Cornelio Borda, Lima, Lima Metropolitana, Lima, 15082, Perú</t>
  </si>
  <si>
    <t>Avenida 9 de Diciembre, 150, Lima, Lima Metropolitana, Lima, 15083, Perú, (Ruta4507nueva era 23-10-23)</t>
  </si>
  <si>
    <t>Calle 3, Santa Anita, Lima Metropolitana, Lima, 15007, Perú</t>
  </si>
  <si>
    <t>90 km/h</t>
  </si>
  <si>
    <t>Avenida 15 de Julio, Nº 512 UVC 3, Ate, Lima Metropolitana, Lima, 15483, Perú</t>
  </si>
  <si>
    <t>Avenida 9 de Diciembre, 371, Lima, Lima Metropolitana, Lima, 15083, Perú, (Ruta4507nueva era 23-10-23)</t>
  </si>
  <si>
    <t>Avenida Huancaray, Santa Anita, Lima Metropolitana, Lima, 15009, Perú, (RUTA DESVIO TEM.  4507)</t>
  </si>
  <si>
    <t>Pasaje 9 de Setiembre, Ate, Lima Metropolitana, Lima, 15008, Perú, (Ruta4507nueva era 23-10-23)</t>
  </si>
  <si>
    <t>Avenida Lima Norte, Chosica, Lima Metropolitana, Lima, 15468, Perú, (Ruta4507nueva era 23-10-23)</t>
  </si>
  <si>
    <t>Avenida Lima Norte, 574, Santa Eulalia, Lima Metropolitana, Lima, 15468, Perú, (Ruta4507nueva era 23-10-23)</t>
  </si>
  <si>
    <t>Avenida Lima Norte, 180, Chosica, Lima Metropolitana, Lima, 15468, Perú, (Ruta4507nueva era 23-10-23)</t>
  </si>
  <si>
    <t>Avenida Lima Norte, 599, Chosica, Lima Metropolitana, Lima, 15468, Perú, (Ruta4507nueva era 23-10-23)</t>
  </si>
  <si>
    <t>Avenida Paseo de la República, 400, Jesús María, Lima Metropolitana, Lima, 15001, Perú</t>
  </si>
  <si>
    <t>Chosica, Lima Metropolitana, Lima, 15468, Perú, (Ruta4507nueva era 23-10-23)</t>
  </si>
  <si>
    <t>Vía Expresa Almirante Miguel Grau, Lima, Lima Metropolitana, Lima, 15011, Perú, (Ruta4507nueva era 23-10-23)</t>
  </si>
  <si>
    <t>Avenida Nicolás de Ayllón, 4351, Ate, Lima Metropolitana, Lima, 15498, Perú, (Ruta4507nueva era 23-10-23)</t>
  </si>
  <si>
    <t>Avenida Los Ángeles, Ate, Lima Metropolitana, Lima, 15498, Perú</t>
  </si>
  <si>
    <t>Victor Raul Haya de la Torre, Ate, Lima Metropolitana, Lima, 15498, Perú, (Ruta4507nueva era 23-10-23, RUTA DESVIO TEM.  4507)</t>
  </si>
  <si>
    <t>Avenida Lima Norte, 178, Chosica, Lima Metropolitana, Lima, 15468, Perú</t>
  </si>
  <si>
    <t>Avenida José Carlos Mariátegui, Ate, Lima Metropolitana, Lima, 15483, Perú</t>
  </si>
  <si>
    <t>Ciclovía Colonial, Lima, Lima Metropolitana, Lima, 15082, Perú, (Ruta4507nueva era 23-10-23)</t>
  </si>
  <si>
    <t>Vía de Evitamiento, Ate, Lima Metropolitana, Lima, 15008, Perú, (Ruta4507nueva era 23-10-23, RUTA DESVIO TEM.  4507)</t>
  </si>
  <si>
    <t>Alameda E, Chaclacayo, Lima Metropolitana, Lima, 15476, Perú</t>
  </si>
  <si>
    <t>Carretera Central, Ate, Lima Metropolitana, Lima, 15487, Perú, (S06 SANTA CLARA)</t>
  </si>
  <si>
    <t>Avenida Central, Ate, Lima Metropolitana, Lima, 15487, Perú</t>
  </si>
  <si>
    <t>Carretera Central, Ate, Lima Metropolitana, Lima, 15483, Perú</t>
  </si>
  <si>
    <t>Jirón Cornelio Borda, Breña, Lima Metropolitana, Lima, 15082, Perú</t>
  </si>
  <si>
    <t>Jirón Cornelio Borda, Breña, Lima Metropolitana, Lima, 15082, Perú, (Ruta4507nueva era 23-10-23)</t>
  </si>
  <si>
    <t>Jirón Sánchez Pinillos, Breña, Lima Metropolitana, Lima, 15082, Perú</t>
  </si>
  <si>
    <t>Avenida San Martín, Santa Eulalia, Huarochirí, Lima, 15468, Perú</t>
  </si>
  <si>
    <t>Avenida Iquitos, Lima, Lima Metropolitana, Lima, 15001, Perú, (Ruta4507nueva era 23-10-23)</t>
  </si>
  <si>
    <t>Jirón Ascope, Lima, Lima Metropolitana, Lima, 15082, Perú, (PARADERO DESTINO ASCOPE)</t>
  </si>
  <si>
    <t>Avenida Óscar Raimundo Benavides, 300, Lima, Lima Metropolitana, Lima, 15082, Perú</t>
  </si>
  <si>
    <t>Avenida San Marcos, Ate, Lima Metropolitana, Lima, 15483, Perú</t>
  </si>
  <si>
    <t>Avenida Nicolás de Ayllón, 5880, Ate, Lima Metropolitana, Lima, 15498, Perú, (S05Vitarte/ ALT. Hospital, Ruta4507nueva era 23-10-23)</t>
  </si>
  <si>
    <t>Carretera Central, Ate, Lima Metropolitana, Lima, 15487, Perú</t>
  </si>
  <si>
    <t>Jirón Arequipa, 208, Chosica, Lima Metropolitana, Lima, 15468, Perú</t>
  </si>
  <si>
    <t>Jirón Ascope, Lima, Lima Metropolitana, Lima, 15082, Perú, (PARADERO DESTINO ASCOPE, Ruta4507nueva era 23-10-23)</t>
  </si>
  <si>
    <t>86 km/h</t>
  </si>
  <si>
    <t>Calle Salaverry, 280, Chosica, Lima Metropolitana, Lima, 15468, Perú</t>
  </si>
  <si>
    <t>Malecón 28 de Julio, Chosica, Lima Metropolitana, Lima, 15468, Perú</t>
  </si>
  <si>
    <t>Víctor Raúl Haya de la Torre, Ate, Lima Metropolitana, Lima, 15498, Perú</t>
  </si>
  <si>
    <t>Avenida Gloria Grande, Ate, Lima Metropolitana, Lima, 15483, Perú</t>
  </si>
  <si>
    <t>Jirón San Martín de Porres, Ate, Lima Metropolitana, Lima, 15498, Perú, (Ruta4507nueva era 23-10-23)</t>
  </si>
  <si>
    <t>148 km/h</t>
  </si>
  <si>
    <t>109 km/h</t>
  </si>
  <si>
    <t>133 km/h</t>
  </si>
  <si>
    <t>Avenida El Pozo, Ate, Lima Metropolitana, Lima, 15474, Perú</t>
  </si>
  <si>
    <t>Satuchi, Santa Anita, Lima Metropolitana, Lima, 15008, Perú, (RUTA DESVIO TEM.  4507)</t>
  </si>
  <si>
    <t>Avenida Nicolás de Ayllón, Ate, Lima Metropolitana, Lima, 15022, Perú, (Ruta4507nueva era 23-10-23, RUTA DESVIO TEM.  4507)</t>
  </si>
  <si>
    <t>Avenida Los Maestros, Fundo Mara, Ica, 11004, Perú</t>
  </si>
  <si>
    <t>100 km/h</t>
  </si>
  <si>
    <t>Calle 1, Huacachina, Ica, 11004, Perú</t>
  </si>
  <si>
    <t>Huacachina, Ica, 11004, Perú</t>
  </si>
  <si>
    <t>Calle Mariscal Sucre, Santa Catalina, Ica, 11000, Perú</t>
  </si>
  <si>
    <t>Avenida Los Libertadores, Paracas, Pisco, Ica, 11550,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</si>
  <si>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</si>
  <si>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</si>
  <si>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</si>
  <si>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</si>
  <si>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</si>
  <si>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</si>
  <si>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</si>
  <si>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</si>
  <si>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</si>
  <si>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</si>
  <si>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</si>
  <si>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</si>
  <si>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</si>
  <si>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</si>
  <si>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</si>
  <si>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</si>
  <si>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</si>
  <si>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</si>
  <si>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</si>
  <si>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</si>
  <si>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</si>
  <si>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</si>
  <si>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</si>
  <si>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</si>
  <si>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</si>
  <si>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</si>
  <si>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</si>
  <si>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</si>
  <si>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</si>
  <si>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</si>
  <si>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</si>
  <si>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</si>
  <si>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</si>
  <si>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</si>
  <si>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</si>
  <si>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</si>
  <si>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</si>
  <si>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</si>
  <si>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</si>
  <si>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</si>
  <si>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</si>
  <si>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</si>
  <si>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</si>
  <si>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</si>
  <si>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</si>
  <si>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</si>
  <si>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</si>
  <si>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</si>
  <si>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</si>
  <si>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</si>
  <si>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</si>
  <si>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</si>
  <si>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</si>
  <si>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</si>
  <si>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</si>
  <si>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</si>
  <si>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</si>
  <si>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</si>
  <si>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</si>
  <si>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</si>
  <si>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</si>
  <si>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</si>
  <si>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</si>
  <si>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Nombre de 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</si>
</sst>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268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3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spans="1:13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3" s="1" customFormat="1" x14ac:dyDescent="0.25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</row>
    <row r="7" spans="1:13" ht="30" x14ac:dyDescent="0.25">
      <c r="A7" s="2" t="s">
        <v>462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</row>
    <row r="8" spans="1:13" x14ac:dyDescent="0.25">
      <c r="A8" t="s">
        <v>399</v>
      </c>
      <c r="B8" s="3">
        <v>45698.259016203709</v>
      </c>
      <c r="C8" t="s">
        <v>17</v>
      </c>
      <c r="D8" s="3">
        <v>45698.921249999999</v>
      </c>
      <c r="E8" t="s">
        <v>17</v>
      </c>
      <c r="F8" s="4">
        <v>202.87599999999998</v>
      </c>
      <c r="G8" s="4">
        <v>513583.43699999998</v>
      </c>
      <c r="H8" s="4">
        <v>513786.31300000002</v>
      </c>
      <c r="I8" s="5">
        <f>17671 / 86400</f>
        <v>0.20452546296296295</v>
      </c>
      <c r="J8" t="s">
        <v>18</v>
      </c>
      <c r="K8" t="s">
        <v>19</v>
      </c>
      <c r="L8" s="5">
        <f>46512 / 86400</f>
        <v>0.53833333333333333</v>
      </c>
      <c r="M8" s="5">
        <f>39880 / 86400</f>
        <v>0.46157407407407408</v>
      </c>
    </row>
    <row r="9" spans="1:13" x14ac:dyDescent="0.25">
      <c r="A9" t="s">
        <v>400</v>
      </c>
      <c r="B9" s="3">
        <v>45698.090717592597</v>
      </c>
      <c r="C9" t="s">
        <v>20</v>
      </c>
      <c r="D9" s="3">
        <v>45698.910486111112</v>
      </c>
      <c r="E9" t="s">
        <v>20</v>
      </c>
      <c r="F9" s="4">
        <v>352.63100000000003</v>
      </c>
      <c r="G9" s="4">
        <v>18374.201000000001</v>
      </c>
      <c r="H9" s="4">
        <v>18726.831999999999</v>
      </c>
      <c r="I9" s="5">
        <f>18710 / 86400</f>
        <v>0.21655092592592592</v>
      </c>
      <c r="J9" t="s">
        <v>21</v>
      </c>
      <c r="K9" t="s">
        <v>22</v>
      </c>
      <c r="L9" s="5">
        <f>64357 / 86400</f>
        <v>0.74487268518518523</v>
      </c>
      <c r="M9" s="5">
        <f>22037 / 86400</f>
        <v>0.25505787037037037</v>
      </c>
    </row>
    <row r="10" spans="1:13" x14ac:dyDescent="0.25">
      <c r="A10" t="s">
        <v>401</v>
      </c>
      <c r="B10" s="3">
        <v>45698.221215277779</v>
      </c>
      <c r="C10" t="s">
        <v>23</v>
      </c>
      <c r="D10" s="3">
        <v>45698.905462962968</v>
      </c>
      <c r="E10" t="s">
        <v>23</v>
      </c>
      <c r="F10" s="4">
        <v>199.50199999999998</v>
      </c>
      <c r="G10" s="4">
        <v>328076.22200000001</v>
      </c>
      <c r="H10" s="4">
        <v>328275.72399999999</v>
      </c>
      <c r="I10" s="5">
        <f>13353 / 86400</f>
        <v>0.15454861111111112</v>
      </c>
      <c r="J10" t="s">
        <v>24</v>
      </c>
      <c r="K10" t="s">
        <v>25</v>
      </c>
      <c r="L10" s="5">
        <f>39786 / 86400</f>
        <v>0.4604861111111111</v>
      </c>
      <c r="M10" s="5">
        <f>46602 / 86400</f>
        <v>0.53937500000000005</v>
      </c>
    </row>
    <row r="11" spans="1:13" x14ac:dyDescent="0.25">
      <c r="A11" t="s">
        <v>402</v>
      </c>
      <c r="B11" s="3">
        <v>45698.236307870371</v>
      </c>
      <c r="C11" t="s">
        <v>26</v>
      </c>
      <c r="D11" s="3">
        <v>45698.907754629632</v>
      </c>
      <c r="E11" t="s">
        <v>26</v>
      </c>
      <c r="F11" s="4">
        <v>218.845</v>
      </c>
      <c r="G11" s="4">
        <v>512804.49699999997</v>
      </c>
      <c r="H11" s="4">
        <v>513023.342</v>
      </c>
      <c r="I11" s="5">
        <f>15809 / 86400</f>
        <v>0.18297453703703703</v>
      </c>
      <c r="J11" t="s">
        <v>27</v>
      </c>
      <c r="K11" t="s">
        <v>28</v>
      </c>
      <c r="L11" s="5">
        <f>46989 / 86400</f>
        <v>0.54385416666666664</v>
      </c>
      <c r="M11" s="5">
        <f>39485 / 86400</f>
        <v>0.45700231481481479</v>
      </c>
    </row>
    <row r="12" spans="1:13" x14ac:dyDescent="0.25">
      <c r="A12" t="s">
        <v>403</v>
      </c>
      <c r="B12" s="3">
        <v>45698.226076388892</v>
      </c>
      <c r="C12" t="s">
        <v>29</v>
      </c>
      <c r="D12" s="3">
        <v>45698.771469907406</v>
      </c>
      <c r="E12" t="s">
        <v>29</v>
      </c>
      <c r="F12" s="4">
        <v>168.83199999999999</v>
      </c>
      <c r="G12" s="4">
        <v>91835.156000000003</v>
      </c>
      <c r="H12" s="4">
        <v>92003.987999999998</v>
      </c>
      <c r="I12" s="5">
        <f>13860 / 86400</f>
        <v>0.16041666666666668</v>
      </c>
      <c r="J12" t="s">
        <v>30</v>
      </c>
      <c r="K12" t="s">
        <v>31</v>
      </c>
      <c r="L12" s="5">
        <f>42105 / 86400</f>
        <v>0.48732638888888891</v>
      </c>
      <c r="M12" s="5">
        <f>44290 / 86400</f>
        <v>0.51261574074074079</v>
      </c>
    </row>
    <row r="13" spans="1:13" x14ac:dyDescent="0.25">
      <c r="A13" t="s">
        <v>404</v>
      </c>
      <c r="B13" s="3">
        <v>45698.176793981482</v>
      </c>
      <c r="C13" t="s">
        <v>17</v>
      </c>
      <c r="D13" s="3">
        <v>45698.758055555554</v>
      </c>
      <c r="E13" t="s">
        <v>17</v>
      </c>
      <c r="F13" s="4">
        <v>245.78100000000001</v>
      </c>
      <c r="G13" s="4">
        <v>137090.375</v>
      </c>
      <c r="H13" s="4">
        <v>137336.15599999999</v>
      </c>
      <c r="I13" s="5">
        <f>13296 / 86400</f>
        <v>0.15388888888888888</v>
      </c>
      <c r="J13" t="s">
        <v>32</v>
      </c>
      <c r="K13" t="s">
        <v>33</v>
      </c>
      <c r="L13" s="5">
        <f>45901 / 86400</f>
        <v>0.53126157407407404</v>
      </c>
      <c r="M13" s="5">
        <f>40491 / 86400</f>
        <v>0.46864583333333332</v>
      </c>
    </row>
    <row r="14" spans="1:13" x14ac:dyDescent="0.25">
      <c r="A14" t="s">
        <v>405</v>
      </c>
      <c r="B14" s="3">
        <v>45698.002106481479</v>
      </c>
      <c r="C14" t="s">
        <v>34</v>
      </c>
      <c r="D14" s="3">
        <v>45698.767812499995</v>
      </c>
      <c r="E14" t="s">
        <v>29</v>
      </c>
      <c r="F14" s="4">
        <v>200.55133598864077</v>
      </c>
      <c r="G14" s="4">
        <v>347422.57246100879</v>
      </c>
      <c r="H14" s="4">
        <v>347633.16712023178</v>
      </c>
      <c r="I14" s="5">
        <f>0 / 86400</f>
        <v>0</v>
      </c>
      <c r="J14" t="s">
        <v>35</v>
      </c>
      <c r="K14" t="s">
        <v>36</v>
      </c>
      <c r="L14" s="5">
        <f>30628 / 86400</f>
        <v>0.35449074074074072</v>
      </c>
      <c r="M14" s="5">
        <f>55771 / 86400</f>
        <v>0.64549768518518513</v>
      </c>
    </row>
    <row r="15" spans="1:13" x14ac:dyDescent="0.25">
      <c r="A15" t="s">
        <v>406</v>
      </c>
      <c r="B15" s="3">
        <v>45698.168078703704</v>
      </c>
      <c r="C15" t="s">
        <v>37</v>
      </c>
      <c r="D15" s="3">
        <v>45698.670891203699</v>
      </c>
      <c r="E15" t="s">
        <v>37</v>
      </c>
      <c r="F15" s="4">
        <v>195.79300000000001</v>
      </c>
      <c r="G15" s="4">
        <v>483651.68199999997</v>
      </c>
      <c r="H15" s="4">
        <v>483847.47499999998</v>
      </c>
      <c r="I15" s="5">
        <f>12258 / 86400</f>
        <v>0.141875</v>
      </c>
      <c r="J15" t="s">
        <v>38</v>
      </c>
      <c r="K15" t="s">
        <v>28</v>
      </c>
      <c r="L15" s="5">
        <f>40679 / 86400</f>
        <v>0.47082175925925923</v>
      </c>
      <c r="M15" s="5">
        <f>45717 / 86400</f>
        <v>0.52913194444444445</v>
      </c>
    </row>
    <row r="16" spans="1:13" x14ac:dyDescent="0.25">
      <c r="A16" t="s">
        <v>407</v>
      </c>
      <c r="B16" s="3">
        <v>45698.331273148149</v>
      </c>
      <c r="C16" t="s">
        <v>39</v>
      </c>
      <c r="D16" s="3">
        <v>45698.88616898148</v>
      </c>
      <c r="E16" t="s">
        <v>39</v>
      </c>
      <c r="F16" s="4">
        <v>177.23400000000001</v>
      </c>
      <c r="G16" s="4">
        <v>507529.38299999997</v>
      </c>
      <c r="H16" s="4">
        <v>507706.61700000003</v>
      </c>
      <c r="I16" s="5">
        <f>13816 / 86400</f>
        <v>0.15990740740740741</v>
      </c>
      <c r="J16" t="s">
        <v>40</v>
      </c>
      <c r="K16" t="s">
        <v>19</v>
      </c>
      <c r="L16" s="5">
        <f>41048 / 86400</f>
        <v>0.47509259259259257</v>
      </c>
      <c r="M16" s="5">
        <f>45348 / 86400</f>
        <v>0.52486111111111111</v>
      </c>
    </row>
    <row r="17" spans="1:13" x14ac:dyDescent="0.25">
      <c r="A17" t="s">
        <v>408</v>
      </c>
      <c r="B17" s="3">
        <v>45698.342731481476</v>
      </c>
      <c r="C17" t="s">
        <v>41</v>
      </c>
      <c r="D17" s="3">
        <v>45698.712222222224</v>
      </c>
      <c r="E17" t="s">
        <v>41</v>
      </c>
      <c r="F17" s="4">
        <v>6.524</v>
      </c>
      <c r="G17" s="4">
        <v>407382.734</v>
      </c>
      <c r="H17" s="4">
        <v>407389.25799999997</v>
      </c>
      <c r="I17" s="5">
        <f>3431 / 86400</f>
        <v>3.9710648148148148E-2</v>
      </c>
      <c r="J17" t="s">
        <v>42</v>
      </c>
      <c r="K17" t="s">
        <v>43</v>
      </c>
      <c r="L17" s="5">
        <f>5398 / 86400</f>
        <v>6.2476851851851853E-2</v>
      </c>
      <c r="M17" s="5">
        <f>80997 / 86400</f>
        <v>0.93746527777777777</v>
      </c>
    </row>
    <row r="18" spans="1:13" x14ac:dyDescent="0.25">
      <c r="A18" t="s">
        <v>409</v>
      </c>
      <c r="B18" s="3">
        <v>45698.29409722222</v>
      </c>
      <c r="C18" t="s">
        <v>44</v>
      </c>
      <c r="D18" s="3">
        <v>45698.565057870372</v>
      </c>
      <c r="E18" t="s">
        <v>45</v>
      </c>
      <c r="F18" s="4">
        <v>102.717</v>
      </c>
      <c r="G18" s="4">
        <v>437015.12400000001</v>
      </c>
      <c r="H18" s="4">
        <v>437117.84100000001</v>
      </c>
      <c r="I18" s="5">
        <f>5798 / 86400</f>
        <v>6.7106481481481475E-2</v>
      </c>
      <c r="J18" t="s">
        <v>27</v>
      </c>
      <c r="K18" t="s">
        <v>25</v>
      </c>
      <c r="L18" s="5">
        <f>20737 / 86400</f>
        <v>0.24001157407407409</v>
      </c>
      <c r="M18" s="5">
        <f>65661 / 86400</f>
        <v>0.75996527777777778</v>
      </c>
    </row>
    <row r="19" spans="1:13" x14ac:dyDescent="0.25">
      <c r="A19" t="s">
        <v>410</v>
      </c>
      <c r="B19" s="3">
        <v>45698.129571759258</v>
      </c>
      <c r="C19" t="s">
        <v>20</v>
      </c>
      <c r="D19" s="3">
        <v>45698.908067129625</v>
      </c>
      <c r="E19" t="s">
        <v>20</v>
      </c>
      <c r="F19" s="4">
        <v>111.941</v>
      </c>
      <c r="G19" s="4">
        <v>53683.267999999996</v>
      </c>
      <c r="H19" s="4">
        <v>53795.209000000003</v>
      </c>
      <c r="I19" s="5">
        <f>4452 / 86400</f>
        <v>5.1527777777777777E-2</v>
      </c>
      <c r="J19" t="s">
        <v>46</v>
      </c>
      <c r="K19" t="s">
        <v>47</v>
      </c>
      <c r="L19" s="5">
        <f>17788 / 86400</f>
        <v>0.20587962962962963</v>
      </c>
      <c r="M19" s="5">
        <f>68603 / 86400</f>
        <v>0.79401620370370374</v>
      </c>
    </row>
    <row r="20" spans="1:13" x14ac:dyDescent="0.25">
      <c r="A20" t="s">
        <v>411</v>
      </c>
      <c r="B20" s="3">
        <v>45698.159733796296</v>
      </c>
      <c r="C20" t="s">
        <v>48</v>
      </c>
      <c r="D20" s="3">
        <v>45698.956979166665</v>
      </c>
      <c r="E20" t="s">
        <v>49</v>
      </c>
      <c r="F20" s="4">
        <v>236.71100000000001</v>
      </c>
      <c r="G20" s="4">
        <v>215437.68700000001</v>
      </c>
      <c r="H20" s="4">
        <v>215674.39799999999</v>
      </c>
      <c r="I20" s="5">
        <f>17826 / 86400</f>
        <v>0.20631944444444444</v>
      </c>
      <c r="J20" t="s">
        <v>50</v>
      </c>
      <c r="K20" t="s">
        <v>28</v>
      </c>
      <c r="L20" s="5">
        <f>50459 / 86400</f>
        <v>0.58401620370370366</v>
      </c>
      <c r="M20" s="5">
        <f>35930 / 86400</f>
        <v>0.41585648148148147</v>
      </c>
    </row>
    <row r="21" spans="1:13" x14ac:dyDescent="0.25">
      <c r="A21" t="s">
        <v>412</v>
      </c>
      <c r="B21" s="3">
        <v>45698.254756944443</v>
      </c>
      <c r="C21" t="s">
        <v>51</v>
      </c>
      <c r="D21" s="3">
        <v>45698.859085648146</v>
      </c>
      <c r="E21" t="s">
        <v>51</v>
      </c>
      <c r="F21" s="4">
        <v>174.97699999994038</v>
      </c>
      <c r="G21" s="4">
        <v>524657.99600000004</v>
      </c>
      <c r="H21" s="4">
        <v>524832.973</v>
      </c>
      <c r="I21" s="5">
        <f>15180 / 86400</f>
        <v>0.17569444444444443</v>
      </c>
      <c r="J21" t="s">
        <v>52</v>
      </c>
      <c r="K21" t="s">
        <v>31</v>
      </c>
      <c r="L21" s="5">
        <f>43990 / 86400</f>
        <v>0.50914351851851847</v>
      </c>
      <c r="M21" s="5">
        <f>42405 / 86400</f>
        <v>0.49079861111111112</v>
      </c>
    </row>
    <row r="22" spans="1:13" x14ac:dyDescent="0.25">
      <c r="A22" t="s">
        <v>413</v>
      </c>
      <c r="B22" s="3">
        <v>45698.198657407411</v>
      </c>
      <c r="C22" t="s">
        <v>53</v>
      </c>
      <c r="D22" s="3">
        <v>45698.806423611109</v>
      </c>
      <c r="E22" t="s">
        <v>53</v>
      </c>
      <c r="F22" s="4">
        <v>236.572</v>
      </c>
      <c r="G22" s="4">
        <v>344032.73599999998</v>
      </c>
      <c r="H22" s="4">
        <v>344269.30800000002</v>
      </c>
      <c r="I22" s="5">
        <f>15422 / 86400</f>
        <v>0.17849537037037036</v>
      </c>
      <c r="J22" t="s">
        <v>54</v>
      </c>
      <c r="K22" t="s">
        <v>25</v>
      </c>
      <c r="L22" s="5">
        <f>46633 / 86400</f>
        <v>0.53973379629629625</v>
      </c>
      <c r="M22" s="5">
        <f>39761 / 86400</f>
        <v>0.46019675925925924</v>
      </c>
    </row>
    <row r="23" spans="1:13" x14ac:dyDescent="0.25">
      <c r="A23" t="s">
        <v>414</v>
      </c>
      <c r="B23" s="3">
        <v>45698.252847222218</v>
      </c>
      <c r="C23" t="s">
        <v>55</v>
      </c>
      <c r="D23" s="3">
        <v>45698.832546296297</v>
      </c>
      <c r="E23" t="s">
        <v>55</v>
      </c>
      <c r="F23" s="4">
        <v>189.64599999999999</v>
      </c>
      <c r="G23" s="4">
        <v>425519.09299999999</v>
      </c>
      <c r="H23" s="4">
        <v>425708.739</v>
      </c>
      <c r="I23" s="5">
        <f>10856 / 86400</f>
        <v>0.12564814814814815</v>
      </c>
      <c r="J23" t="s">
        <v>56</v>
      </c>
      <c r="K23" t="s">
        <v>25</v>
      </c>
      <c r="L23" s="5">
        <f>38520 / 86400</f>
        <v>0.44583333333333336</v>
      </c>
      <c r="M23" s="5">
        <f>47873 / 86400</f>
        <v>0.5540856481481482</v>
      </c>
    </row>
    <row r="24" spans="1:13" x14ac:dyDescent="0.25">
      <c r="A24" t="s">
        <v>415</v>
      </c>
      <c r="B24" s="3">
        <v>45698.233391203699</v>
      </c>
      <c r="C24" t="s">
        <v>29</v>
      </c>
      <c r="D24" s="3">
        <v>45698.777766203704</v>
      </c>
      <c r="E24" t="s">
        <v>29</v>
      </c>
      <c r="F24" s="4">
        <v>182.99600000000001</v>
      </c>
      <c r="G24" s="4">
        <v>12295.587</v>
      </c>
      <c r="H24" s="4">
        <v>12478.583000000001</v>
      </c>
      <c r="I24" s="5">
        <f>17128 / 86400</f>
        <v>0.19824074074074075</v>
      </c>
      <c r="J24" t="s">
        <v>32</v>
      </c>
      <c r="K24" t="s">
        <v>57</v>
      </c>
      <c r="L24" s="5">
        <f>43104 / 86400</f>
        <v>0.49888888888888888</v>
      </c>
      <c r="M24" s="5">
        <f>43290 / 86400</f>
        <v>0.50104166666666672</v>
      </c>
    </row>
    <row r="25" spans="1:13" x14ac:dyDescent="0.25">
      <c r="A25" t="s">
        <v>416</v>
      </c>
      <c r="B25" s="3">
        <v>45698.241446759261</v>
      </c>
      <c r="C25" t="s">
        <v>58</v>
      </c>
      <c r="D25" s="3">
        <v>45698.834988425922</v>
      </c>
      <c r="E25" t="s">
        <v>58</v>
      </c>
      <c r="F25" s="4">
        <v>200.85399999999998</v>
      </c>
      <c r="G25" s="4">
        <v>138137.64199999999</v>
      </c>
      <c r="H25" s="4">
        <v>138338.49600000001</v>
      </c>
      <c r="I25" s="5">
        <f>14336 / 86400</f>
        <v>0.16592592592592592</v>
      </c>
      <c r="J25" t="s">
        <v>24</v>
      </c>
      <c r="K25" t="s">
        <v>19</v>
      </c>
      <c r="L25" s="5">
        <f>44433 / 86400</f>
        <v>0.51427083333333334</v>
      </c>
      <c r="M25" s="5">
        <f>41961 / 86400</f>
        <v>0.4856597222222222</v>
      </c>
    </row>
    <row r="26" spans="1:13" x14ac:dyDescent="0.25">
      <c r="A26" t="s">
        <v>417</v>
      </c>
      <c r="B26" s="3">
        <v>45698.234444444446</v>
      </c>
      <c r="C26" t="s">
        <v>29</v>
      </c>
      <c r="D26" s="3">
        <v>45698.960451388892</v>
      </c>
      <c r="E26" t="s">
        <v>29</v>
      </c>
      <c r="F26" s="4">
        <v>169.12099999999998</v>
      </c>
      <c r="G26" s="4">
        <v>5063.8180000000002</v>
      </c>
      <c r="H26" s="4">
        <v>5232.9390000000003</v>
      </c>
      <c r="I26" s="5">
        <f>30050 / 86400</f>
        <v>0.34780092592592593</v>
      </c>
      <c r="J26" t="s">
        <v>38</v>
      </c>
      <c r="K26" t="s">
        <v>59</v>
      </c>
      <c r="L26" s="5">
        <f>53081 / 86400</f>
        <v>0.61436342592592597</v>
      </c>
      <c r="M26" s="5">
        <f>33314 / 86400</f>
        <v>0.38557870370370373</v>
      </c>
    </row>
    <row r="27" spans="1:13" x14ac:dyDescent="0.25">
      <c r="A27" t="s">
        <v>418</v>
      </c>
      <c r="B27" s="3">
        <v>45698.208356481482</v>
      </c>
      <c r="C27" t="s">
        <v>37</v>
      </c>
      <c r="D27" s="3">
        <v>45698.799039351856</v>
      </c>
      <c r="E27" t="s">
        <v>37</v>
      </c>
      <c r="F27" s="4">
        <v>217.62199999999999</v>
      </c>
      <c r="G27" s="4">
        <v>386367.72700000001</v>
      </c>
      <c r="H27" s="4">
        <v>386585.34899999999</v>
      </c>
      <c r="I27" s="5">
        <f>13817 / 86400</f>
        <v>0.15991898148148148</v>
      </c>
      <c r="J27" t="s">
        <v>60</v>
      </c>
      <c r="K27" t="s">
        <v>25</v>
      </c>
      <c r="L27" s="5">
        <f>44320 / 86400</f>
        <v>0.51296296296296295</v>
      </c>
      <c r="M27" s="5">
        <f>42072 / 86400</f>
        <v>0.48694444444444446</v>
      </c>
    </row>
    <row r="28" spans="1:13" x14ac:dyDescent="0.25">
      <c r="A28" t="s">
        <v>419</v>
      </c>
      <c r="B28" s="3">
        <v>45698.973460648151</v>
      </c>
      <c r="C28" t="s">
        <v>37</v>
      </c>
      <c r="D28" s="3">
        <v>45698.975312499999</v>
      </c>
      <c r="E28" t="s">
        <v>37</v>
      </c>
      <c r="F28" s="4">
        <v>6.4000000000000001E-2</v>
      </c>
      <c r="G28" s="4">
        <v>392325.69</v>
      </c>
      <c r="H28" s="4">
        <v>392325.75400000002</v>
      </c>
      <c r="I28" s="5">
        <f>60 / 86400</f>
        <v>6.9444444444444447E-4</v>
      </c>
      <c r="J28" t="s">
        <v>61</v>
      </c>
      <c r="K28" t="s">
        <v>62</v>
      </c>
      <c r="L28" s="5">
        <f>160 / 86400</f>
        <v>1.8518518518518519E-3</v>
      </c>
      <c r="M28" s="5">
        <f>86239 / 86400</f>
        <v>0.99813657407407408</v>
      </c>
    </row>
    <row r="29" spans="1:13" x14ac:dyDescent="0.25">
      <c r="A29" t="s">
        <v>420</v>
      </c>
      <c r="B29" s="3">
        <v>45698.147152777776</v>
      </c>
      <c r="C29" t="s">
        <v>63</v>
      </c>
      <c r="D29" s="3">
        <v>45698.671747685185</v>
      </c>
      <c r="E29" t="s">
        <v>63</v>
      </c>
      <c r="F29" s="4">
        <v>211.15799999999999</v>
      </c>
      <c r="G29" s="4">
        <v>522527.31</v>
      </c>
      <c r="H29" s="4">
        <v>522738.46799999999</v>
      </c>
      <c r="I29" s="5">
        <f>11790 / 86400</f>
        <v>0.13645833333333332</v>
      </c>
      <c r="J29" t="s">
        <v>24</v>
      </c>
      <c r="K29" t="s">
        <v>33</v>
      </c>
      <c r="L29" s="5">
        <f>40561 / 86400</f>
        <v>0.46945601851851854</v>
      </c>
      <c r="M29" s="5">
        <f>45834 / 86400</f>
        <v>0.5304861111111111</v>
      </c>
    </row>
    <row r="30" spans="1:13" x14ac:dyDescent="0.25">
      <c r="A30" t="s">
        <v>421</v>
      </c>
      <c r="B30" s="3">
        <v>45698.00304398148</v>
      </c>
      <c r="C30" t="s">
        <v>64</v>
      </c>
      <c r="D30" s="3">
        <v>45698.99998842593</v>
      </c>
      <c r="E30" t="s">
        <v>65</v>
      </c>
      <c r="F30" s="4">
        <v>171.14</v>
      </c>
      <c r="G30" s="4">
        <v>411293.83100000001</v>
      </c>
      <c r="H30" s="4">
        <v>411464.97100000002</v>
      </c>
      <c r="I30" s="5">
        <f>11956 / 86400</f>
        <v>0.13837962962962963</v>
      </c>
      <c r="J30" t="s">
        <v>66</v>
      </c>
      <c r="K30" t="s">
        <v>19</v>
      </c>
      <c r="L30" s="5">
        <f>38833 / 86400</f>
        <v>0.44945601851851852</v>
      </c>
      <c r="M30" s="5">
        <f>47565 / 86400</f>
        <v>0.55052083333333335</v>
      </c>
    </row>
    <row r="31" spans="1:13" x14ac:dyDescent="0.25">
      <c r="A31" t="s">
        <v>422</v>
      </c>
      <c r="B31" s="3">
        <v>45698.247291666667</v>
      </c>
      <c r="C31" t="s">
        <v>67</v>
      </c>
      <c r="D31" s="3">
        <v>45698.869374999995</v>
      </c>
      <c r="E31" t="s">
        <v>67</v>
      </c>
      <c r="F31" s="4">
        <v>199.578</v>
      </c>
      <c r="G31" s="4">
        <v>402179.74300000002</v>
      </c>
      <c r="H31" s="4">
        <v>402379.321</v>
      </c>
      <c r="I31" s="5">
        <f>14054 / 86400</f>
        <v>0.16266203703703705</v>
      </c>
      <c r="J31" t="s">
        <v>18</v>
      </c>
      <c r="K31" t="s">
        <v>28</v>
      </c>
      <c r="L31" s="5">
        <f>42852 / 86400</f>
        <v>0.4959722222222222</v>
      </c>
      <c r="M31" s="5">
        <f>43541 / 86400</f>
        <v>0.50394675925925925</v>
      </c>
    </row>
    <row r="32" spans="1:13" x14ac:dyDescent="0.25">
      <c r="A32" t="s">
        <v>423</v>
      </c>
      <c r="B32" s="3">
        <v>45698.432291666672</v>
      </c>
      <c r="C32" t="s">
        <v>68</v>
      </c>
      <c r="D32" s="3">
        <v>45698.528761574074</v>
      </c>
      <c r="E32" t="s">
        <v>69</v>
      </c>
      <c r="F32" s="4">
        <v>26.044</v>
      </c>
      <c r="G32" s="4">
        <v>407381.217</v>
      </c>
      <c r="H32" s="4">
        <v>407407.261</v>
      </c>
      <c r="I32" s="5">
        <f>1199 / 86400</f>
        <v>1.3877314814814815E-2</v>
      </c>
      <c r="J32" t="s">
        <v>50</v>
      </c>
      <c r="K32" t="s">
        <v>47</v>
      </c>
      <c r="L32" s="5">
        <f>4103 / 86400</f>
        <v>4.7488425925925927E-2</v>
      </c>
      <c r="M32" s="5">
        <f>82295 / 86400</f>
        <v>0.95248842592592597</v>
      </c>
    </row>
    <row r="33" spans="1:13" x14ac:dyDescent="0.25">
      <c r="A33" t="s">
        <v>424</v>
      </c>
      <c r="B33" s="3">
        <v>45698.288356481484</v>
      </c>
      <c r="C33" t="s">
        <v>70</v>
      </c>
      <c r="D33" s="3">
        <v>45698.692210648151</v>
      </c>
      <c r="E33" t="s">
        <v>70</v>
      </c>
      <c r="F33" s="4">
        <v>120.09099999999999</v>
      </c>
      <c r="G33" s="4">
        <v>347760.74</v>
      </c>
      <c r="H33" s="4">
        <v>347880.83100000001</v>
      </c>
      <c r="I33" s="5">
        <f>9720 / 86400</f>
        <v>0.1125</v>
      </c>
      <c r="J33" t="s">
        <v>71</v>
      </c>
      <c r="K33" t="s">
        <v>57</v>
      </c>
      <c r="L33" s="5">
        <f>27980 / 86400</f>
        <v>0.32384259259259257</v>
      </c>
      <c r="M33" s="5">
        <f>58417 / 86400</f>
        <v>0.67612268518518515</v>
      </c>
    </row>
    <row r="34" spans="1:13" x14ac:dyDescent="0.25">
      <c r="A34" t="s">
        <v>425</v>
      </c>
      <c r="B34" s="3">
        <v>45698.164409722223</v>
      </c>
      <c r="C34" t="s">
        <v>72</v>
      </c>
      <c r="D34" s="3">
        <v>45698.689687499995</v>
      </c>
      <c r="E34" t="s">
        <v>72</v>
      </c>
      <c r="F34" s="4">
        <v>206.51300000000001</v>
      </c>
      <c r="G34" s="4">
        <v>40315.976999999999</v>
      </c>
      <c r="H34" s="4">
        <v>40522.49</v>
      </c>
      <c r="I34" s="5">
        <f>12740 / 86400</f>
        <v>0.1474537037037037</v>
      </c>
      <c r="J34" t="s">
        <v>35</v>
      </c>
      <c r="K34" t="s">
        <v>25</v>
      </c>
      <c r="L34" s="5">
        <f>41365 / 86400</f>
        <v>0.47876157407407405</v>
      </c>
      <c r="M34" s="5">
        <f>45032 / 86400</f>
        <v>0.52120370370370372</v>
      </c>
    </row>
    <row r="35" spans="1:13" x14ac:dyDescent="0.25">
      <c r="A35" t="s">
        <v>426</v>
      </c>
      <c r="B35" s="3">
        <v>45698.175254629634</v>
      </c>
      <c r="C35" t="s">
        <v>37</v>
      </c>
      <c r="D35" s="3">
        <v>45698.99998842593</v>
      </c>
      <c r="E35" t="s">
        <v>73</v>
      </c>
      <c r="F35" s="4">
        <v>327.52499999999998</v>
      </c>
      <c r="G35" s="4">
        <v>45557.54</v>
      </c>
      <c r="H35" s="4">
        <v>45885.065000000002</v>
      </c>
      <c r="I35" s="5">
        <f>20795 / 86400</f>
        <v>0.24068287037037037</v>
      </c>
      <c r="J35" t="s">
        <v>54</v>
      </c>
      <c r="K35" t="s">
        <v>25</v>
      </c>
      <c r="L35" s="5">
        <f>65306 / 86400</f>
        <v>0.75585648148148143</v>
      </c>
      <c r="M35" s="5">
        <f>21088 / 86400</f>
        <v>0.24407407407407408</v>
      </c>
    </row>
    <row r="36" spans="1:13" x14ac:dyDescent="0.25">
      <c r="A36" t="s">
        <v>427</v>
      </c>
      <c r="B36" s="3">
        <v>45698</v>
      </c>
      <c r="C36" t="s">
        <v>74</v>
      </c>
      <c r="D36" s="3">
        <v>45698.99998842593</v>
      </c>
      <c r="E36" t="s">
        <v>75</v>
      </c>
      <c r="F36" s="4">
        <v>325.26399999994038</v>
      </c>
      <c r="G36" s="4">
        <v>526929.80599999998</v>
      </c>
      <c r="H36" s="4">
        <v>527255.06999999995</v>
      </c>
      <c r="I36" s="5">
        <f>21870 / 86400</f>
        <v>0.25312499999999999</v>
      </c>
      <c r="J36" t="s">
        <v>76</v>
      </c>
      <c r="K36" t="s">
        <v>25</v>
      </c>
      <c r="L36" s="5">
        <f>63529 / 86400</f>
        <v>0.73528935185185185</v>
      </c>
      <c r="M36" s="5">
        <f>22862 / 86400</f>
        <v>0.26460648148148147</v>
      </c>
    </row>
    <row r="37" spans="1:13" x14ac:dyDescent="0.25">
      <c r="A37" t="s">
        <v>428</v>
      </c>
      <c r="B37" s="3">
        <v>45698.198761574073</v>
      </c>
      <c r="C37" t="s">
        <v>29</v>
      </c>
      <c r="D37" s="3">
        <v>45698.880162037036</v>
      </c>
      <c r="E37" t="s">
        <v>29</v>
      </c>
      <c r="F37" s="4">
        <v>230.804</v>
      </c>
      <c r="G37" s="4">
        <v>567332.36399999994</v>
      </c>
      <c r="H37" s="4">
        <v>567563.16799999995</v>
      </c>
      <c r="I37" s="5">
        <f>19928 / 86400</f>
        <v>0.23064814814814816</v>
      </c>
      <c r="J37" t="s">
        <v>18</v>
      </c>
      <c r="K37" t="s">
        <v>57</v>
      </c>
      <c r="L37" s="5">
        <f>54569 / 86400</f>
        <v>0.6315856481481481</v>
      </c>
      <c r="M37" s="5">
        <f>31820 / 86400</f>
        <v>0.36828703703703702</v>
      </c>
    </row>
    <row r="38" spans="1:13" x14ac:dyDescent="0.25">
      <c r="A38" t="s">
        <v>429</v>
      </c>
      <c r="B38" s="3">
        <v>45698.240671296298</v>
      </c>
      <c r="C38" t="s">
        <v>77</v>
      </c>
      <c r="D38" s="3">
        <v>45698.928483796291</v>
      </c>
      <c r="E38" t="s">
        <v>77</v>
      </c>
      <c r="F38" s="4">
        <v>206.74799999999999</v>
      </c>
      <c r="G38" s="4">
        <v>434924.48499999999</v>
      </c>
      <c r="H38" s="4">
        <v>435131.23300000001</v>
      </c>
      <c r="I38" s="5">
        <f>12923 / 86400</f>
        <v>0.14957175925925925</v>
      </c>
      <c r="J38" t="s">
        <v>38</v>
      </c>
      <c r="K38" t="s">
        <v>28</v>
      </c>
      <c r="L38" s="5">
        <f>43003 / 86400</f>
        <v>0.4977199074074074</v>
      </c>
      <c r="M38" s="5">
        <f>43391 / 86400</f>
        <v>0.5022106481481482</v>
      </c>
    </row>
    <row r="39" spans="1:13" x14ac:dyDescent="0.25">
      <c r="A39" t="s">
        <v>430</v>
      </c>
      <c r="B39" s="3">
        <v>45698.244016203702</v>
      </c>
      <c r="C39" t="s">
        <v>49</v>
      </c>
      <c r="D39" s="3">
        <v>45698.825462962966</v>
      </c>
      <c r="E39" t="s">
        <v>49</v>
      </c>
      <c r="F39" s="4">
        <v>207.09399999999999</v>
      </c>
      <c r="G39" s="4">
        <v>514802.21500000003</v>
      </c>
      <c r="H39" s="4">
        <v>515010.87400000001</v>
      </c>
      <c r="I39" s="5">
        <f>15635 / 86400</f>
        <v>0.18096064814814813</v>
      </c>
      <c r="J39" t="s">
        <v>78</v>
      </c>
      <c r="K39" t="s">
        <v>19</v>
      </c>
      <c r="L39" s="5">
        <f>46811 / 86400</f>
        <v>0.5417939814814815</v>
      </c>
      <c r="M39" s="5">
        <f>39588 / 86400</f>
        <v>0.45819444444444446</v>
      </c>
    </row>
    <row r="40" spans="1:13" x14ac:dyDescent="0.25">
      <c r="A40" t="s">
        <v>431</v>
      </c>
      <c r="B40" s="3">
        <v>45698.220196759255</v>
      </c>
      <c r="C40" t="s">
        <v>79</v>
      </c>
      <c r="D40" s="3">
        <v>45698.765370370369</v>
      </c>
      <c r="E40" t="s">
        <v>80</v>
      </c>
      <c r="F40" s="4">
        <v>206.113</v>
      </c>
      <c r="G40" s="4">
        <v>504665.08</v>
      </c>
      <c r="H40" s="4">
        <v>504871.19300000003</v>
      </c>
      <c r="I40" s="5">
        <f>18143 / 86400</f>
        <v>0.20998842592592593</v>
      </c>
      <c r="J40" t="s">
        <v>32</v>
      </c>
      <c r="K40" t="s">
        <v>19</v>
      </c>
      <c r="L40" s="5">
        <f>47103 / 86400</f>
        <v>0.54517361111111107</v>
      </c>
      <c r="M40" s="5">
        <f>39296 / 86400</f>
        <v>0.45481481481481484</v>
      </c>
    </row>
    <row r="41" spans="1:13" x14ac:dyDescent="0.25">
      <c r="A41" t="s">
        <v>432</v>
      </c>
      <c r="B41" s="3">
        <v>45698.264849537038</v>
      </c>
      <c r="C41" t="s">
        <v>81</v>
      </c>
      <c r="D41" s="3">
        <v>45698.788657407407</v>
      </c>
      <c r="E41" t="s">
        <v>82</v>
      </c>
      <c r="F41" s="4">
        <v>82.166000000000011</v>
      </c>
      <c r="G41" s="4">
        <v>351795.364</v>
      </c>
      <c r="H41" s="4">
        <v>351877.53</v>
      </c>
      <c r="I41" s="5">
        <f>5113 / 86400</f>
        <v>5.917824074074074E-2</v>
      </c>
      <c r="J41" t="s">
        <v>83</v>
      </c>
      <c r="K41" t="s">
        <v>25</v>
      </c>
      <c r="L41" s="5">
        <f>16807 / 86400</f>
        <v>0.19452546296296297</v>
      </c>
      <c r="M41" s="5">
        <f>69586 / 86400</f>
        <v>0.80539351851851848</v>
      </c>
    </row>
    <row r="42" spans="1:13" x14ac:dyDescent="0.25">
      <c r="A42" t="s">
        <v>433</v>
      </c>
      <c r="B42" s="3">
        <v>45698.229201388887</v>
      </c>
      <c r="C42" t="s">
        <v>84</v>
      </c>
      <c r="D42" s="3">
        <v>45698.755775462967</v>
      </c>
      <c r="E42" t="s">
        <v>84</v>
      </c>
      <c r="F42" s="4">
        <v>10.321</v>
      </c>
      <c r="G42" s="4">
        <v>410424.17300000001</v>
      </c>
      <c r="H42" s="4">
        <v>410434.49400000001</v>
      </c>
      <c r="I42" s="5">
        <f>598 / 86400</f>
        <v>6.9212962962962961E-3</v>
      </c>
      <c r="J42" t="s">
        <v>85</v>
      </c>
      <c r="K42" t="s">
        <v>25</v>
      </c>
      <c r="L42" s="5">
        <f>2102 / 86400</f>
        <v>2.4328703703703703E-2</v>
      </c>
      <c r="M42" s="5">
        <f>84294 / 86400</f>
        <v>0.97562499999999996</v>
      </c>
    </row>
    <row r="43" spans="1:13" x14ac:dyDescent="0.25">
      <c r="A43" t="s">
        <v>434</v>
      </c>
      <c r="B43" s="3">
        <v>45698.153819444444</v>
      </c>
      <c r="C43" t="s">
        <v>29</v>
      </c>
      <c r="D43" s="3">
        <v>45698.792997685188</v>
      </c>
      <c r="E43" t="s">
        <v>29</v>
      </c>
      <c r="F43" s="4">
        <v>236.56799999999998</v>
      </c>
      <c r="G43" s="4">
        <v>441092.20500000002</v>
      </c>
      <c r="H43" s="4">
        <v>441328.77299999999</v>
      </c>
      <c r="I43" s="5">
        <f>11888 / 86400</f>
        <v>0.1375925925925926</v>
      </c>
      <c r="J43" t="s">
        <v>83</v>
      </c>
      <c r="K43" t="s">
        <v>33</v>
      </c>
      <c r="L43" s="5">
        <f>45073 / 86400</f>
        <v>0.52167824074074076</v>
      </c>
      <c r="M43" s="5">
        <f>41324 / 86400</f>
        <v>0.47828703703703701</v>
      </c>
    </row>
    <row r="44" spans="1:13" x14ac:dyDescent="0.25">
      <c r="A44" t="s">
        <v>435</v>
      </c>
      <c r="B44" s="3">
        <v>45698.242939814816</v>
      </c>
      <c r="C44" t="s">
        <v>82</v>
      </c>
      <c r="D44" s="3">
        <v>45698.764050925922</v>
      </c>
      <c r="E44" t="s">
        <v>86</v>
      </c>
      <c r="F44" s="4">
        <v>178.065</v>
      </c>
      <c r="G44" s="4">
        <v>473623.01299999998</v>
      </c>
      <c r="H44" s="4">
        <v>473801.07799999998</v>
      </c>
      <c r="I44" s="5">
        <f>11218 / 86400</f>
        <v>0.12983796296296296</v>
      </c>
      <c r="J44" t="s">
        <v>60</v>
      </c>
      <c r="K44" t="s">
        <v>28</v>
      </c>
      <c r="L44" s="5">
        <f>37006 / 86400</f>
        <v>0.42831018518518521</v>
      </c>
      <c r="M44" s="5">
        <f>49388 / 86400</f>
        <v>0.57162037037037039</v>
      </c>
    </row>
    <row r="45" spans="1:13" x14ac:dyDescent="0.25">
      <c r="A45" t="s">
        <v>436</v>
      </c>
      <c r="B45" s="3">
        <v>45698.119085648148</v>
      </c>
      <c r="C45" t="s">
        <v>80</v>
      </c>
      <c r="D45" s="3">
        <v>45698.996469907404</v>
      </c>
      <c r="E45" t="s">
        <v>80</v>
      </c>
      <c r="F45" s="4">
        <v>256.77199999999999</v>
      </c>
      <c r="G45" s="4">
        <v>412897.99200000003</v>
      </c>
      <c r="H45" s="4">
        <v>413154.76400000002</v>
      </c>
      <c r="I45" s="5">
        <f>13817 / 86400</f>
        <v>0.15991898148148148</v>
      </c>
      <c r="J45" t="s">
        <v>87</v>
      </c>
      <c r="K45" t="s">
        <v>22</v>
      </c>
      <c r="L45" s="5">
        <f>47358 / 86400</f>
        <v>0.54812499999999997</v>
      </c>
      <c r="M45" s="5">
        <f>39031 / 86400</f>
        <v>0.45174768518518521</v>
      </c>
    </row>
    <row r="46" spans="1:13" x14ac:dyDescent="0.25">
      <c r="A46" t="s">
        <v>437</v>
      </c>
      <c r="B46" s="3">
        <v>45698.172847222224</v>
      </c>
      <c r="C46" t="s">
        <v>29</v>
      </c>
      <c r="D46" s="3">
        <v>45698.76427083333</v>
      </c>
      <c r="E46" t="s">
        <v>29</v>
      </c>
      <c r="F46" s="4">
        <v>190.27200000000002</v>
      </c>
      <c r="G46" s="4">
        <v>327386.30200000003</v>
      </c>
      <c r="H46" s="4">
        <v>327576.57400000002</v>
      </c>
      <c r="I46" s="5">
        <f>10953 / 86400</f>
        <v>0.12677083333333333</v>
      </c>
      <c r="J46" t="s">
        <v>88</v>
      </c>
      <c r="K46" t="s">
        <v>25</v>
      </c>
      <c r="L46" s="5">
        <f>38425 / 86400</f>
        <v>0.44473379629629628</v>
      </c>
      <c r="M46" s="5">
        <f>47969 / 86400</f>
        <v>0.55519675925925926</v>
      </c>
    </row>
    <row r="47" spans="1:13" x14ac:dyDescent="0.25">
      <c r="A47" t="s">
        <v>438</v>
      </c>
      <c r="B47" s="3">
        <v>45698.04315972222</v>
      </c>
      <c r="C47" t="s">
        <v>29</v>
      </c>
      <c r="D47" s="3">
        <v>45698.04650462963</v>
      </c>
      <c r="E47" t="s">
        <v>29</v>
      </c>
      <c r="F47" s="4">
        <v>0.10299999999999999</v>
      </c>
      <c r="G47" s="4">
        <v>359921.30800000002</v>
      </c>
      <c r="H47" s="4">
        <v>359921.41100000002</v>
      </c>
      <c r="I47" s="5">
        <f>220 / 86400</f>
        <v>2.5462962962962965E-3</v>
      </c>
      <c r="J47" t="s">
        <v>89</v>
      </c>
      <c r="K47" t="s">
        <v>62</v>
      </c>
      <c r="L47" s="5">
        <f>289 / 86400</f>
        <v>3.3449074074074076E-3</v>
      </c>
      <c r="M47" s="5">
        <f>86110 / 86400</f>
        <v>0.99664351851851851</v>
      </c>
    </row>
    <row r="48" spans="1:13" x14ac:dyDescent="0.25">
      <c r="A48" t="s">
        <v>439</v>
      </c>
      <c r="B48" s="3">
        <v>45698.282442129625</v>
      </c>
      <c r="C48" t="s">
        <v>90</v>
      </c>
      <c r="D48" s="3">
        <v>45698.885613425926</v>
      </c>
      <c r="E48" t="s">
        <v>90</v>
      </c>
      <c r="F48" s="4">
        <v>201.36199999999999</v>
      </c>
      <c r="G48" s="4">
        <v>81188.252999999997</v>
      </c>
      <c r="H48" s="4">
        <v>81389.615000000005</v>
      </c>
      <c r="I48" s="5">
        <f>13013 / 86400</f>
        <v>0.15061342592592591</v>
      </c>
      <c r="J48" t="s">
        <v>91</v>
      </c>
      <c r="K48" t="s">
        <v>28</v>
      </c>
      <c r="L48" s="5">
        <f>42989 / 86400</f>
        <v>0.49755787037037036</v>
      </c>
      <c r="M48" s="5">
        <f>43407 / 86400</f>
        <v>0.50239583333333337</v>
      </c>
    </row>
    <row r="49" spans="1:13" x14ac:dyDescent="0.25">
      <c r="A49" t="s">
        <v>440</v>
      </c>
      <c r="B49" s="3">
        <v>45698.20758101852</v>
      </c>
      <c r="C49" t="s">
        <v>92</v>
      </c>
      <c r="D49" s="3">
        <v>45698.980509259258</v>
      </c>
      <c r="E49" t="s">
        <v>92</v>
      </c>
      <c r="F49" s="4">
        <v>295.577</v>
      </c>
      <c r="G49" s="4">
        <v>468964.51</v>
      </c>
      <c r="H49" s="4">
        <v>469260.087</v>
      </c>
      <c r="I49" s="5">
        <f>21175 / 86400</f>
        <v>0.24508101851851852</v>
      </c>
      <c r="J49" t="s">
        <v>93</v>
      </c>
      <c r="K49" t="s">
        <v>28</v>
      </c>
      <c r="L49" s="5">
        <f>60822 / 86400</f>
        <v>0.70395833333333335</v>
      </c>
      <c r="M49" s="5">
        <f>25574 / 86400</f>
        <v>0.29599537037037038</v>
      </c>
    </row>
    <row r="50" spans="1:13" x14ac:dyDescent="0.25">
      <c r="A50" t="s">
        <v>441</v>
      </c>
      <c r="B50" s="3">
        <v>45698.204699074078</v>
      </c>
      <c r="C50" t="s">
        <v>94</v>
      </c>
      <c r="D50" s="3">
        <v>45698.859305555554</v>
      </c>
      <c r="E50" t="s">
        <v>95</v>
      </c>
      <c r="F50" s="4">
        <v>73.414999999999992</v>
      </c>
      <c r="G50" s="4">
        <v>428139.92</v>
      </c>
      <c r="H50" s="4">
        <v>428213.33600000001</v>
      </c>
      <c r="I50" s="5">
        <f>35623 / 86400</f>
        <v>0.41230324074074076</v>
      </c>
      <c r="J50" t="s">
        <v>40</v>
      </c>
      <c r="K50" t="s">
        <v>61</v>
      </c>
      <c r="L50" s="5">
        <f>45137 / 86400</f>
        <v>0.52241898148148147</v>
      </c>
      <c r="M50" s="5">
        <f>41260 / 86400</f>
        <v>0.4775462962962963</v>
      </c>
    </row>
    <row r="51" spans="1:13" x14ac:dyDescent="0.25">
      <c r="A51" t="s">
        <v>442</v>
      </c>
      <c r="B51" s="3">
        <v>45698.213958333334</v>
      </c>
      <c r="C51" t="s">
        <v>29</v>
      </c>
      <c r="D51" s="3">
        <v>45698.941527777773</v>
      </c>
      <c r="E51" t="s">
        <v>29</v>
      </c>
      <c r="F51" s="4">
        <v>195.95699999999999</v>
      </c>
      <c r="G51" s="4">
        <v>574898.50199999998</v>
      </c>
      <c r="H51" s="4">
        <v>575094.45900000003</v>
      </c>
      <c r="I51" s="5">
        <f>23372 / 86400</f>
        <v>0.27050925925925928</v>
      </c>
      <c r="J51" t="s">
        <v>96</v>
      </c>
      <c r="K51" t="s">
        <v>97</v>
      </c>
      <c r="L51" s="5">
        <f>53525 / 86400</f>
        <v>0.61950231481481477</v>
      </c>
      <c r="M51" s="5">
        <f>32873 / 86400</f>
        <v>0.38047453703703704</v>
      </c>
    </row>
    <row r="52" spans="1:13" x14ac:dyDescent="0.25">
      <c r="A52" t="s">
        <v>443</v>
      </c>
      <c r="B52" s="3">
        <v>45698.236516203702</v>
      </c>
      <c r="C52" t="s">
        <v>98</v>
      </c>
      <c r="D52" s="3">
        <v>45698.802233796298</v>
      </c>
      <c r="E52" t="s">
        <v>98</v>
      </c>
      <c r="F52" s="4">
        <v>209.38900000000001</v>
      </c>
      <c r="G52" s="4">
        <v>415940.11800000002</v>
      </c>
      <c r="H52" s="4">
        <v>416149.50699999998</v>
      </c>
      <c r="I52" s="5">
        <f>16604 / 86400</f>
        <v>0.19217592592592592</v>
      </c>
      <c r="J52" t="s">
        <v>27</v>
      </c>
      <c r="K52" t="s">
        <v>19</v>
      </c>
      <c r="L52" s="5">
        <f>46773 / 86400</f>
        <v>0.54135416666666669</v>
      </c>
      <c r="M52" s="5">
        <f>39625 / 86400</f>
        <v>0.45862268518518517</v>
      </c>
    </row>
    <row r="53" spans="1:13" x14ac:dyDescent="0.25">
      <c r="A53" t="s">
        <v>444</v>
      </c>
      <c r="B53" s="3">
        <v>45698.372071759259</v>
      </c>
      <c r="C53" t="s">
        <v>99</v>
      </c>
      <c r="D53" s="3">
        <v>45698.993217592593</v>
      </c>
      <c r="E53" t="s">
        <v>100</v>
      </c>
      <c r="F53" s="4">
        <v>124.24499999999999</v>
      </c>
      <c r="G53" s="4">
        <v>400209.53399999999</v>
      </c>
      <c r="H53" s="4">
        <v>400333.77899999998</v>
      </c>
      <c r="I53" s="5">
        <f>12405 / 86400</f>
        <v>0.14357638888888888</v>
      </c>
      <c r="J53" t="s">
        <v>40</v>
      </c>
      <c r="K53" t="s">
        <v>31</v>
      </c>
      <c r="L53" s="5">
        <f>31961 / 86400</f>
        <v>0.3699189814814815</v>
      </c>
      <c r="M53" s="5">
        <f>54434 / 86400</f>
        <v>0.63002314814814819</v>
      </c>
    </row>
    <row r="54" spans="1:13" x14ac:dyDescent="0.25">
      <c r="A54" t="s">
        <v>445</v>
      </c>
      <c r="B54" s="3">
        <v>45698.203981481478</v>
      </c>
      <c r="C54" t="s">
        <v>29</v>
      </c>
      <c r="D54" s="3">
        <v>45698.842534722222</v>
      </c>
      <c r="E54" t="s">
        <v>29</v>
      </c>
      <c r="F54" s="4">
        <v>232.36799999999999</v>
      </c>
      <c r="G54" s="4">
        <v>382001.924</v>
      </c>
      <c r="H54" s="4">
        <v>382234.29200000002</v>
      </c>
      <c r="I54" s="5">
        <f>14058 / 86400</f>
        <v>0.16270833333333334</v>
      </c>
      <c r="J54" t="s">
        <v>30</v>
      </c>
      <c r="K54" t="s">
        <v>25</v>
      </c>
      <c r="L54" s="5">
        <f>46782 / 86400</f>
        <v>0.54145833333333337</v>
      </c>
      <c r="M54" s="5">
        <f>39608 / 86400</f>
        <v>0.4584259259259259</v>
      </c>
    </row>
    <row r="55" spans="1:13" x14ac:dyDescent="0.25">
      <c r="A55" t="s">
        <v>446</v>
      </c>
      <c r="B55" s="3">
        <v>45698.29478009259</v>
      </c>
      <c r="C55" t="s">
        <v>20</v>
      </c>
      <c r="D55" s="3">
        <v>45698.882210648153</v>
      </c>
      <c r="E55" t="s">
        <v>20</v>
      </c>
      <c r="F55" s="4">
        <v>195.67599999999999</v>
      </c>
      <c r="G55" s="4">
        <v>545535.93099999998</v>
      </c>
      <c r="H55" s="4">
        <v>545731.60699999996</v>
      </c>
      <c r="I55" s="5">
        <f>13645 / 86400</f>
        <v>0.15792824074074074</v>
      </c>
      <c r="J55" t="s">
        <v>40</v>
      </c>
      <c r="K55" t="s">
        <v>19</v>
      </c>
      <c r="L55" s="5">
        <f>43491 / 86400</f>
        <v>0.50336805555555553</v>
      </c>
      <c r="M55" s="5">
        <f>42906 / 86400</f>
        <v>0.49659722222222225</v>
      </c>
    </row>
    <row r="56" spans="1:13" x14ac:dyDescent="0.25">
      <c r="A56" t="s">
        <v>447</v>
      </c>
      <c r="B56" s="3">
        <v>45698</v>
      </c>
      <c r="C56" t="s">
        <v>101</v>
      </c>
      <c r="D56" s="3">
        <v>45698.99998842593</v>
      </c>
      <c r="E56" t="s">
        <v>94</v>
      </c>
      <c r="F56" s="4">
        <v>319.81799999999998</v>
      </c>
      <c r="G56" s="4">
        <v>102745.08900000001</v>
      </c>
      <c r="H56" s="4">
        <v>103064.90700000001</v>
      </c>
      <c r="I56" s="5">
        <f>17335 / 86400</f>
        <v>0.20063657407407406</v>
      </c>
      <c r="J56" t="s">
        <v>76</v>
      </c>
      <c r="K56" t="s">
        <v>22</v>
      </c>
      <c r="L56" s="5">
        <f>56363 / 86400</f>
        <v>0.65234953703703702</v>
      </c>
      <c r="M56" s="5">
        <f>30036 / 86400</f>
        <v>0.34763888888888889</v>
      </c>
    </row>
    <row r="57" spans="1:13" x14ac:dyDescent="0.25">
      <c r="A57" t="s">
        <v>448</v>
      </c>
      <c r="B57" s="3">
        <v>45698.258460648147</v>
      </c>
      <c r="C57" t="s">
        <v>29</v>
      </c>
      <c r="D57" s="3">
        <v>45698.948796296296</v>
      </c>
      <c r="E57" t="s">
        <v>29</v>
      </c>
      <c r="F57" s="4">
        <v>8.5489999999999995</v>
      </c>
      <c r="G57" s="4">
        <v>53737.932999999997</v>
      </c>
      <c r="H57" s="4">
        <v>53746.482000000004</v>
      </c>
      <c r="I57" s="5">
        <f>332 / 86400</f>
        <v>3.8425925925925928E-3</v>
      </c>
      <c r="J57" t="s">
        <v>42</v>
      </c>
      <c r="K57" t="s">
        <v>102</v>
      </c>
      <c r="L57" s="5">
        <f>2583 / 86400</f>
        <v>2.9895833333333333E-2</v>
      </c>
      <c r="M57" s="5">
        <f>83816 / 86400</f>
        <v>0.97009259259259262</v>
      </c>
    </row>
    <row r="58" spans="1:13" x14ac:dyDescent="0.25">
      <c r="A58" t="s">
        <v>449</v>
      </c>
      <c r="B58" s="3">
        <v>45698.395960648151</v>
      </c>
      <c r="C58" t="s">
        <v>103</v>
      </c>
      <c r="D58" s="3">
        <v>45698.916979166665</v>
      </c>
      <c r="E58" t="s">
        <v>103</v>
      </c>
      <c r="F58" s="4">
        <v>191.76</v>
      </c>
      <c r="G58" s="4">
        <v>77998.774000000005</v>
      </c>
      <c r="H58" s="4">
        <v>78190.534</v>
      </c>
      <c r="I58" s="5">
        <f>16077 / 86400</f>
        <v>0.18607638888888889</v>
      </c>
      <c r="J58" t="s">
        <v>60</v>
      </c>
      <c r="K58" t="s">
        <v>19</v>
      </c>
      <c r="L58" s="5">
        <f>42816 / 86400</f>
        <v>0.49555555555555558</v>
      </c>
      <c r="M58" s="5">
        <f>43583 / 86400</f>
        <v>0.50443287037037032</v>
      </c>
    </row>
    <row r="59" spans="1:13" x14ac:dyDescent="0.25">
      <c r="A59" t="s">
        <v>450</v>
      </c>
      <c r="B59" s="3">
        <v>45698.00481481482</v>
      </c>
      <c r="C59" t="s">
        <v>79</v>
      </c>
      <c r="D59" s="3">
        <v>45698.99998842593</v>
      </c>
      <c r="E59" t="s">
        <v>104</v>
      </c>
      <c r="F59" s="4">
        <v>315.476</v>
      </c>
      <c r="G59" s="4">
        <v>39362.639999999999</v>
      </c>
      <c r="H59" s="4">
        <v>39678.116000000002</v>
      </c>
      <c r="I59" s="5">
        <f>20724 / 86400</f>
        <v>0.23986111111111111</v>
      </c>
      <c r="J59" t="s">
        <v>88</v>
      </c>
      <c r="K59" t="s">
        <v>25</v>
      </c>
      <c r="L59" s="5">
        <f>62661 / 86400</f>
        <v>0.72524305555555557</v>
      </c>
      <c r="M59" s="5">
        <f>23738 / 86400</f>
        <v>0.27474537037037039</v>
      </c>
    </row>
    <row r="60" spans="1:13" x14ac:dyDescent="0.25">
      <c r="A60" t="s">
        <v>451</v>
      </c>
      <c r="B60" s="3">
        <v>45698.252164351856</v>
      </c>
      <c r="C60" t="s">
        <v>105</v>
      </c>
      <c r="D60" s="3">
        <v>45698.99998842593</v>
      </c>
      <c r="E60" t="s">
        <v>106</v>
      </c>
      <c r="F60" s="4">
        <v>253.44400000000002</v>
      </c>
      <c r="G60" s="4">
        <v>191565.27100000001</v>
      </c>
      <c r="H60" s="4">
        <v>191818.71900000001</v>
      </c>
      <c r="I60" s="5">
        <f>15357 / 86400</f>
        <v>0.17774305555555556</v>
      </c>
      <c r="J60" t="s">
        <v>24</v>
      </c>
      <c r="K60" t="s">
        <v>28</v>
      </c>
      <c r="L60" s="5">
        <f>53085 / 86400</f>
        <v>0.61440972222222223</v>
      </c>
      <c r="M60" s="5">
        <f>33308 / 86400</f>
        <v>0.38550925925925927</v>
      </c>
    </row>
    <row r="61" spans="1:13" x14ac:dyDescent="0.25">
      <c r="A61" t="s">
        <v>452</v>
      </c>
      <c r="B61" s="3">
        <v>45698.2112962963</v>
      </c>
      <c r="C61" t="s">
        <v>90</v>
      </c>
      <c r="D61" s="3">
        <v>45698.99998842593</v>
      </c>
      <c r="E61" t="s">
        <v>107</v>
      </c>
      <c r="F61" s="4">
        <v>298.79700000000003</v>
      </c>
      <c r="G61" s="4">
        <v>521937.02399999998</v>
      </c>
      <c r="H61" s="4">
        <v>522235.821</v>
      </c>
      <c r="I61" s="5">
        <f>21023 / 86400</f>
        <v>0.24332175925925925</v>
      </c>
      <c r="J61" t="s">
        <v>108</v>
      </c>
      <c r="K61" t="s">
        <v>28</v>
      </c>
      <c r="L61" s="5">
        <f>61863 / 86400</f>
        <v>0.71600694444444446</v>
      </c>
      <c r="M61" s="5">
        <f>24535 / 86400</f>
        <v>0.28396990740740741</v>
      </c>
    </row>
    <row r="62" spans="1:13" x14ac:dyDescent="0.25">
      <c r="A62" t="s">
        <v>453</v>
      </c>
      <c r="B62" s="3">
        <v>45698.270740740743</v>
      </c>
      <c r="C62" t="s">
        <v>94</v>
      </c>
      <c r="D62" s="3">
        <v>45698.82503472222</v>
      </c>
      <c r="E62" t="s">
        <v>94</v>
      </c>
      <c r="F62" s="4">
        <v>186.084</v>
      </c>
      <c r="G62" s="4">
        <v>22397.012999999999</v>
      </c>
      <c r="H62" s="4">
        <v>22583.097000000002</v>
      </c>
      <c r="I62" s="5">
        <f>11918 / 86400</f>
        <v>0.13793981481481482</v>
      </c>
      <c r="J62" t="s">
        <v>52</v>
      </c>
      <c r="K62" t="s">
        <v>19</v>
      </c>
      <c r="L62" s="5">
        <f>40945 / 86400</f>
        <v>0.47390046296296295</v>
      </c>
      <c r="M62" s="5">
        <f>45451 / 86400</f>
        <v>0.52605324074074078</v>
      </c>
    </row>
    <row r="63" spans="1:13" x14ac:dyDescent="0.25">
      <c r="A63" t="s">
        <v>454</v>
      </c>
      <c r="B63" s="3">
        <v>45698.229895833334</v>
      </c>
      <c r="C63" t="s">
        <v>37</v>
      </c>
      <c r="D63" s="3">
        <v>45698.75172453704</v>
      </c>
      <c r="E63" t="s">
        <v>37</v>
      </c>
      <c r="F63" s="4">
        <v>188.32499999999999</v>
      </c>
      <c r="G63" s="4">
        <v>63612.786</v>
      </c>
      <c r="H63" s="4">
        <v>63801.110999999997</v>
      </c>
      <c r="I63" s="5">
        <f>15658 / 86400</f>
        <v>0.18122685185185186</v>
      </c>
      <c r="J63" t="s">
        <v>50</v>
      </c>
      <c r="K63" t="s">
        <v>19</v>
      </c>
      <c r="L63" s="5">
        <f>42370 / 86400</f>
        <v>0.49039351851851853</v>
      </c>
      <c r="M63" s="5">
        <f>44025 / 86400</f>
        <v>0.50954861111111116</v>
      </c>
    </row>
    <row r="64" spans="1:13" x14ac:dyDescent="0.25">
      <c r="A64" t="s">
        <v>455</v>
      </c>
      <c r="B64" s="3">
        <v>45698.274548611109</v>
      </c>
      <c r="C64" t="s">
        <v>17</v>
      </c>
      <c r="D64" s="3">
        <v>45698.765729166669</v>
      </c>
      <c r="E64" t="s">
        <v>109</v>
      </c>
      <c r="F64" s="4">
        <v>174.47699999999998</v>
      </c>
      <c r="G64" s="4">
        <v>4923.3220000000001</v>
      </c>
      <c r="H64" s="4">
        <v>5097.799</v>
      </c>
      <c r="I64" s="5">
        <f>9914 / 86400</f>
        <v>0.11474537037037037</v>
      </c>
      <c r="J64" t="s">
        <v>40</v>
      </c>
      <c r="K64" t="s">
        <v>25</v>
      </c>
      <c r="L64" s="5">
        <f>35105 / 86400</f>
        <v>0.40630787037037036</v>
      </c>
      <c r="M64" s="5">
        <f>51288 / 86400</f>
        <v>0.59361111111111109</v>
      </c>
    </row>
    <row r="65" spans="1:13" x14ac:dyDescent="0.25">
      <c r="A65" t="s">
        <v>456</v>
      </c>
      <c r="B65" s="3">
        <v>45698.001527777778</v>
      </c>
      <c r="C65" t="s">
        <v>110</v>
      </c>
      <c r="D65" s="3">
        <v>45698.905393518522</v>
      </c>
      <c r="E65" t="s">
        <v>29</v>
      </c>
      <c r="F65" s="4">
        <v>158.571</v>
      </c>
      <c r="G65" s="4">
        <v>407631.62400000001</v>
      </c>
      <c r="H65" s="4">
        <v>407790.19500000001</v>
      </c>
      <c r="I65" s="5">
        <f>12154 / 86400</f>
        <v>0.14067129629629629</v>
      </c>
      <c r="J65" t="s">
        <v>35</v>
      </c>
      <c r="K65" t="s">
        <v>28</v>
      </c>
      <c r="L65" s="5">
        <f>33252 / 86400</f>
        <v>0.3848611111111111</v>
      </c>
      <c r="M65" s="5">
        <f>53137 / 86400</f>
        <v>0.61501157407407403</v>
      </c>
    </row>
    <row r="66" spans="1:13" x14ac:dyDescent="0.25">
      <c r="A66" t="s">
        <v>457</v>
      </c>
      <c r="B66" s="3">
        <v>45698</v>
      </c>
      <c r="C66" t="s">
        <v>111</v>
      </c>
      <c r="D66" s="3">
        <v>45698.99998842593</v>
      </c>
      <c r="E66" t="s">
        <v>95</v>
      </c>
      <c r="F66" s="4">
        <v>288.024</v>
      </c>
      <c r="G66" s="4">
        <v>549160.55700000003</v>
      </c>
      <c r="H66" s="4">
        <v>549448.58100000001</v>
      </c>
      <c r="I66" s="5">
        <f>17678 / 86400</f>
        <v>0.20460648148148147</v>
      </c>
      <c r="J66" t="s">
        <v>30</v>
      </c>
      <c r="K66" t="s">
        <v>25</v>
      </c>
      <c r="L66" s="5">
        <f>58390 / 86400</f>
        <v>0.67581018518518521</v>
      </c>
      <c r="M66" s="5">
        <f>28006 / 86400</f>
        <v>0.32414351851851853</v>
      </c>
    </row>
    <row r="67" spans="1:13" x14ac:dyDescent="0.25">
      <c r="A67" t="s">
        <v>458</v>
      </c>
      <c r="B67" s="3">
        <v>45698</v>
      </c>
      <c r="C67" t="s">
        <v>112</v>
      </c>
      <c r="D67" s="3">
        <v>45698.96570601852</v>
      </c>
      <c r="E67" t="s">
        <v>113</v>
      </c>
      <c r="F67" s="4">
        <v>132.88000000000744</v>
      </c>
      <c r="G67" s="4">
        <v>49490.39</v>
      </c>
      <c r="H67" s="4">
        <v>49623.270000000004</v>
      </c>
      <c r="I67" s="5">
        <f>1296 / 86400</f>
        <v>1.4999999999999999E-2</v>
      </c>
      <c r="J67" t="s">
        <v>114</v>
      </c>
      <c r="K67" t="s">
        <v>30</v>
      </c>
      <c r="L67" s="5">
        <f>5904 / 86400</f>
        <v>6.8333333333333329E-2</v>
      </c>
      <c r="M67" s="5">
        <f>80488 / 86400</f>
        <v>0.93157407407407411</v>
      </c>
    </row>
    <row r="68" spans="1:13" x14ac:dyDescent="0.25">
      <c r="A68" t="s">
        <v>459</v>
      </c>
      <c r="B68" s="3">
        <v>45698</v>
      </c>
      <c r="C68" t="s">
        <v>69</v>
      </c>
      <c r="D68" s="3">
        <v>45698.99998842593</v>
      </c>
      <c r="E68" t="s">
        <v>111</v>
      </c>
      <c r="F68" s="4">
        <v>350.971</v>
      </c>
      <c r="G68" s="4">
        <v>58523.758000000002</v>
      </c>
      <c r="H68" s="4">
        <v>58874.728999999999</v>
      </c>
      <c r="I68" s="5">
        <f>22594 / 86400</f>
        <v>0.26150462962962961</v>
      </c>
      <c r="J68" t="s">
        <v>35</v>
      </c>
      <c r="K68" t="s">
        <v>33</v>
      </c>
      <c r="L68" s="5">
        <f>67014 / 86400</f>
        <v>0.77562500000000001</v>
      </c>
      <c r="M68" s="5">
        <f>19373 / 86400</f>
        <v>0.22422453703703704</v>
      </c>
    </row>
    <row r="69" spans="1:13" x14ac:dyDescent="0.25">
      <c r="A69" t="s">
        <v>460</v>
      </c>
      <c r="B69" s="3">
        <v>45698</v>
      </c>
      <c r="C69" t="s">
        <v>44</v>
      </c>
      <c r="D69" s="3">
        <v>45698.99998842593</v>
      </c>
      <c r="E69" t="s">
        <v>115</v>
      </c>
      <c r="F69" s="4">
        <v>709.16600000000005</v>
      </c>
      <c r="G69" s="4">
        <v>61609.96</v>
      </c>
      <c r="H69" s="4">
        <v>62319.125999999997</v>
      </c>
      <c r="I69" s="5">
        <f>11890 / 86400</f>
        <v>0.13761574074074073</v>
      </c>
      <c r="J69" t="s">
        <v>116</v>
      </c>
      <c r="K69" t="s">
        <v>117</v>
      </c>
      <c r="L69" s="5">
        <f>50721 / 86400</f>
        <v>0.58704861111111106</v>
      </c>
      <c r="M69" s="5">
        <f>35676 / 86400</f>
        <v>0.41291666666666665</v>
      </c>
    </row>
    <row r="70" spans="1:13" x14ac:dyDescent="0.25">
      <c r="A70" t="s">
        <v>461</v>
      </c>
      <c r="B70" s="3">
        <v>45698</v>
      </c>
      <c r="C70" t="s">
        <v>118</v>
      </c>
      <c r="D70" s="3">
        <v>45698.99998842593</v>
      </c>
      <c r="E70" t="s">
        <v>119</v>
      </c>
      <c r="F70" s="4">
        <v>205.108</v>
      </c>
      <c r="G70" s="4">
        <v>291157.228</v>
      </c>
      <c r="H70" s="4">
        <v>291362.33600000001</v>
      </c>
      <c r="I70" s="5">
        <f>28156 / 86400</f>
        <v>0.32587962962962963</v>
      </c>
      <c r="J70" t="s">
        <v>116</v>
      </c>
      <c r="K70" t="s">
        <v>31</v>
      </c>
      <c r="L70" s="5">
        <f>52938 / 86400</f>
        <v>0.6127083333333333</v>
      </c>
      <c r="M70" s="5">
        <f>33461 / 86400</f>
        <v>0.38728009259259261</v>
      </c>
    </row>
    <row r="71" spans="1:13" x14ac:dyDescent="0.25">
      <c r="A71" s="6" t="s">
        <v>120</v>
      </c>
      <c r="B71" s="6" t="s">
        <v>121</v>
      </c>
      <c r="C71" s="6" t="s">
        <v>121</v>
      </c>
      <c r="D71" s="6" t="s">
        <v>121</v>
      </c>
      <c r="E71" s="6" t="s">
        <v>121</v>
      </c>
      <c r="F71" s="7">
        <v>12493.56833598853</v>
      </c>
      <c r="G71" s="6" t="s">
        <v>121</v>
      </c>
      <c r="H71" s="6" t="s">
        <v>121</v>
      </c>
      <c r="I71" s="8">
        <f>863690 / 86400</f>
        <v>9.9964120370370377</v>
      </c>
      <c r="J71" s="6" t="s">
        <v>121</v>
      </c>
      <c r="K71" s="6" t="s">
        <v>121</v>
      </c>
      <c r="L71" s="8">
        <f>2547193 / 86400</f>
        <v>29.481400462962963</v>
      </c>
      <c r="M71" s="8">
        <f>2895766 / 86400</f>
        <v>33.515810185185188</v>
      </c>
    </row>
    <row r="72" spans="1:1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1:13" s="9" customFormat="1" x14ac:dyDescent="0.25">
      <c r="A73" s="15" t="s">
        <v>122</v>
      </c>
      <c r="B73" s="15"/>
      <c r="C73" s="15"/>
      <c r="D73" s="15"/>
      <c r="E73" s="15"/>
      <c r="F73" s="15"/>
      <c r="G73" s="15"/>
      <c r="H73" s="15"/>
      <c r="I73" s="15"/>
      <c r="J73" s="15"/>
    </row>
    <row r="74" spans="1:1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spans="1:1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spans="1:13" s="10" customFormat="1" ht="20.100000000000001" customHeight="1" x14ac:dyDescent="0.35">
      <c r="A76" s="12" t="s">
        <v>399</v>
      </c>
      <c r="B76" s="12"/>
      <c r="C76" s="12"/>
      <c r="D76" s="12"/>
      <c r="E76" s="12"/>
      <c r="F76" s="12"/>
      <c r="G76" s="12"/>
      <c r="H76" s="12"/>
      <c r="I76" s="12"/>
      <c r="J76" s="12"/>
    </row>
    <row r="77" spans="1:1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 spans="1:13" ht="30" x14ac:dyDescent="0.25">
      <c r="A78" s="2" t="s">
        <v>5</v>
      </c>
      <c r="B78" s="2" t="s">
        <v>6</v>
      </c>
      <c r="C78" s="2" t="s">
        <v>7</v>
      </c>
      <c r="D78" s="2" t="s">
        <v>8</v>
      </c>
      <c r="E78" s="2" t="s">
        <v>9</v>
      </c>
      <c r="F78" s="2" t="s">
        <v>10</v>
      </c>
      <c r="G78" s="2" t="s">
        <v>11</v>
      </c>
      <c r="H78" s="2" t="s">
        <v>12</v>
      </c>
      <c r="I78" s="2" t="s">
        <v>13</v>
      </c>
      <c r="J78" s="2" t="s">
        <v>14</v>
      </c>
      <c r="K78" s="2" t="s">
        <v>15</v>
      </c>
      <c r="L78" s="2" t="s">
        <v>16</v>
      </c>
    </row>
    <row r="79" spans="1:13" x14ac:dyDescent="0.25">
      <c r="A79" s="3">
        <v>45698.259016203709</v>
      </c>
      <c r="B79" t="s">
        <v>17</v>
      </c>
      <c r="C79" s="3">
        <v>45698.325162037036</v>
      </c>
      <c r="D79" t="s">
        <v>123</v>
      </c>
      <c r="E79" s="4">
        <v>36.817999999999998</v>
      </c>
      <c r="F79" s="4">
        <v>513583.43699999998</v>
      </c>
      <c r="G79" s="4">
        <v>513620.255</v>
      </c>
      <c r="H79" s="5">
        <f>1039 / 86400</f>
        <v>1.2025462962962963E-2</v>
      </c>
      <c r="I79" t="s">
        <v>124</v>
      </c>
      <c r="J79" t="s">
        <v>47</v>
      </c>
      <c r="K79" s="5">
        <f>5714 / 86400</f>
        <v>6.6134259259259254E-2</v>
      </c>
      <c r="L79" s="5">
        <f>22399 / 86400</f>
        <v>0.25924768518518521</v>
      </c>
    </row>
    <row r="80" spans="1:13" x14ac:dyDescent="0.25">
      <c r="A80" s="3">
        <v>45698.32539351852</v>
      </c>
      <c r="B80" t="s">
        <v>123</v>
      </c>
      <c r="C80" s="3">
        <v>45698.32607638889</v>
      </c>
      <c r="D80" t="s">
        <v>123</v>
      </c>
      <c r="E80" s="4">
        <v>2.4E-2</v>
      </c>
      <c r="F80" s="4">
        <v>513620.255</v>
      </c>
      <c r="G80" s="4">
        <v>513620.27899999998</v>
      </c>
      <c r="H80" s="5">
        <f>0 / 86400</f>
        <v>0</v>
      </c>
      <c r="I80" t="s">
        <v>125</v>
      </c>
      <c r="J80" t="s">
        <v>62</v>
      </c>
      <c r="K80" s="5">
        <f>58 / 86400</f>
        <v>6.7129629629629625E-4</v>
      </c>
      <c r="L80" s="5">
        <f>196 / 86400</f>
        <v>2.2685185185185187E-3</v>
      </c>
    </row>
    <row r="81" spans="1:12" x14ac:dyDescent="0.25">
      <c r="A81" s="3">
        <v>45698.328344907408</v>
      </c>
      <c r="B81" t="s">
        <v>123</v>
      </c>
      <c r="C81" s="3">
        <v>45698.328599537039</v>
      </c>
      <c r="D81" t="s">
        <v>123</v>
      </c>
      <c r="E81" s="4">
        <v>0</v>
      </c>
      <c r="F81" s="4">
        <v>513620.27899999998</v>
      </c>
      <c r="G81" s="4">
        <v>513620.27899999998</v>
      </c>
      <c r="H81" s="5">
        <f>19 / 86400</f>
        <v>2.199074074074074E-4</v>
      </c>
      <c r="I81" t="s">
        <v>126</v>
      </c>
      <c r="J81" t="s">
        <v>126</v>
      </c>
      <c r="K81" s="5">
        <f>21 / 86400</f>
        <v>2.4305555555555555E-4</v>
      </c>
      <c r="L81" s="5">
        <f>42 / 86400</f>
        <v>4.861111111111111E-4</v>
      </c>
    </row>
    <row r="82" spans="1:12" x14ac:dyDescent="0.25">
      <c r="A82" s="3">
        <v>45698.329085648147</v>
      </c>
      <c r="B82" t="s">
        <v>123</v>
      </c>
      <c r="C82" s="3">
        <v>45698.329953703702</v>
      </c>
      <c r="D82" t="s">
        <v>123</v>
      </c>
      <c r="E82" s="4">
        <v>1E-3</v>
      </c>
      <c r="F82" s="4">
        <v>513620.27899999998</v>
      </c>
      <c r="G82" s="4">
        <v>513620.28</v>
      </c>
      <c r="H82" s="5">
        <f>59 / 86400</f>
        <v>6.8287037037037036E-4</v>
      </c>
      <c r="I82" t="s">
        <v>126</v>
      </c>
      <c r="J82" t="s">
        <v>126</v>
      </c>
      <c r="K82" s="5">
        <f>74 / 86400</f>
        <v>8.564814814814815E-4</v>
      </c>
      <c r="L82" s="5">
        <f>5713 / 86400</f>
        <v>6.6122685185185187E-2</v>
      </c>
    </row>
    <row r="83" spans="1:12" x14ac:dyDescent="0.25">
      <c r="A83" s="3">
        <v>45698.39607638889</v>
      </c>
      <c r="B83" t="s">
        <v>127</v>
      </c>
      <c r="C83" s="3">
        <v>45698.403194444443</v>
      </c>
      <c r="D83" t="s">
        <v>127</v>
      </c>
      <c r="E83" s="4">
        <v>0</v>
      </c>
      <c r="F83" s="4">
        <v>513620.28</v>
      </c>
      <c r="G83" s="4">
        <v>513620.28</v>
      </c>
      <c r="H83" s="5">
        <f>599 / 86400</f>
        <v>6.9328703703703705E-3</v>
      </c>
      <c r="I83" t="s">
        <v>126</v>
      </c>
      <c r="J83" t="s">
        <v>126</v>
      </c>
      <c r="K83" s="5">
        <f>615 / 86400</f>
        <v>7.1180555555555554E-3</v>
      </c>
      <c r="L83" s="5">
        <f>1840 / 86400</f>
        <v>2.1296296296296296E-2</v>
      </c>
    </row>
    <row r="84" spans="1:12" x14ac:dyDescent="0.25">
      <c r="A84" s="3">
        <v>45698.424490740741</v>
      </c>
      <c r="B84" t="s">
        <v>127</v>
      </c>
      <c r="C84" s="3">
        <v>45698.67869212963</v>
      </c>
      <c r="D84" t="s">
        <v>123</v>
      </c>
      <c r="E84" s="4">
        <v>94.808999999999997</v>
      </c>
      <c r="F84" s="4">
        <v>513620.28</v>
      </c>
      <c r="G84" s="4">
        <v>513715.08899999998</v>
      </c>
      <c r="H84" s="5">
        <f>9459 / 86400</f>
        <v>0.10947916666666667</v>
      </c>
      <c r="I84" t="s">
        <v>18</v>
      </c>
      <c r="J84" t="s">
        <v>19</v>
      </c>
      <c r="K84" s="5">
        <f>21962 / 86400</f>
        <v>0.25418981481481484</v>
      </c>
      <c r="L84" s="5">
        <f>418 / 86400</f>
        <v>4.8379629629629632E-3</v>
      </c>
    </row>
    <row r="85" spans="1:12" x14ac:dyDescent="0.25">
      <c r="A85" s="3">
        <v>45698.683530092589</v>
      </c>
      <c r="B85" t="s">
        <v>123</v>
      </c>
      <c r="C85" s="3">
        <v>45698.687094907407</v>
      </c>
      <c r="D85" t="s">
        <v>128</v>
      </c>
      <c r="E85" s="4">
        <v>0.81100000000000005</v>
      </c>
      <c r="F85" s="4">
        <v>513715.08899999998</v>
      </c>
      <c r="G85" s="4">
        <v>513715.9</v>
      </c>
      <c r="H85" s="5">
        <f>80 / 86400</f>
        <v>9.2592592592592596E-4</v>
      </c>
      <c r="I85" t="s">
        <v>36</v>
      </c>
      <c r="J85" t="s">
        <v>129</v>
      </c>
      <c r="K85" s="5">
        <f>307 / 86400</f>
        <v>3.5532407407407409E-3</v>
      </c>
      <c r="L85" s="5">
        <f>1614 / 86400</f>
        <v>1.8680555555555554E-2</v>
      </c>
    </row>
    <row r="86" spans="1:12" x14ac:dyDescent="0.25">
      <c r="A86" s="3">
        <v>45698.705775462964</v>
      </c>
      <c r="B86" t="s">
        <v>49</v>
      </c>
      <c r="C86" s="3">
        <v>45698.829432870371</v>
      </c>
      <c r="D86" t="s">
        <v>130</v>
      </c>
      <c r="E86" s="4">
        <v>49.502000000000002</v>
      </c>
      <c r="F86" s="4">
        <v>513715.9</v>
      </c>
      <c r="G86" s="4">
        <v>513765.402</v>
      </c>
      <c r="H86" s="5">
        <f>3400 / 86400</f>
        <v>3.9351851851851853E-2</v>
      </c>
      <c r="I86" t="s">
        <v>71</v>
      </c>
      <c r="J86" t="s">
        <v>28</v>
      </c>
      <c r="K86" s="5">
        <f>10683 / 86400</f>
        <v>0.12364583333333333</v>
      </c>
      <c r="L86" s="5">
        <f>3 / 86400</f>
        <v>3.4722222222222222E-5</v>
      </c>
    </row>
    <row r="87" spans="1:12" x14ac:dyDescent="0.25">
      <c r="A87" s="3">
        <v>45698.829467592594</v>
      </c>
      <c r="B87" t="s">
        <v>130</v>
      </c>
      <c r="C87" s="3">
        <v>45698.900381944448</v>
      </c>
      <c r="D87" t="s">
        <v>17</v>
      </c>
      <c r="E87" s="4">
        <v>20.824999999999999</v>
      </c>
      <c r="F87" s="4">
        <v>513765.402</v>
      </c>
      <c r="G87" s="4">
        <v>513786.22700000001</v>
      </c>
      <c r="H87" s="5">
        <f>2159 / 86400</f>
        <v>2.4988425925925924E-2</v>
      </c>
      <c r="I87" t="s">
        <v>131</v>
      </c>
      <c r="J87" t="s">
        <v>102</v>
      </c>
      <c r="K87" s="5">
        <f>6127 / 86400</f>
        <v>7.0914351851851853E-2</v>
      </c>
      <c r="L87" s="5">
        <f>14 / 86400</f>
        <v>1.6203703703703703E-4</v>
      </c>
    </row>
    <row r="88" spans="1:12" x14ac:dyDescent="0.25">
      <c r="A88" s="3">
        <v>45698.900543981479</v>
      </c>
      <c r="B88" t="s">
        <v>17</v>
      </c>
      <c r="C88" s="3">
        <v>45698.901122685187</v>
      </c>
      <c r="D88" t="s">
        <v>17</v>
      </c>
      <c r="E88" s="4">
        <v>2.8000000000000001E-2</v>
      </c>
      <c r="F88" s="4">
        <v>513786.22700000001</v>
      </c>
      <c r="G88" s="4">
        <v>513786.255</v>
      </c>
      <c r="H88" s="5">
        <f>39 / 86400</f>
        <v>4.5138888888888887E-4</v>
      </c>
      <c r="I88" t="s">
        <v>126</v>
      </c>
      <c r="J88" t="s">
        <v>132</v>
      </c>
      <c r="K88" s="5">
        <f>50 / 86400</f>
        <v>5.7870370370370367E-4</v>
      </c>
      <c r="L88" s="5">
        <f>393 / 86400</f>
        <v>4.5486111111111109E-3</v>
      </c>
    </row>
    <row r="89" spans="1:12" x14ac:dyDescent="0.25">
      <c r="A89" s="3">
        <v>45698.905671296292</v>
      </c>
      <c r="B89" t="s">
        <v>17</v>
      </c>
      <c r="C89" s="3">
        <v>45698.906041666662</v>
      </c>
      <c r="D89" t="s">
        <v>17</v>
      </c>
      <c r="E89" s="4">
        <v>0</v>
      </c>
      <c r="F89" s="4">
        <v>513786.255</v>
      </c>
      <c r="G89" s="4">
        <v>513786.255</v>
      </c>
      <c r="H89" s="5">
        <f>19 / 86400</f>
        <v>2.199074074074074E-4</v>
      </c>
      <c r="I89" t="s">
        <v>126</v>
      </c>
      <c r="J89" t="s">
        <v>126</v>
      </c>
      <c r="K89" s="5">
        <f>32 / 86400</f>
        <v>3.7037037037037035E-4</v>
      </c>
      <c r="L89" s="5">
        <f>445 / 86400</f>
        <v>5.1504629629629626E-3</v>
      </c>
    </row>
    <row r="90" spans="1:12" x14ac:dyDescent="0.25">
      <c r="A90" s="3">
        <v>45698.911192129628</v>
      </c>
      <c r="B90" t="s">
        <v>17</v>
      </c>
      <c r="C90" s="3">
        <v>45698.921249999999</v>
      </c>
      <c r="D90" t="s">
        <v>17</v>
      </c>
      <c r="E90" s="4">
        <v>5.8000000000000003E-2</v>
      </c>
      <c r="F90" s="4">
        <v>513786.255</v>
      </c>
      <c r="G90" s="4">
        <v>513786.31300000002</v>
      </c>
      <c r="H90" s="5">
        <f>799 / 86400</f>
        <v>9.2476851851851852E-3</v>
      </c>
      <c r="I90" t="s">
        <v>125</v>
      </c>
      <c r="J90" t="s">
        <v>126</v>
      </c>
      <c r="K90" s="5">
        <f>869 / 86400</f>
        <v>1.005787037037037E-2</v>
      </c>
      <c r="L90" s="5">
        <f>6803 / 86400</f>
        <v>7.873842592592592E-2</v>
      </c>
    </row>
    <row r="91" spans="1:1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 spans="1:1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 spans="1:12" s="10" customFormat="1" ht="20.100000000000001" customHeight="1" x14ac:dyDescent="0.35">
      <c r="A93" s="12" t="s">
        <v>400</v>
      </c>
      <c r="B93" s="12"/>
      <c r="C93" s="12"/>
      <c r="D93" s="12"/>
      <c r="E93" s="12"/>
      <c r="F93" s="12"/>
      <c r="G93" s="12"/>
      <c r="H93" s="12"/>
      <c r="I93" s="12"/>
      <c r="J93" s="12"/>
    </row>
    <row r="94" spans="1:1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 spans="1:12" ht="30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</row>
    <row r="96" spans="1:12" x14ac:dyDescent="0.25">
      <c r="A96" s="3">
        <v>45698.090717592597</v>
      </c>
      <c r="B96" t="s">
        <v>20</v>
      </c>
      <c r="C96" s="3">
        <v>45698.172916666663</v>
      </c>
      <c r="D96" t="s">
        <v>133</v>
      </c>
      <c r="E96" s="4">
        <v>51.274000000000001</v>
      </c>
      <c r="F96" s="4">
        <v>18374.201000000001</v>
      </c>
      <c r="G96" s="4">
        <v>18425.474999999999</v>
      </c>
      <c r="H96" s="5">
        <f>1656 / 86400</f>
        <v>1.9166666666666665E-2</v>
      </c>
      <c r="I96" t="s">
        <v>38</v>
      </c>
      <c r="J96" t="s">
        <v>134</v>
      </c>
      <c r="K96" s="5">
        <f>7102 / 86400</f>
        <v>8.2199074074074077E-2</v>
      </c>
      <c r="L96" s="5">
        <f>8577 / 86400</f>
        <v>9.9270833333333336E-2</v>
      </c>
    </row>
    <row r="97" spans="1:12" x14ac:dyDescent="0.25">
      <c r="A97" s="3">
        <v>45698.181469907402</v>
      </c>
      <c r="B97" t="s">
        <v>133</v>
      </c>
      <c r="C97" s="3">
        <v>45698.287152777775</v>
      </c>
      <c r="D97" t="s">
        <v>135</v>
      </c>
      <c r="E97" s="4">
        <v>52.774000000000001</v>
      </c>
      <c r="F97" s="4">
        <v>18425.474999999999</v>
      </c>
      <c r="G97" s="4">
        <v>18478.249</v>
      </c>
      <c r="H97" s="5">
        <f>2459 / 86400</f>
        <v>2.8460648148148148E-2</v>
      </c>
      <c r="I97" t="s">
        <v>24</v>
      </c>
      <c r="J97" t="s">
        <v>136</v>
      </c>
      <c r="K97" s="5">
        <f>9131 / 86400</f>
        <v>0.10568287037037037</v>
      </c>
      <c r="L97" s="5">
        <f>694 / 86400</f>
        <v>8.0324074074074082E-3</v>
      </c>
    </row>
    <row r="98" spans="1:12" x14ac:dyDescent="0.25">
      <c r="A98" s="3">
        <v>45698.295185185183</v>
      </c>
      <c r="B98" t="s">
        <v>135</v>
      </c>
      <c r="C98" s="3">
        <v>45698.295555555553</v>
      </c>
      <c r="D98" t="s">
        <v>137</v>
      </c>
      <c r="E98" s="4">
        <v>3.9E-2</v>
      </c>
      <c r="F98" s="4">
        <v>18478.249</v>
      </c>
      <c r="G98" s="4">
        <v>18478.288</v>
      </c>
      <c r="H98" s="5">
        <f>0 / 86400</f>
        <v>0</v>
      </c>
      <c r="I98" t="s">
        <v>138</v>
      </c>
      <c r="J98" t="s">
        <v>125</v>
      </c>
      <c r="K98" s="5">
        <f>31 / 86400</f>
        <v>3.5879629629629629E-4</v>
      </c>
      <c r="L98" s="5">
        <f>1073 / 86400</f>
        <v>1.2418981481481482E-2</v>
      </c>
    </row>
    <row r="99" spans="1:12" x14ac:dyDescent="0.25">
      <c r="A99" s="3">
        <v>45698.307974537034</v>
      </c>
      <c r="B99" t="s">
        <v>135</v>
      </c>
      <c r="C99" s="3">
        <v>45698.552800925929</v>
      </c>
      <c r="D99" t="s">
        <v>123</v>
      </c>
      <c r="E99" s="4">
        <v>101.39700000000001</v>
      </c>
      <c r="F99" s="4">
        <v>18478.288</v>
      </c>
      <c r="G99" s="4">
        <v>18579.685000000001</v>
      </c>
      <c r="H99" s="5">
        <f>6801 / 86400</f>
        <v>7.8715277777777773E-2</v>
      </c>
      <c r="I99" t="s">
        <v>38</v>
      </c>
      <c r="J99" t="s">
        <v>28</v>
      </c>
      <c r="K99" s="5">
        <f>21152 / 86400</f>
        <v>0.24481481481481482</v>
      </c>
      <c r="L99" s="5">
        <f>337 / 86400</f>
        <v>3.9004629629629628E-3</v>
      </c>
    </row>
    <row r="100" spans="1:12" x14ac:dyDescent="0.25">
      <c r="A100" s="3">
        <v>45698.556701388894</v>
      </c>
      <c r="B100" t="s">
        <v>123</v>
      </c>
      <c r="C100" s="3">
        <v>45698.558472222227</v>
      </c>
      <c r="D100" t="s">
        <v>123</v>
      </c>
      <c r="E100" s="4">
        <v>0.185</v>
      </c>
      <c r="F100" s="4">
        <v>18579.685000000001</v>
      </c>
      <c r="G100" s="4">
        <v>18579.87</v>
      </c>
      <c r="H100" s="5">
        <f>60 / 86400</f>
        <v>6.9444444444444447E-4</v>
      </c>
      <c r="I100" t="s">
        <v>136</v>
      </c>
      <c r="J100" t="s">
        <v>43</v>
      </c>
      <c r="K100" s="5">
        <f>153 / 86400</f>
        <v>1.7708333333333332E-3</v>
      </c>
      <c r="L100" s="5">
        <f>220 / 86400</f>
        <v>2.5462962962962965E-3</v>
      </c>
    </row>
    <row r="101" spans="1:12" x14ac:dyDescent="0.25">
      <c r="A101" s="3">
        <v>45698.561018518521</v>
      </c>
      <c r="B101" t="s">
        <v>123</v>
      </c>
      <c r="C101" s="3">
        <v>45698.562314814815</v>
      </c>
      <c r="D101" t="s">
        <v>139</v>
      </c>
      <c r="E101" s="4">
        <v>0.31</v>
      </c>
      <c r="F101" s="4">
        <v>18579.87</v>
      </c>
      <c r="G101" s="4">
        <v>18580.18</v>
      </c>
      <c r="H101" s="5">
        <f>19 / 86400</f>
        <v>2.199074074074074E-4</v>
      </c>
      <c r="I101" t="s">
        <v>140</v>
      </c>
      <c r="J101" t="s">
        <v>129</v>
      </c>
      <c r="K101" s="5">
        <f>112 / 86400</f>
        <v>1.2962962962962963E-3</v>
      </c>
      <c r="L101" s="5">
        <f>450 / 86400</f>
        <v>5.208333333333333E-3</v>
      </c>
    </row>
    <row r="102" spans="1:12" x14ac:dyDescent="0.25">
      <c r="A102" s="3">
        <v>45698.567523148144</v>
      </c>
      <c r="B102" t="s">
        <v>139</v>
      </c>
      <c r="C102" s="3">
        <v>45698.569687499999</v>
      </c>
      <c r="D102" t="s">
        <v>20</v>
      </c>
      <c r="E102" s="4">
        <v>0.26500000000000001</v>
      </c>
      <c r="F102" s="4">
        <v>18580.18</v>
      </c>
      <c r="G102" s="4">
        <v>18580.445</v>
      </c>
      <c r="H102" s="5">
        <f>79 / 86400</f>
        <v>9.1435185185185185E-4</v>
      </c>
      <c r="I102" t="s">
        <v>141</v>
      </c>
      <c r="J102" t="s">
        <v>125</v>
      </c>
      <c r="K102" s="5">
        <f>187 / 86400</f>
        <v>2.1643518518518518E-3</v>
      </c>
      <c r="L102" s="5">
        <f>449 / 86400</f>
        <v>5.1967592592592595E-3</v>
      </c>
    </row>
    <row r="103" spans="1:12" x14ac:dyDescent="0.25">
      <c r="A103" s="3">
        <v>45698.574884259258</v>
      </c>
      <c r="B103" t="s">
        <v>20</v>
      </c>
      <c r="C103" s="3">
        <v>45698.578333333338</v>
      </c>
      <c r="D103" t="s">
        <v>142</v>
      </c>
      <c r="E103" s="4">
        <v>1.056</v>
      </c>
      <c r="F103" s="4">
        <v>18580.445</v>
      </c>
      <c r="G103" s="4">
        <v>18581.501</v>
      </c>
      <c r="H103" s="5">
        <f>99 / 86400</f>
        <v>1.1458333333333333E-3</v>
      </c>
      <c r="I103" t="s">
        <v>141</v>
      </c>
      <c r="J103" t="s">
        <v>97</v>
      </c>
      <c r="K103" s="5">
        <f>298 / 86400</f>
        <v>3.449074074074074E-3</v>
      </c>
      <c r="L103" s="5">
        <f>178 / 86400</f>
        <v>2.0601851851851853E-3</v>
      </c>
    </row>
    <row r="104" spans="1:12" x14ac:dyDescent="0.25">
      <c r="A104" s="3">
        <v>45698.580393518518</v>
      </c>
      <c r="B104" t="s">
        <v>142</v>
      </c>
      <c r="C104" s="3">
        <v>45698.580729166672</v>
      </c>
      <c r="D104" t="s">
        <v>142</v>
      </c>
      <c r="E104" s="4">
        <v>8.9999999999999993E-3</v>
      </c>
      <c r="F104" s="4">
        <v>18581.501</v>
      </c>
      <c r="G104" s="4">
        <v>18581.509999999998</v>
      </c>
      <c r="H104" s="5">
        <f>0 / 86400</f>
        <v>0</v>
      </c>
      <c r="I104" t="s">
        <v>125</v>
      </c>
      <c r="J104" t="s">
        <v>62</v>
      </c>
      <c r="K104" s="5">
        <f>28 / 86400</f>
        <v>3.2407407407407406E-4</v>
      </c>
      <c r="L104" s="5">
        <f>294 / 86400</f>
        <v>3.4027777777777776E-3</v>
      </c>
    </row>
    <row r="105" spans="1:12" x14ac:dyDescent="0.25">
      <c r="A105" s="3">
        <v>45698.584131944444</v>
      </c>
      <c r="B105" t="s">
        <v>142</v>
      </c>
      <c r="C105" s="3">
        <v>45698.876736111109</v>
      </c>
      <c r="D105" t="s">
        <v>123</v>
      </c>
      <c r="E105" s="4">
        <v>142.34700000000001</v>
      </c>
      <c r="F105" s="4">
        <v>18581.509999999998</v>
      </c>
      <c r="G105" s="4">
        <v>18723.857</v>
      </c>
      <c r="H105" s="5">
        <f>7239 / 86400</f>
        <v>8.3784722222222219E-2</v>
      </c>
      <c r="I105" t="s">
        <v>21</v>
      </c>
      <c r="J105" t="s">
        <v>22</v>
      </c>
      <c r="K105" s="5">
        <f>25280 / 86400</f>
        <v>0.29259259259259257</v>
      </c>
      <c r="L105" s="5">
        <f>672 / 86400</f>
        <v>7.7777777777777776E-3</v>
      </c>
    </row>
    <row r="106" spans="1:12" x14ac:dyDescent="0.25">
      <c r="A106" s="3">
        <v>45698.884513888886</v>
      </c>
      <c r="B106" t="s">
        <v>123</v>
      </c>
      <c r="C106" s="3">
        <v>45698.893495370372</v>
      </c>
      <c r="D106" t="s">
        <v>20</v>
      </c>
      <c r="E106" s="4">
        <v>2.94</v>
      </c>
      <c r="F106" s="4">
        <v>18723.857</v>
      </c>
      <c r="G106" s="4">
        <v>18726.796999999999</v>
      </c>
      <c r="H106" s="5">
        <f>239 / 86400</f>
        <v>2.7662037037037039E-3</v>
      </c>
      <c r="I106" t="s">
        <v>143</v>
      </c>
      <c r="J106" t="s">
        <v>31</v>
      </c>
      <c r="K106" s="5">
        <f>775 / 86400</f>
        <v>8.9699074074074073E-3</v>
      </c>
      <c r="L106" s="5">
        <f>1360 / 86400</f>
        <v>1.5740740740740739E-2</v>
      </c>
    </row>
    <row r="107" spans="1:12" x14ac:dyDescent="0.25">
      <c r="A107" s="3">
        <v>45698.909236111111</v>
      </c>
      <c r="B107" t="s">
        <v>20</v>
      </c>
      <c r="C107" s="3">
        <v>45698.910486111112</v>
      </c>
      <c r="D107" t="s">
        <v>20</v>
      </c>
      <c r="E107" s="4">
        <v>3.5000000000000003E-2</v>
      </c>
      <c r="F107" s="4">
        <v>18726.796999999999</v>
      </c>
      <c r="G107" s="4">
        <v>18726.831999999999</v>
      </c>
      <c r="H107" s="5">
        <f>59 / 86400</f>
        <v>6.8287037037037036E-4</v>
      </c>
      <c r="I107" t="s">
        <v>125</v>
      </c>
      <c r="J107" t="s">
        <v>62</v>
      </c>
      <c r="K107" s="5">
        <f>108 / 86400</f>
        <v>1.25E-3</v>
      </c>
      <c r="L107" s="5">
        <f>7733 / 86400</f>
        <v>8.9502314814814812E-2</v>
      </c>
    </row>
    <row r="108" spans="1:12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2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2" s="10" customFormat="1" ht="20.100000000000001" customHeight="1" x14ac:dyDescent="0.35">
      <c r="A110" s="12" t="s">
        <v>401</v>
      </c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2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2" ht="30" x14ac:dyDescent="0.25">
      <c r="A112" s="2" t="s">
        <v>5</v>
      </c>
      <c r="B112" s="2" t="s">
        <v>6</v>
      </c>
      <c r="C112" s="2" t="s">
        <v>7</v>
      </c>
      <c r="D112" s="2" t="s">
        <v>8</v>
      </c>
      <c r="E112" s="2" t="s">
        <v>9</v>
      </c>
      <c r="F112" s="2" t="s">
        <v>10</v>
      </c>
      <c r="G112" s="2" t="s">
        <v>11</v>
      </c>
      <c r="H112" s="2" t="s">
        <v>12</v>
      </c>
      <c r="I112" s="2" t="s">
        <v>13</v>
      </c>
      <c r="J112" s="2" t="s">
        <v>14</v>
      </c>
      <c r="K112" s="2" t="s">
        <v>15</v>
      </c>
      <c r="L112" s="2" t="s">
        <v>16</v>
      </c>
    </row>
    <row r="113" spans="1:12" x14ac:dyDescent="0.25">
      <c r="A113" s="3">
        <v>45698.221215277779</v>
      </c>
      <c r="B113" t="s">
        <v>23</v>
      </c>
      <c r="C113" s="3">
        <v>45698.232094907406</v>
      </c>
      <c r="D113" t="s">
        <v>144</v>
      </c>
      <c r="E113" s="4">
        <v>3.706</v>
      </c>
      <c r="F113" s="4">
        <v>328076.22200000001</v>
      </c>
      <c r="G113" s="4">
        <v>328079.92800000001</v>
      </c>
      <c r="H113" s="5">
        <f>439 / 86400</f>
        <v>5.0810185185185186E-3</v>
      </c>
      <c r="I113" t="s">
        <v>145</v>
      </c>
      <c r="J113" t="s">
        <v>31</v>
      </c>
      <c r="K113" s="5">
        <f>939 / 86400</f>
        <v>1.0868055555555556E-2</v>
      </c>
      <c r="L113" s="5">
        <f>19211 / 86400</f>
        <v>0.22234953703703703</v>
      </c>
    </row>
    <row r="114" spans="1:12" x14ac:dyDescent="0.25">
      <c r="A114" s="3">
        <v>45698.233229166668</v>
      </c>
      <c r="B114" t="s">
        <v>144</v>
      </c>
      <c r="C114" s="3">
        <v>45698.233391203699</v>
      </c>
      <c r="D114" t="s">
        <v>144</v>
      </c>
      <c r="E114" s="4">
        <v>1.7000000000000001E-2</v>
      </c>
      <c r="F114" s="4">
        <v>328079.92800000001</v>
      </c>
      <c r="G114" s="4">
        <v>328079.94500000001</v>
      </c>
      <c r="H114" s="5">
        <f>0 / 86400</f>
        <v>0</v>
      </c>
      <c r="I114" t="s">
        <v>61</v>
      </c>
      <c r="J114" t="s">
        <v>125</v>
      </c>
      <c r="K114" s="5">
        <f>13 / 86400</f>
        <v>1.5046296296296297E-4</v>
      </c>
      <c r="L114" s="5">
        <f>32 / 86400</f>
        <v>3.7037037037037035E-4</v>
      </c>
    </row>
    <row r="115" spans="1:12" x14ac:dyDescent="0.25">
      <c r="A115" s="3">
        <v>45698.233761574069</v>
      </c>
      <c r="B115" t="s">
        <v>144</v>
      </c>
      <c r="C115" s="3">
        <v>45698.30168981482</v>
      </c>
      <c r="D115" t="s">
        <v>146</v>
      </c>
      <c r="E115" s="4">
        <v>23.422000000000001</v>
      </c>
      <c r="F115" s="4">
        <v>328079.94500000001</v>
      </c>
      <c r="G115" s="4">
        <v>328103.36700000003</v>
      </c>
      <c r="H115" s="5">
        <f>2540 / 86400</f>
        <v>2.9398148148148149E-2</v>
      </c>
      <c r="I115" t="s">
        <v>32</v>
      </c>
      <c r="J115" t="s">
        <v>31</v>
      </c>
      <c r="K115" s="5">
        <f>5868 / 86400</f>
        <v>6.7916666666666667E-2</v>
      </c>
      <c r="L115" s="5">
        <f>541 / 86400</f>
        <v>6.2615740740740739E-3</v>
      </c>
    </row>
    <row r="116" spans="1:12" x14ac:dyDescent="0.25">
      <c r="A116" s="3">
        <v>45698.307951388888</v>
      </c>
      <c r="B116" t="s">
        <v>146</v>
      </c>
      <c r="C116" s="3">
        <v>45698.389293981483</v>
      </c>
      <c r="D116" t="s">
        <v>123</v>
      </c>
      <c r="E116" s="4">
        <v>42.183999999999997</v>
      </c>
      <c r="F116" s="4">
        <v>328103.36700000003</v>
      </c>
      <c r="G116" s="4">
        <v>328145.55099999998</v>
      </c>
      <c r="H116" s="5">
        <f>1719 / 86400</f>
        <v>1.9895833333333335E-2</v>
      </c>
      <c r="I116" t="s">
        <v>78</v>
      </c>
      <c r="J116" t="s">
        <v>147</v>
      </c>
      <c r="K116" s="5">
        <f>7028 / 86400</f>
        <v>8.1342592592592591E-2</v>
      </c>
      <c r="L116" s="5">
        <f>133 / 86400</f>
        <v>1.5393518518518519E-3</v>
      </c>
    </row>
    <row r="117" spans="1:12" x14ac:dyDescent="0.25">
      <c r="A117" s="3">
        <v>45698.390833333338</v>
      </c>
      <c r="B117" t="s">
        <v>123</v>
      </c>
      <c r="C117" s="3">
        <v>45698.391400462962</v>
      </c>
      <c r="D117" t="s">
        <v>123</v>
      </c>
      <c r="E117" s="4">
        <v>0.02</v>
      </c>
      <c r="F117" s="4">
        <v>328145.55099999998</v>
      </c>
      <c r="G117" s="4">
        <v>328145.571</v>
      </c>
      <c r="H117" s="5">
        <f>0 / 86400</f>
        <v>0</v>
      </c>
      <c r="I117" t="s">
        <v>132</v>
      </c>
      <c r="J117" t="s">
        <v>132</v>
      </c>
      <c r="K117" s="5">
        <f>48 / 86400</f>
        <v>5.5555555555555556E-4</v>
      </c>
      <c r="L117" s="5">
        <f>42 / 86400</f>
        <v>4.861111111111111E-4</v>
      </c>
    </row>
    <row r="118" spans="1:12" x14ac:dyDescent="0.25">
      <c r="A118" s="3">
        <v>45698.391886574071</v>
      </c>
      <c r="B118" t="s">
        <v>123</v>
      </c>
      <c r="C118" s="3">
        <v>45698.392418981486</v>
      </c>
      <c r="D118" t="s">
        <v>123</v>
      </c>
      <c r="E118" s="4">
        <v>1.7000000000000001E-2</v>
      </c>
      <c r="F118" s="4">
        <v>328145.571</v>
      </c>
      <c r="G118" s="4">
        <v>328145.58799999999</v>
      </c>
      <c r="H118" s="5">
        <f>19 / 86400</f>
        <v>2.199074074074074E-4</v>
      </c>
      <c r="I118" t="s">
        <v>129</v>
      </c>
      <c r="J118" t="s">
        <v>62</v>
      </c>
      <c r="K118" s="5">
        <f>45 / 86400</f>
        <v>5.2083333333333333E-4</v>
      </c>
      <c r="L118" s="5">
        <f>858 / 86400</f>
        <v>9.9305555555555553E-3</v>
      </c>
    </row>
    <row r="119" spans="1:12" x14ac:dyDescent="0.25">
      <c r="A119" s="3">
        <v>45698.402349537035</v>
      </c>
      <c r="B119" t="s">
        <v>123</v>
      </c>
      <c r="C119" s="3">
        <v>45698.407465277778</v>
      </c>
      <c r="D119" t="s">
        <v>137</v>
      </c>
      <c r="E119" s="4">
        <v>1.4370000000000001</v>
      </c>
      <c r="F119" s="4">
        <v>328145.58799999999</v>
      </c>
      <c r="G119" s="4">
        <v>328147.02500000002</v>
      </c>
      <c r="H119" s="5">
        <f>59 / 86400</f>
        <v>6.8287037037037036E-4</v>
      </c>
      <c r="I119" t="s">
        <v>148</v>
      </c>
      <c r="J119" t="s">
        <v>102</v>
      </c>
      <c r="K119" s="5">
        <f>441 / 86400</f>
        <v>5.1041666666666666E-3</v>
      </c>
      <c r="L119" s="5">
        <f>2728 / 86400</f>
        <v>3.1574074074074074E-2</v>
      </c>
    </row>
    <row r="120" spans="1:12" x14ac:dyDescent="0.25">
      <c r="A120" s="3">
        <v>45698.439039351855</v>
      </c>
      <c r="B120" t="s">
        <v>137</v>
      </c>
      <c r="C120" s="3">
        <v>45698.441944444443</v>
      </c>
      <c r="D120" t="s">
        <v>123</v>
      </c>
      <c r="E120" s="4">
        <v>1.337</v>
      </c>
      <c r="F120" s="4">
        <v>328147.02500000002</v>
      </c>
      <c r="G120" s="4">
        <v>328148.36200000002</v>
      </c>
      <c r="H120" s="5">
        <f>0 / 86400</f>
        <v>0</v>
      </c>
      <c r="I120" t="s">
        <v>149</v>
      </c>
      <c r="J120" t="s">
        <v>33</v>
      </c>
      <c r="K120" s="5">
        <f>250 / 86400</f>
        <v>2.8935185185185184E-3</v>
      </c>
      <c r="L120" s="5">
        <f>10495 / 86400</f>
        <v>0.1214699074074074</v>
      </c>
    </row>
    <row r="121" spans="1:12" x14ac:dyDescent="0.25">
      <c r="A121" s="3">
        <v>45698.563414351855</v>
      </c>
      <c r="B121" t="s">
        <v>123</v>
      </c>
      <c r="C121" s="3">
        <v>45698.666666666672</v>
      </c>
      <c r="D121" t="s">
        <v>150</v>
      </c>
      <c r="E121" s="4">
        <v>47.973999999999997</v>
      </c>
      <c r="F121" s="4">
        <v>328148.36200000002</v>
      </c>
      <c r="G121" s="4">
        <v>328196.33600000001</v>
      </c>
      <c r="H121" s="5">
        <f>2698 / 86400</f>
        <v>3.1226851851851853E-2</v>
      </c>
      <c r="I121" t="s">
        <v>24</v>
      </c>
      <c r="J121" t="s">
        <v>33</v>
      </c>
      <c r="K121" s="5">
        <f>8921 / 86400</f>
        <v>0.10325231481481481</v>
      </c>
      <c r="L121" s="5">
        <f>88 / 86400</f>
        <v>1.0185185185185184E-3</v>
      </c>
    </row>
    <row r="122" spans="1:12" x14ac:dyDescent="0.25">
      <c r="A122" s="3">
        <v>45698.667685185181</v>
      </c>
      <c r="B122" t="s">
        <v>150</v>
      </c>
      <c r="C122" s="3">
        <v>45698.790150462963</v>
      </c>
      <c r="D122" t="s">
        <v>151</v>
      </c>
      <c r="E122" s="4">
        <v>43.905999999999999</v>
      </c>
      <c r="F122" s="4">
        <v>328196.33600000001</v>
      </c>
      <c r="G122" s="4">
        <v>328240.24200000003</v>
      </c>
      <c r="H122" s="5">
        <f>4280 / 86400</f>
        <v>4.9537037037037039E-2</v>
      </c>
      <c r="I122" t="s">
        <v>40</v>
      </c>
      <c r="J122" t="s">
        <v>57</v>
      </c>
      <c r="K122" s="5">
        <f>10580 / 86400</f>
        <v>0.1224537037037037</v>
      </c>
      <c r="L122" s="5">
        <f>499 / 86400</f>
        <v>5.7754629629629631E-3</v>
      </c>
    </row>
    <row r="123" spans="1:12" x14ac:dyDescent="0.25">
      <c r="A123" s="3">
        <v>45698.795925925922</v>
      </c>
      <c r="B123" t="s">
        <v>151</v>
      </c>
      <c r="C123" s="3">
        <v>45698.835752314815</v>
      </c>
      <c r="D123" t="s">
        <v>152</v>
      </c>
      <c r="E123" s="4">
        <v>26.513000000000002</v>
      </c>
      <c r="F123" s="4">
        <v>328240.24200000003</v>
      </c>
      <c r="G123" s="4">
        <v>328266.755</v>
      </c>
      <c r="H123" s="5">
        <f>760 / 86400</f>
        <v>8.7962962962962968E-3</v>
      </c>
      <c r="I123" t="s">
        <v>27</v>
      </c>
      <c r="J123" t="s">
        <v>140</v>
      </c>
      <c r="K123" s="5">
        <f>3440 / 86400</f>
        <v>3.9814814814814817E-2</v>
      </c>
      <c r="L123" s="5">
        <f>3393 / 86400</f>
        <v>3.9270833333333331E-2</v>
      </c>
    </row>
    <row r="124" spans="1:12" x14ac:dyDescent="0.25">
      <c r="A124" s="3">
        <v>45698.875023148154</v>
      </c>
      <c r="B124" t="s">
        <v>152</v>
      </c>
      <c r="C124" s="3">
        <v>45698.876585648148</v>
      </c>
      <c r="D124" t="s">
        <v>152</v>
      </c>
      <c r="E124" s="4">
        <v>0</v>
      </c>
      <c r="F124" s="4">
        <v>328266.755</v>
      </c>
      <c r="G124" s="4">
        <v>328266.755</v>
      </c>
      <c r="H124" s="5">
        <f>119 / 86400</f>
        <v>1.3773148148148147E-3</v>
      </c>
      <c r="I124" t="s">
        <v>126</v>
      </c>
      <c r="J124" t="s">
        <v>126</v>
      </c>
      <c r="K124" s="5">
        <f>134 / 86400</f>
        <v>1.5509259259259259E-3</v>
      </c>
      <c r="L124" s="5">
        <f>79 / 86400</f>
        <v>9.1435185185185185E-4</v>
      </c>
    </row>
    <row r="125" spans="1:12" x14ac:dyDescent="0.25">
      <c r="A125" s="3">
        <v>45698.877500000002</v>
      </c>
      <c r="B125" t="s">
        <v>152</v>
      </c>
      <c r="C125" s="3">
        <v>45698.877685185187</v>
      </c>
      <c r="D125" t="s">
        <v>152</v>
      </c>
      <c r="E125" s="4">
        <v>0</v>
      </c>
      <c r="F125" s="4">
        <v>328266.755</v>
      </c>
      <c r="G125" s="4">
        <v>328266.755</v>
      </c>
      <c r="H125" s="5">
        <f>0 / 86400</f>
        <v>0</v>
      </c>
      <c r="I125" t="s">
        <v>126</v>
      </c>
      <c r="J125" t="s">
        <v>126</v>
      </c>
      <c r="K125" s="5">
        <f>15 / 86400</f>
        <v>1.7361111111111112E-4</v>
      </c>
      <c r="L125" s="5">
        <f>142 / 86400</f>
        <v>1.6435185185185185E-3</v>
      </c>
    </row>
    <row r="126" spans="1:12" x14ac:dyDescent="0.25">
      <c r="A126" s="3">
        <v>45698.879328703704</v>
      </c>
      <c r="B126" t="s">
        <v>152</v>
      </c>
      <c r="C126" s="3">
        <v>45698.898969907408</v>
      </c>
      <c r="D126" t="s">
        <v>153</v>
      </c>
      <c r="E126" s="4">
        <v>6.5540000000000003</v>
      </c>
      <c r="F126" s="4">
        <v>328266.755</v>
      </c>
      <c r="G126" s="4">
        <v>328273.30900000001</v>
      </c>
      <c r="H126" s="5">
        <f>660 / 86400</f>
        <v>7.6388888888888886E-3</v>
      </c>
      <c r="I126" t="s">
        <v>154</v>
      </c>
      <c r="J126" t="s">
        <v>31</v>
      </c>
      <c r="K126" s="5">
        <f>1697 / 86400</f>
        <v>1.9641203703703702E-2</v>
      </c>
      <c r="L126" s="5">
        <f>194 / 86400</f>
        <v>2.2453703703703702E-3</v>
      </c>
    </row>
    <row r="127" spans="1:12" x14ac:dyDescent="0.25">
      <c r="A127" s="3">
        <v>45698.90121527778</v>
      </c>
      <c r="B127" t="s">
        <v>153</v>
      </c>
      <c r="C127" s="3">
        <v>45698.905462962968</v>
      </c>
      <c r="D127" t="s">
        <v>23</v>
      </c>
      <c r="E127" s="4">
        <v>2.415</v>
      </c>
      <c r="F127" s="4">
        <v>328273.30900000001</v>
      </c>
      <c r="G127" s="4">
        <v>328275.72399999999</v>
      </c>
      <c r="H127" s="5">
        <f>60 / 86400</f>
        <v>6.9444444444444447E-4</v>
      </c>
      <c r="I127" t="s">
        <v>155</v>
      </c>
      <c r="J127" t="s">
        <v>36</v>
      </c>
      <c r="K127" s="5">
        <f>367 / 86400</f>
        <v>4.2476851851851851E-3</v>
      </c>
      <c r="L127" s="5">
        <f>8167 / 86400</f>
        <v>9.4525462962962964E-2</v>
      </c>
    </row>
    <row r="128" spans="1:12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 spans="1:12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 spans="1:12" s="10" customFormat="1" ht="20.100000000000001" customHeight="1" x14ac:dyDescent="0.35">
      <c r="A130" s="12" t="s">
        <v>402</v>
      </c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 spans="1:12" ht="30" x14ac:dyDescent="0.25">
      <c r="A132" s="2" t="s">
        <v>5</v>
      </c>
      <c r="B132" s="2" t="s">
        <v>6</v>
      </c>
      <c r="C132" s="2" t="s">
        <v>7</v>
      </c>
      <c r="D132" s="2" t="s">
        <v>8</v>
      </c>
      <c r="E132" s="2" t="s">
        <v>9</v>
      </c>
      <c r="F132" s="2" t="s">
        <v>10</v>
      </c>
      <c r="G132" s="2" t="s">
        <v>11</v>
      </c>
      <c r="H132" s="2" t="s">
        <v>12</v>
      </c>
      <c r="I132" s="2" t="s">
        <v>13</v>
      </c>
      <c r="J132" s="2" t="s">
        <v>14</v>
      </c>
      <c r="K132" s="2" t="s">
        <v>15</v>
      </c>
      <c r="L132" s="2" t="s">
        <v>16</v>
      </c>
    </row>
    <row r="133" spans="1:12" x14ac:dyDescent="0.25">
      <c r="A133" s="3">
        <v>45698.236307870371</v>
      </c>
      <c r="B133" t="s">
        <v>26</v>
      </c>
      <c r="C133" s="3">
        <v>45698.254305555558</v>
      </c>
      <c r="D133" t="s">
        <v>95</v>
      </c>
      <c r="E133" s="4">
        <v>4.0970000000000004</v>
      </c>
      <c r="F133" s="4">
        <v>512804.49699999997</v>
      </c>
      <c r="G133" s="4">
        <v>512808.59399999998</v>
      </c>
      <c r="H133" s="5">
        <f>899 / 86400</f>
        <v>1.0405092592592593E-2</v>
      </c>
      <c r="I133" t="s">
        <v>156</v>
      </c>
      <c r="J133" t="s">
        <v>138</v>
      </c>
      <c r="K133" s="5">
        <f>1555 / 86400</f>
        <v>1.7997685185185186E-2</v>
      </c>
      <c r="L133" s="5">
        <f>21013 / 86400</f>
        <v>0.24320601851851853</v>
      </c>
    </row>
    <row r="134" spans="1:12" x14ac:dyDescent="0.25">
      <c r="A134" s="3">
        <v>45698.261203703703</v>
      </c>
      <c r="B134" t="s">
        <v>95</v>
      </c>
      <c r="C134" s="3">
        <v>45698.308449074073</v>
      </c>
      <c r="D134" t="s">
        <v>157</v>
      </c>
      <c r="E134" s="4">
        <v>29.753</v>
      </c>
      <c r="F134" s="4">
        <v>512808.59399999998</v>
      </c>
      <c r="G134" s="4">
        <v>512838.34700000001</v>
      </c>
      <c r="H134" s="5">
        <f>620 / 86400</f>
        <v>7.1759259259259259E-3</v>
      </c>
      <c r="I134" t="s">
        <v>32</v>
      </c>
      <c r="J134" t="s">
        <v>134</v>
      </c>
      <c r="K134" s="5">
        <f>4081 / 86400</f>
        <v>4.7233796296296295E-2</v>
      </c>
      <c r="L134" s="5">
        <f>2259 / 86400</f>
        <v>2.6145833333333333E-2</v>
      </c>
    </row>
    <row r="135" spans="1:12" x14ac:dyDescent="0.25">
      <c r="A135" s="3">
        <v>45698.334594907406</v>
      </c>
      <c r="B135" t="s">
        <v>157</v>
      </c>
      <c r="C135" s="3">
        <v>45698.338310185187</v>
      </c>
      <c r="D135" t="s">
        <v>137</v>
      </c>
      <c r="E135" s="4">
        <v>0.91400000000000003</v>
      </c>
      <c r="F135" s="4">
        <v>512838.34700000001</v>
      </c>
      <c r="G135" s="4">
        <v>512839.261</v>
      </c>
      <c r="H135" s="5">
        <f>19 / 86400</f>
        <v>2.199074074074074E-4</v>
      </c>
      <c r="I135" t="s">
        <v>22</v>
      </c>
      <c r="J135" t="s">
        <v>129</v>
      </c>
      <c r="K135" s="5">
        <f>320 / 86400</f>
        <v>3.7037037037037038E-3</v>
      </c>
      <c r="L135" s="5">
        <f>1670 / 86400</f>
        <v>1.9328703703703702E-2</v>
      </c>
    </row>
    <row r="136" spans="1:12" x14ac:dyDescent="0.25">
      <c r="A136" s="3">
        <v>45698.357638888891</v>
      </c>
      <c r="B136" t="s">
        <v>137</v>
      </c>
      <c r="C136" s="3">
        <v>45698.361215277779</v>
      </c>
      <c r="D136" t="s">
        <v>123</v>
      </c>
      <c r="E136" s="4">
        <v>1.339</v>
      </c>
      <c r="F136" s="4">
        <v>512839.261</v>
      </c>
      <c r="G136" s="4">
        <v>512840.6</v>
      </c>
      <c r="H136" s="5">
        <f>32 / 86400</f>
        <v>3.7037037037037035E-4</v>
      </c>
      <c r="I136" t="s">
        <v>158</v>
      </c>
      <c r="J136" t="s">
        <v>19</v>
      </c>
      <c r="K136" s="5">
        <f>308 / 86400</f>
        <v>3.5648148148148149E-3</v>
      </c>
      <c r="L136" s="5">
        <f>32 / 86400</f>
        <v>3.7037037037037035E-4</v>
      </c>
    </row>
    <row r="137" spans="1:12" x14ac:dyDescent="0.25">
      <c r="A137" s="3">
        <v>45698.361585648148</v>
      </c>
      <c r="B137" t="s">
        <v>123</v>
      </c>
      <c r="C137" s="3">
        <v>45698.361678240741</v>
      </c>
      <c r="D137" t="s">
        <v>123</v>
      </c>
      <c r="E137" s="4">
        <v>1E-3</v>
      </c>
      <c r="F137" s="4">
        <v>512840.6</v>
      </c>
      <c r="G137" s="4">
        <v>512840.60100000002</v>
      </c>
      <c r="H137" s="5">
        <f>0 / 86400</f>
        <v>0</v>
      </c>
      <c r="I137" t="s">
        <v>126</v>
      </c>
      <c r="J137" t="s">
        <v>62</v>
      </c>
      <c r="K137" s="5">
        <f>7 / 86400</f>
        <v>8.1018518518518516E-5</v>
      </c>
      <c r="L137" s="5">
        <f>945 / 86400</f>
        <v>1.0937499999999999E-2</v>
      </c>
    </row>
    <row r="138" spans="1:12" x14ac:dyDescent="0.25">
      <c r="A138" s="3">
        <v>45698.367152777777</v>
      </c>
      <c r="B138" t="s">
        <v>123</v>
      </c>
      <c r="C138" s="3">
        <v>45698.368113425924</v>
      </c>
      <c r="D138" t="s">
        <v>123</v>
      </c>
      <c r="E138" s="4">
        <v>0.04</v>
      </c>
      <c r="F138" s="4">
        <v>512840.60100000002</v>
      </c>
      <c r="G138" s="4">
        <v>512840.641</v>
      </c>
      <c r="H138" s="5">
        <f>19 / 86400</f>
        <v>2.199074074074074E-4</v>
      </c>
      <c r="I138" t="s">
        <v>125</v>
      </c>
      <c r="J138" t="s">
        <v>132</v>
      </c>
      <c r="K138" s="5">
        <f>82 / 86400</f>
        <v>9.4907407407407408E-4</v>
      </c>
      <c r="L138" s="5">
        <f>0 / 86400</f>
        <v>0</v>
      </c>
    </row>
    <row r="139" spans="1:12" x14ac:dyDescent="0.25">
      <c r="A139" s="3">
        <v>45698.372615740736</v>
      </c>
      <c r="B139" t="s">
        <v>123</v>
      </c>
      <c r="C139" s="3">
        <v>45698.488958333328</v>
      </c>
      <c r="D139" t="s">
        <v>159</v>
      </c>
      <c r="E139" s="4">
        <v>49.643000000000001</v>
      </c>
      <c r="F139" s="4">
        <v>512840.641</v>
      </c>
      <c r="G139" s="4">
        <v>512890.28399999999</v>
      </c>
      <c r="H139" s="5">
        <f>3565 / 86400</f>
        <v>4.1261574074074076E-2</v>
      </c>
      <c r="I139" t="s">
        <v>27</v>
      </c>
      <c r="J139" t="s">
        <v>25</v>
      </c>
      <c r="K139" s="5">
        <f>10052 / 86400</f>
        <v>0.11634259259259259</v>
      </c>
      <c r="L139" s="5">
        <f>1010 / 86400</f>
        <v>1.1689814814814814E-2</v>
      </c>
    </row>
    <row r="140" spans="1:12" x14ac:dyDescent="0.25">
      <c r="A140" s="3">
        <v>45698.500648148147</v>
      </c>
      <c r="B140" t="s">
        <v>159</v>
      </c>
      <c r="C140" s="3">
        <v>45698.643599537041</v>
      </c>
      <c r="D140" t="s">
        <v>157</v>
      </c>
      <c r="E140" s="4">
        <v>51.290999999999997</v>
      </c>
      <c r="F140" s="4">
        <v>512890.28399999999</v>
      </c>
      <c r="G140" s="4">
        <v>512941.57500000001</v>
      </c>
      <c r="H140" s="5">
        <f>4420 / 86400</f>
        <v>5.1157407407407408E-2</v>
      </c>
      <c r="I140" t="s">
        <v>71</v>
      </c>
      <c r="J140" t="s">
        <v>57</v>
      </c>
      <c r="K140" s="5">
        <f>12351 / 86400</f>
        <v>0.14295138888888889</v>
      </c>
      <c r="L140" s="5">
        <f>3149 / 86400</f>
        <v>3.6446759259259262E-2</v>
      </c>
    </row>
    <row r="141" spans="1:12" x14ac:dyDescent="0.25">
      <c r="A141" s="3">
        <v>45698.6800462963</v>
      </c>
      <c r="B141" t="s">
        <v>160</v>
      </c>
      <c r="C141" s="3">
        <v>45698.683206018519</v>
      </c>
      <c r="D141" t="s">
        <v>123</v>
      </c>
      <c r="E141" s="4">
        <v>0.91900000000000004</v>
      </c>
      <c r="F141" s="4">
        <v>512941.57500000001</v>
      </c>
      <c r="G141" s="4">
        <v>512942.49400000001</v>
      </c>
      <c r="H141" s="5">
        <f>59 / 86400</f>
        <v>6.8287037037037036E-4</v>
      </c>
      <c r="I141" t="s">
        <v>140</v>
      </c>
      <c r="J141" t="s">
        <v>102</v>
      </c>
      <c r="K141" s="5">
        <f>272 / 86400</f>
        <v>3.1481481481481482E-3</v>
      </c>
      <c r="L141" s="5">
        <f>370 / 86400</f>
        <v>4.2824074074074075E-3</v>
      </c>
    </row>
    <row r="142" spans="1:12" x14ac:dyDescent="0.25">
      <c r="A142" s="3">
        <v>45698.68748842593</v>
      </c>
      <c r="B142" t="s">
        <v>123</v>
      </c>
      <c r="C142" s="3">
        <v>45698.87809027778</v>
      </c>
      <c r="D142" t="s">
        <v>161</v>
      </c>
      <c r="E142" s="4">
        <v>74.5</v>
      </c>
      <c r="F142" s="4">
        <v>512942.49400000001</v>
      </c>
      <c r="G142" s="4">
        <v>513016.99400000001</v>
      </c>
      <c r="H142" s="5">
        <f>5619 / 86400</f>
        <v>6.5034722222222216E-2</v>
      </c>
      <c r="I142" t="s">
        <v>83</v>
      </c>
      <c r="J142" t="s">
        <v>19</v>
      </c>
      <c r="K142" s="5">
        <f>16468 / 86400</f>
        <v>0.19060185185185186</v>
      </c>
      <c r="L142" s="5">
        <f>878 / 86400</f>
        <v>1.0162037037037037E-2</v>
      </c>
    </row>
    <row r="143" spans="1:12" x14ac:dyDescent="0.25">
      <c r="A143" s="3">
        <v>45698.888252314813</v>
      </c>
      <c r="B143" t="s">
        <v>162</v>
      </c>
      <c r="C143" s="3">
        <v>45698.899953703702</v>
      </c>
      <c r="D143" t="s">
        <v>26</v>
      </c>
      <c r="E143" s="4">
        <v>6.0709999999999997</v>
      </c>
      <c r="F143" s="4">
        <v>513016.99400000001</v>
      </c>
      <c r="G143" s="4">
        <v>513023.065</v>
      </c>
      <c r="H143" s="5">
        <f>219 / 86400</f>
        <v>2.5347222222222221E-3</v>
      </c>
      <c r="I143" t="s">
        <v>163</v>
      </c>
      <c r="J143" t="s">
        <v>147</v>
      </c>
      <c r="K143" s="5">
        <f>1011 / 86400</f>
        <v>1.170138888888889E-2</v>
      </c>
      <c r="L143" s="5">
        <f>46 / 86400</f>
        <v>5.3240740740740744E-4</v>
      </c>
    </row>
    <row r="144" spans="1:12" x14ac:dyDescent="0.25">
      <c r="A144" s="3">
        <v>45698.90048611111</v>
      </c>
      <c r="B144" t="s">
        <v>26</v>
      </c>
      <c r="C144" s="3">
        <v>45698.903657407413</v>
      </c>
      <c r="D144" t="s">
        <v>26</v>
      </c>
      <c r="E144" s="4">
        <v>0.26600000000000001</v>
      </c>
      <c r="F144" s="4">
        <v>513023.065</v>
      </c>
      <c r="G144" s="4">
        <v>513023.33100000001</v>
      </c>
      <c r="H144" s="5">
        <f>139 / 86400</f>
        <v>1.6087962962962963E-3</v>
      </c>
      <c r="I144" t="s">
        <v>129</v>
      </c>
      <c r="J144" t="s">
        <v>43</v>
      </c>
      <c r="K144" s="5">
        <f>273 / 86400</f>
        <v>3.1597222222222222E-3</v>
      </c>
      <c r="L144" s="5">
        <f>144 / 86400</f>
        <v>1.6666666666666668E-3</v>
      </c>
    </row>
    <row r="145" spans="1:12" x14ac:dyDescent="0.25">
      <c r="A145" s="3">
        <v>45698.905324074076</v>
      </c>
      <c r="B145" t="s">
        <v>26</v>
      </c>
      <c r="C145" s="3">
        <v>45698.907754629632</v>
      </c>
      <c r="D145" t="s">
        <v>26</v>
      </c>
      <c r="E145" s="4">
        <v>1.0999999999999999E-2</v>
      </c>
      <c r="F145" s="4">
        <v>513023.33100000001</v>
      </c>
      <c r="G145" s="4">
        <v>513023.342</v>
      </c>
      <c r="H145" s="5">
        <f>199 / 86400</f>
        <v>2.3032407407407407E-3</v>
      </c>
      <c r="I145" t="s">
        <v>126</v>
      </c>
      <c r="J145" t="s">
        <v>126</v>
      </c>
      <c r="K145" s="5">
        <f>209 / 86400</f>
        <v>2.4189814814814816E-3</v>
      </c>
      <c r="L145" s="5">
        <f>7969 / 86400</f>
        <v>9.22337962962963E-2</v>
      </c>
    </row>
    <row r="146" spans="1:12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2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2" s="10" customFormat="1" ht="20.100000000000001" customHeight="1" x14ac:dyDescent="0.35">
      <c r="A148" s="12" t="s">
        <v>403</v>
      </c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2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2" ht="30" x14ac:dyDescent="0.25">
      <c r="A150" s="2" t="s">
        <v>5</v>
      </c>
      <c r="B150" s="2" t="s">
        <v>6</v>
      </c>
      <c r="C150" s="2" t="s">
        <v>7</v>
      </c>
      <c r="D150" s="2" t="s">
        <v>8</v>
      </c>
      <c r="E150" s="2" t="s">
        <v>9</v>
      </c>
      <c r="F150" s="2" t="s">
        <v>10</v>
      </c>
      <c r="G150" s="2" t="s">
        <v>11</v>
      </c>
      <c r="H150" s="2" t="s">
        <v>12</v>
      </c>
      <c r="I150" s="2" t="s">
        <v>13</v>
      </c>
      <c r="J150" s="2" t="s">
        <v>14</v>
      </c>
      <c r="K150" s="2" t="s">
        <v>15</v>
      </c>
      <c r="L150" s="2" t="s">
        <v>16</v>
      </c>
    </row>
    <row r="151" spans="1:12" x14ac:dyDescent="0.25">
      <c r="A151" s="3">
        <v>45698.226076388892</v>
      </c>
      <c r="B151" t="s">
        <v>29</v>
      </c>
      <c r="C151" s="3">
        <v>45698.451111111106</v>
      </c>
      <c r="D151" t="s">
        <v>123</v>
      </c>
      <c r="E151" s="4">
        <v>82.864999999999995</v>
      </c>
      <c r="F151" s="4">
        <v>91835.156000000003</v>
      </c>
      <c r="G151" s="4">
        <v>91918.020999999993</v>
      </c>
      <c r="H151" s="5">
        <f>6322 / 86400</f>
        <v>7.317129629629629E-2</v>
      </c>
      <c r="I151" t="s">
        <v>66</v>
      </c>
      <c r="J151" t="s">
        <v>57</v>
      </c>
      <c r="K151" s="5">
        <f>19442 / 86400</f>
        <v>0.22502314814814814</v>
      </c>
      <c r="L151" s="5">
        <f>20111 / 86400</f>
        <v>0.23276620370370371</v>
      </c>
    </row>
    <row r="152" spans="1:12" x14ac:dyDescent="0.25">
      <c r="A152" s="3">
        <v>45698.457800925928</v>
      </c>
      <c r="B152" t="s">
        <v>123</v>
      </c>
      <c r="C152" s="3">
        <v>45698.460023148145</v>
      </c>
      <c r="D152" t="s">
        <v>164</v>
      </c>
      <c r="E152" s="4">
        <v>0.65800000000000003</v>
      </c>
      <c r="F152" s="4">
        <v>91918.020999999993</v>
      </c>
      <c r="G152" s="4">
        <v>91918.679000000004</v>
      </c>
      <c r="H152" s="5">
        <f>20 / 86400</f>
        <v>2.3148148148148149E-4</v>
      </c>
      <c r="I152" t="s">
        <v>36</v>
      </c>
      <c r="J152" t="s">
        <v>102</v>
      </c>
      <c r="K152" s="5">
        <f>192 / 86400</f>
        <v>2.2222222222222222E-3</v>
      </c>
      <c r="L152" s="5">
        <f>2155 / 86400</f>
        <v>2.494212962962963E-2</v>
      </c>
    </row>
    <row r="153" spans="1:12" x14ac:dyDescent="0.25">
      <c r="A153" s="3">
        <v>45698.484965277778</v>
      </c>
      <c r="B153" t="s">
        <v>164</v>
      </c>
      <c r="C153" s="3">
        <v>45698.487928240742</v>
      </c>
      <c r="D153" t="s">
        <v>137</v>
      </c>
      <c r="E153" s="4">
        <v>0.68400000000000005</v>
      </c>
      <c r="F153" s="4">
        <v>91918.679000000004</v>
      </c>
      <c r="G153" s="4">
        <v>91919.362999999998</v>
      </c>
      <c r="H153" s="5">
        <f>0 / 86400</f>
        <v>0</v>
      </c>
      <c r="I153" t="s">
        <v>36</v>
      </c>
      <c r="J153" t="s">
        <v>129</v>
      </c>
      <c r="K153" s="5">
        <f>255 / 86400</f>
        <v>2.9513888888888888E-3</v>
      </c>
      <c r="L153" s="5">
        <f>695 / 86400</f>
        <v>8.0439814814814818E-3</v>
      </c>
    </row>
    <row r="154" spans="1:12" x14ac:dyDescent="0.25">
      <c r="A154" s="3">
        <v>45698.495972222227</v>
      </c>
      <c r="B154" t="s">
        <v>137</v>
      </c>
      <c r="C154" s="3">
        <v>45698.630486111113</v>
      </c>
      <c r="D154" t="s">
        <v>48</v>
      </c>
      <c r="E154" s="4">
        <v>50.973999999999997</v>
      </c>
      <c r="F154" s="4">
        <v>91919.362999999998</v>
      </c>
      <c r="G154" s="4">
        <v>91970.337</v>
      </c>
      <c r="H154" s="5">
        <f>3839 / 86400</f>
        <v>4.4432870370370373E-2</v>
      </c>
      <c r="I154" t="s">
        <v>30</v>
      </c>
      <c r="J154" t="s">
        <v>19</v>
      </c>
      <c r="K154" s="5">
        <f>11622 / 86400</f>
        <v>0.13451388888888888</v>
      </c>
      <c r="L154" s="5">
        <f>876 / 86400</f>
        <v>1.0138888888888888E-2</v>
      </c>
    </row>
    <row r="155" spans="1:12" x14ac:dyDescent="0.25">
      <c r="A155" s="3">
        <v>45698.640625</v>
      </c>
      <c r="B155" t="s">
        <v>165</v>
      </c>
      <c r="C155" s="3">
        <v>45698.756053240737</v>
      </c>
      <c r="D155" t="s">
        <v>166</v>
      </c>
      <c r="E155" s="4">
        <v>33.027999999999999</v>
      </c>
      <c r="F155" s="4">
        <v>91970.337</v>
      </c>
      <c r="G155" s="4">
        <v>92003.365000000005</v>
      </c>
      <c r="H155" s="5">
        <f>3499 / 86400</f>
        <v>4.0497685185185185E-2</v>
      </c>
      <c r="I155" t="s">
        <v>167</v>
      </c>
      <c r="J155" t="s">
        <v>102</v>
      </c>
      <c r="K155" s="5">
        <f>9973 / 86400</f>
        <v>0.11542824074074073</v>
      </c>
      <c r="L155" s="5">
        <f>105 / 86400</f>
        <v>1.2152777777777778E-3</v>
      </c>
    </row>
    <row r="156" spans="1:12" x14ac:dyDescent="0.25">
      <c r="A156" s="3">
        <v>45698.757268518515</v>
      </c>
      <c r="B156" t="s">
        <v>166</v>
      </c>
      <c r="C156" s="3">
        <v>45698.758726851855</v>
      </c>
      <c r="D156" t="s">
        <v>166</v>
      </c>
      <c r="E156" s="4">
        <v>0.151</v>
      </c>
      <c r="F156" s="4">
        <v>92003.365000000005</v>
      </c>
      <c r="G156" s="4">
        <v>92003.516000000003</v>
      </c>
      <c r="H156" s="5">
        <f>60 / 86400</f>
        <v>6.9444444444444447E-4</v>
      </c>
      <c r="I156" t="s">
        <v>129</v>
      </c>
      <c r="J156" t="s">
        <v>43</v>
      </c>
      <c r="K156" s="5">
        <f>125 / 86400</f>
        <v>1.4467592592592592E-3</v>
      </c>
      <c r="L156" s="5">
        <f>336 / 86400</f>
        <v>3.8888888888888888E-3</v>
      </c>
    </row>
    <row r="157" spans="1:12" x14ac:dyDescent="0.25">
      <c r="A157" s="3">
        <v>45698.762615740736</v>
      </c>
      <c r="B157" t="s">
        <v>166</v>
      </c>
      <c r="C157" s="3">
        <v>45698.76462962963</v>
      </c>
      <c r="D157" t="s">
        <v>29</v>
      </c>
      <c r="E157" s="4">
        <v>0.183</v>
      </c>
      <c r="F157" s="4">
        <v>92003.516000000003</v>
      </c>
      <c r="G157" s="4">
        <v>92003.698999999993</v>
      </c>
      <c r="H157" s="5">
        <f>0 / 86400</f>
        <v>0</v>
      </c>
      <c r="I157" t="s">
        <v>168</v>
      </c>
      <c r="J157" t="s">
        <v>43</v>
      </c>
      <c r="K157" s="5">
        <f>173 / 86400</f>
        <v>2.0023148148148148E-3</v>
      </c>
      <c r="L157" s="5">
        <f>268 / 86400</f>
        <v>3.1018518518518517E-3</v>
      </c>
    </row>
    <row r="158" spans="1:12" x14ac:dyDescent="0.25">
      <c r="A158" s="3">
        <v>45698.767731481479</v>
      </c>
      <c r="B158" t="s">
        <v>29</v>
      </c>
      <c r="C158" s="3">
        <v>45698.771469907406</v>
      </c>
      <c r="D158" t="s">
        <v>29</v>
      </c>
      <c r="E158" s="4">
        <v>0.28899999999999998</v>
      </c>
      <c r="F158" s="4">
        <v>92003.698999999993</v>
      </c>
      <c r="G158" s="4">
        <v>92003.987999999998</v>
      </c>
      <c r="H158" s="5">
        <f>120 / 86400</f>
        <v>1.3888888888888889E-3</v>
      </c>
      <c r="I158" t="s">
        <v>129</v>
      </c>
      <c r="J158" t="s">
        <v>169</v>
      </c>
      <c r="K158" s="5">
        <f>323 / 86400</f>
        <v>3.7384259259259259E-3</v>
      </c>
      <c r="L158" s="5">
        <f>19744 / 86400</f>
        <v>0.22851851851851851</v>
      </c>
    </row>
    <row r="159" spans="1:1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2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2" s="10" customFormat="1" ht="20.100000000000001" customHeight="1" x14ac:dyDescent="0.35">
      <c r="A161" s="12" t="s">
        <v>404</v>
      </c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2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2" ht="30" x14ac:dyDescent="0.25">
      <c r="A163" s="2" t="s">
        <v>5</v>
      </c>
      <c r="B163" s="2" t="s">
        <v>6</v>
      </c>
      <c r="C163" s="2" t="s">
        <v>7</v>
      </c>
      <c r="D163" s="2" t="s">
        <v>8</v>
      </c>
      <c r="E163" s="2" t="s">
        <v>9</v>
      </c>
      <c r="F163" s="2" t="s">
        <v>10</v>
      </c>
      <c r="G163" s="2" t="s">
        <v>11</v>
      </c>
      <c r="H163" s="2" t="s">
        <v>12</v>
      </c>
      <c r="I163" s="2" t="s">
        <v>13</v>
      </c>
      <c r="J163" s="2" t="s">
        <v>14</v>
      </c>
      <c r="K163" s="2" t="s">
        <v>15</v>
      </c>
      <c r="L163" s="2" t="s">
        <v>16</v>
      </c>
    </row>
    <row r="164" spans="1:12" x14ac:dyDescent="0.25">
      <c r="A164" s="3">
        <v>45698.176793981482</v>
      </c>
      <c r="B164" t="s">
        <v>17</v>
      </c>
      <c r="C164" s="3">
        <v>45698.260509259257</v>
      </c>
      <c r="D164" t="s">
        <v>170</v>
      </c>
      <c r="E164" s="4">
        <v>49.451000000000001</v>
      </c>
      <c r="F164" s="4">
        <v>137090.375</v>
      </c>
      <c r="G164" s="4">
        <v>137139.826</v>
      </c>
      <c r="H164" s="5">
        <f>1319 / 86400</f>
        <v>1.5266203703703704E-2</v>
      </c>
      <c r="I164" t="s">
        <v>154</v>
      </c>
      <c r="J164" t="s">
        <v>171</v>
      </c>
      <c r="K164" s="5">
        <f>7233 / 86400</f>
        <v>8.3715277777777777E-2</v>
      </c>
      <c r="L164" s="5">
        <f>15604 / 86400</f>
        <v>0.18060185185185185</v>
      </c>
    </row>
    <row r="165" spans="1:12" x14ac:dyDescent="0.25">
      <c r="A165" s="3">
        <v>45698.264317129629</v>
      </c>
      <c r="B165" t="s">
        <v>170</v>
      </c>
      <c r="C165" s="3">
        <v>45698.265949074077</v>
      </c>
      <c r="D165" t="s">
        <v>137</v>
      </c>
      <c r="E165" s="4">
        <v>0.443</v>
      </c>
      <c r="F165" s="4">
        <v>137139.826</v>
      </c>
      <c r="G165" s="4">
        <v>137140.269</v>
      </c>
      <c r="H165" s="5">
        <f>0 / 86400</f>
        <v>0</v>
      </c>
      <c r="I165" t="s">
        <v>28</v>
      </c>
      <c r="J165" t="s">
        <v>59</v>
      </c>
      <c r="K165" s="5">
        <f>141 / 86400</f>
        <v>1.6319444444444445E-3</v>
      </c>
      <c r="L165" s="5">
        <f>1001 / 86400</f>
        <v>1.1585648148148149E-2</v>
      </c>
    </row>
    <row r="166" spans="1:12" x14ac:dyDescent="0.25">
      <c r="A166" s="3">
        <v>45698.27753472222</v>
      </c>
      <c r="B166" t="s">
        <v>137</v>
      </c>
      <c r="C166" s="3">
        <v>45698.365532407406</v>
      </c>
      <c r="D166" t="s">
        <v>172</v>
      </c>
      <c r="E166" s="4">
        <v>40.081000000000003</v>
      </c>
      <c r="F166" s="4">
        <v>137140.269</v>
      </c>
      <c r="G166" s="4">
        <v>137180.35</v>
      </c>
      <c r="H166" s="5">
        <f>2418 / 86400</f>
        <v>2.7986111111111111E-2</v>
      </c>
      <c r="I166" t="s">
        <v>114</v>
      </c>
      <c r="J166" t="s">
        <v>33</v>
      </c>
      <c r="K166" s="5">
        <f>7602 / 86400</f>
        <v>8.7986111111111112E-2</v>
      </c>
      <c r="L166" s="5">
        <f>406 / 86400</f>
        <v>4.6990740740740743E-3</v>
      </c>
    </row>
    <row r="167" spans="1:12" x14ac:dyDescent="0.25">
      <c r="A167" s="3">
        <v>45698.37023148148</v>
      </c>
      <c r="B167" t="s">
        <v>172</v>
      </c>
      <c r="C167" s="3">
        <v>45698.455138888894</v>
      </c>
      <c r="D167" t="s">
        <v>123</v>
      </c>
      <c r="E167" s="4">
        <v>39.353999999999999</v>
      </c>
      <c r="F167" s="4">
        <v>137180.35</v>
      </c>
      <c r="G167" s="4">
        <v>137219.704</v>
      </c>
      <c r="H167" s="5">
        <f>1960 / 86400</f>
        <v>2.2685185185185187E-2</v>
      </c>
      <c r="I167" t="s">
        <v>173</v>
      </c>
      <c r="J167" t="s">
        <v>33</v>
      </c>
      <c r="K167" s="5">
        <f>7335 / 86400</f>
        <v>8.4895833333333337E-2</v>
      </c>
      <c r="L167" s="5">
        <f>390 / 86400</f>
        <v>4.5138888888888885E-3</v>
      </c>
    </row>
    <row r="168" spans="1:12" x14ac:dyDescent="0.25">
      <c r="A168" s="3">
        <v>45698.459652777776</v>
      </c>
      <c r="B168" t="s">
        <v>123</v>
      </c>
      <c r="C168" s="3">
        <v>45698.460150462968</v>
      </c>
      <c r="D168" t="s">
        <v>123</v>
      </c>
      <c r="E168" s="4">
        <v>2.7E-2</v>
      </c>
      <c r="F168" s="4">
        <v>137219.704</v>
      </c>
      <c r="G168" s="4">
        <v>137219.731</v>
      </c>
      <c r="H168" s="5">
        <f>0 / 86400</f>
        <v>0</v>
      </c>
      <c r="I168" t="s">
        <v>61</v>
      </c>
      <c r="J168" t="s">
        <v>132</v>
      </c>
      <c r="K168" s="5">
        <f>42 / 86400</f>
        <v>4.861111111111111E-4</v>
      </c>
      <c r="L168" s="5">
        <f>1442 / 86400</f>
        <v>1.6689814814814814E-2</v>
      </c>
    </row>
    <row r="169" spans="1:12" x14ac:dyDescent="0.25">
      <c r="A169" s="3">
        <v>45698.476840277777</v>
      </c>
      <c r="B169" t="s">
        <v>123</v>
      </c>
      <c r="C169" s="3">
        <v>45698.619837962964</v>
      </c>
      <c r="D169" t="s">
        <v>164</v>
      </c>
      <c r="E169" s="4">
        <v>68.692999999999998</v>
      </c>
      <c r="F169" s="4">
        <v>137219.731</v>
      </c>
      <c r="G169" s="4">
        <v>137288.424</v>
      </c>
      <c r="H169" s="5">
        <f>3419 / 86400</f>
        <v>3.9571759259259258E-2</v>
      </c>
      <c r="I169" t="s">
        <v>32</v>
      </c>
      <c r="J169" t="s">
        <v>22</v>
      </c>
      <c r="K169" s="5">
        <f>12355 / 86400</f>
        <v>0.14299768518518519</v>
      </c>
      <c r="L169" s="5">
        <f>230 / 86400</f>
        <v>2.662037037037037E-3</v>
      </c>
    </row>
    <row r="170" spans="1:12" x14ac:dyDescent="0.25">
      <c r="A170" s="3">
        <v>45698.622499999998</v>
      </c>
      <c r="B170" t="s">
        <v>164</v>
      </c>
      <c r="C170" s="3">
        <v>45698.747546296298</v>
      </c>
      <c r="D170" t="s">
        <v>174</v>
      </c>
      <c r="E170" s="4">
        <v>46.411000000000001</v>
      </c>
      <c r="F170" s="4">
        <v>137288.424</v>
      </c>
      <c r="G170" s="4">
        <v>137334.83499999999</v>
      </c>
      <c r="H170" s="5">
        <f>4141 / 86400</f>
        <v>4.7928240740740743E-2</v>
      </c>
      <c r="I170" t="s">
        <v>40</v>
      </c>
      <c r="J170" t="s">
        <v>57</v>
      </c>
      <c r="K170" s="5">
        <f>10803 / 86400</f>
        <v>0.12503472222222223</v>
      </c>
      <c r="L170" s="5">
        <f>338 / 86400</f>
        <v>3.9120370370370368E-3</v>
      </c>
    </row>
    <row r="171" spans="1:12" x14ac:dyDescent="0.25">
      <c r="A171" s="3">
        <v>45698.751458333332</v>
      </c>
      <c r="B171" t="s">
        <v>174</v>
      </c>
      <c r="C171" s="3">
        <v>45698.753645833334</v>
      </c>
      <c r="D171" t="s">
        <v>175</v>
      </c>
      <c r="E171" s="4">
        <v>0.81200000000000006</v>
      </c>
      <c r="F171" s="4">
        <v>137334.83499999999</v>
      </c>
      <c r="G171" s="4">
        <v>137335.647</v>
      </c>
      <c r="H171" s="5">
        <f>0 / 86400</f>
        <v>0</v>
      </c>
      <c r="I171" t="s">
        <v>176</v>
      </c>
      <c r="J171" t="s">
        <v>19</v>
      </c>
      <c r="K171" s="5">
        <f>188 / 86400</f>
        <v>2.1759259259259258E-3</v>
      </c>
      <c r="L171" s="5">
        <f>127 / 86400</f>
        <v>1.4699074074074074E-3</v>
      </c>
    </row>
    <row r="172" spans="1:12" x14ac:dyDescent="0.25">
      <c r="A172" s="3">
        <v>45698.755115740743</v>
      </c>
      <c r="B172" t="s">
        <v>177</v>
      </c>
      <c r="C172" s="3">
        <v>45698.757002314815</v>
      </c>
      <c r="D172" t="s">
        <v>17</v>
      </c>
      <c r="E172" s="4">
        <v>0.495</v>
      </c>
      <c r="F172" s="4">
        <v>137335.647</v>
      </c>
      <c r="G172" s="4">
        <v>137336.14199999999</v>
      </c>
      <c r="H172" s="5">
        <f>20 / 86400</f>
        <v>2.3148148148148149E-4</v>
      </c>
      <c r="I172" t="s">
        <v>36</v>
      </c>
      <c r="J172" t="s">
        <v>59</v>
      </c>
      <c r="K172" s="5">
        <f>162 / 86400</f>
        <v>1.8749999999999999E-3</v>
      </c>
      <c r="L172" s="5">
        <f>50 / 86400</f>
        <v>5.7870370370370367E-4</v>
      </c>
    </row>
    <row r="173" spans="1:12" x14ac:dyDescent="0.25">
      <c r="A173" s="3">
        <v>45698.757581018523</v>
      </c>
      <c r="B173" t="s">
        <v>17</v>
      </c>
      <c r="C173" s="3">
        <v>45698.758055555554</v>
      </c>
      <c r="D173" t="s">
        <v>17</v>
      </c>
      <c r="E173" s="4">
        <v>1.4E-2</v>
      </c>
      <c r="F173" s="4">
        <v>137336.14199999999</v>
      </c>
      <c r="G173" s="4">
        <v>137336.15599999999</v>
      </c>
      <c r="H173" s="5">
        <f>19 / 86400</f>
        <v>2.199074074074074E-4</v>
      </c>
      <c r="I173" t="s">
        <v>89</v>
      </c>
      <c r="J173" t="s">
        <v>62</v>
      </c>
      <c r="K173" s="5">
        <f>40 / 86400</f>
        <v>4.6296296296296298E-4</v>
      </c>
      <c r="L173" s="5">
        <f>20903 / 86400</f>
        <v>0.24193287037037037</v>
      </c>
    </row>
    <row r="174" spans="1:12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 spans="1:12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 spans="1:12" s="10" customFormat="1" ht="20.100000000000001" customHeight="1" x14ac:dyDescent="0.35">
      <c r="A176" s="12" t="s">
        <v>405</v>
      </c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2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 spans="1:12" ht="30" x14ac:dyDescent="0.25">
      <c r="A178" s="2" t="s">
        <v>5</v>
      </c>
      <c r="B178" s="2" t="s">
        <v>6</v>
      </c>
      <c r="C178" s="2" t="s">
        <v>7</v>
      </c>
      <c r="D178" s="2" t="s">
        <v>8</v>
      </c>
      <c r="E178" s="2" t="s">
        <v>9</v>
      </c>
      <c r="F178" s="2" t="s">
        <v>10</v>
      </c>
      <c r="G178" s="2" t="s">
        <v>11</v>
      </c>
      <c r="H178" s="2" t="s">
        <v>12</v>
      </c>
      <c r="I178" s="2" t="s">
        <v>13</v>
      </c>
      <c r="J178" s="2" t="s">
        <v>14</v>
      </c>
      <c r="K178" s="2" t="s">
        <v>15</v>
      </c>
      <c r="L178" s="2" t="s">
        <v>16</v>
      </c>
    </row>
    <row r="179" spans="1:12" x14ac:dyDescent="0.25">
      <c r="A179" s="3">
        <v>45698.002106481479</v>
      </c>
      <c r="B179" t="s">
        <v>34</v>
      </c>
      <c r="C179" s="3">
        <v>45698.002337962964</v>
      </c>
      <c r="D179" t="s">
        <v>34</v>
      </c>
      <c r="E179" s="4">
        <v>2.2467313408851622E-3</v>
      </c>
      <c r="F179" s="4">
        <v>347422.57246100879</v>
      </c>
      <c r="G179" s="4">
        <v>347422.5747077401</v>
      </c>
      <c r="H179" s="5">
        <f t="shared" ref="H179:H242" si="0">0 / 86400</f>
        <v>0</v>
      </c>
      <c r="I179" t="s">
        <v>62</v>
      </c>
      <c r="J179" t="s">
        <v>126</v>
      </c>
      <c r="K179" s="5">
        <f>20 / 86400</f>
        <v>2.3148148148148149E-4</v>
      </c>
      <c r="L179" s="5">
        <f>222 / 86400</f>
        <v>2.5694444444444445E-3</v>
      </c>
    </row>
    <row r="180" spans="1:12" x14ac:dyDescent="0.25">
      <c r="A180" s="3">
        <v>45698.002800925926</v>
      </c>
      <c r="B180" t="s">
        <v>34</v>
      </c>
      <c r="C180" s="3">
        <v>45698.003333333334</v>
      </c>
      <c r="D180" t="s">
        <v>178</v>
      </c>
      <c r="E180" s="4">
        <v>0.11128521049022674</v>
      </c>
      <c r="F180" s="4">
        <v>347422.58011345507</v>
      </c>
      <c r="G180" s="4">
        <v>347422.69139866554</v>
      </c>
      <c r="H180" s="5">
        <f t="shared" si="0"/>
        <v>0</v>
      </c>
      <c r="I180" t="s">
        <v>168</v>
      </c>
      <c r="J180" t="s">
        <v>138</v>
      </c>
      <c r="K180" s="5">
        <f>46 / 86400</f>
        <v>5.3240740740740744E-4</v>
      </c>
      <c r="L180" s="5">
        <f>16 / 86400</f>
        <v>1.8518518518518518E-4</v>
      </c>
    </row>
    <row r="181" spans="1:12" x14ac:dyDescent="0.25">
      <c r="A181" s="3">
        <v>45698.003518518519</v>
      </c>
      <c r="B181" t="s">
        <v>178</v>
      </c>
      <c r="C181" s="3">
        <v>45698.004178240742</v>
      </c>
      <c r="D181" t="s">
        <v>178</v>
      </c>
      <c r="E181" s="4">
        <v>3.8558211088180541E-2</v>
      </c>
      <c r="F181" s="4">
        <v>347422.7006577471</v>
      </c>
      <c r="G181" s="4">
        <v>347422.73921595817</v>
      </c>
      <c r="H181" s="5">
        <f t="shared" si="0"/>
        <v>0</v>
      </c>
      <c r="I181" t="s">
        <v>138</v>
      </c>
      <c r="J181" t="s">
        <v>132</v>
      </c>
      <c r="K181" s="5">
        <f>57 / 86400</f>
        <v>6.5972222222222224E-4</v>
      </c>
      <c r="L181" s="5">
        <f>32 / 86400</f>
        <v>3.7037037037037035E-4</v>
      </c>
    </row>
    <row r="182" spans="1:12" x14ac:dyDescent="0.25">
      <c r="A182" s="3">
        <v>45698.004548611112</v>
      </c>
      <c r="B182" t="s">
        <v>179</v>
      </c>
      <c r="C182" s="3">
        <v>45698.006574074076</v>
      </c>
      <c r="D182" t="s">
        <v>101</v>
      </c>
      <c r="E182" s="4">
        <v>0.90815338575839999</v>
      </c>
      <c r="F182" s="4">
        <v>347422.77056447574</v>
      </c>
      <c r="G182" s="4">
        <v>347423.67871786148</v>
      </c>
      <c r="H182" s="5">
        <f t="shared" si="0"/>
        <v>0</v>
      </c>
      <c r="I182" t="s">
        <v>140</v>
      </c>
      <c r="J182" t="s">
        <v>33</v>
      </c>
      <c r="K182" s="5">
        <f>175 / 86400</f>
        <v>2.0254629629629629E-3</v>
      </c>
      <c r="L182" s="5">
        <f>6 / 86400</f>
        <v>6.9444444444444444E-5</v>
      </c>
    </row>
    <row r="183" spans="1:12" x14ac:dyDescent="0.25">
      <c r="A183" s="3">
        <v>45698.006643518514</v>
      </c>
      <c r="B183" t="s">
        <v>180</v>
      </c>
      <c r="C183" s="3">
        <v>45698.010567129633</v>
      </c>
      <c r="D183" t="s">
        <v>181</v>
      </c>
      <c r="E183" s="4">
        <v>1.5654718043208122</v>
      </c>
      <c r="F183" s="4">
        <v>347423.6859891481</v>
      </c>
      <c r="G183" s="4">
        <v>347425.25146095239</v>
      </c>
      <c r="H183" s="5">
        <f t="shared" si="0"/>
        <v>0</v>
      </c>
      <c r="I183" t="s">
        <v>171</v>
      </c>
      <c r="J183" t="s">
        <v>28</v>
      </c>
      <c r="K183" s="5">
        <f>339 / 86400</f>
        <v>3.9236111111111112E-3</v>
      </c>
      <c r="L183" s="5">
        <f>58 / 86400</f>
        <v>6.7129629629629625E-4</v>
      </c>
    </row>
    <row r="184" spans="1:12" x14ac:dyDescent="0.25">
      <c r="A184" s="3">
        <v>45698.011238425926</v>
      </c>
      <c r="B184" t="s">
        <v>181</v>
      </c>
      <c r="C184" s="3">
        <v>45698.012222222227</v>
      </c>
      <c r="D184" t="s">
        <v>182</v>
      </c>
      <c r="E184" s="4">
        <v>0.55026448047161103</v>
      </c>
      <c r="F184" s="4">
        <v>347425.25838415016</v>
      </c>
      <c r="G184" s="4">
        <v>347425.80864863063</v>
      </c>
      <c r="H184" s="5">
        <f t="shared" si="0"/>
        <v>0</v>
      </c>
      <c r="I184" t="s">
        <v>117</v>
      </c>
      <c r="J184" t="s">
        <v>47</v>
      </c>
      <c r="K184" s="5">
        <f>85 / 86400</f>
        <v>9.837962962962962E-4</v>
      </c>
      <c r="L184" s="5">
        <f>37 / 86400</f>
        <v>4.2824074074074075E-4</v>
      </c>
    </row>
    <row r="185" spans="1:12" x14ac:dyDescent="0.25">
      <c r="A185" s="3">
        <v>45698.012650462959</v>
      </c>
      <c r="B185" t="s">
        <v>183</v>
      </c>
      <c r="C185" s="3">
        <v>45698.013113425928</v>
      </c>
      <c r="D185" t="s">
        <v>182</v>
      </c>
      <c r="E185" s="4">
        <v>0.2454589227437973</v>
      </c>
      <c r="F185" s="4">
        <v>347425.84055037936</v>
      </c>
      <c r="G185" s="4">
        <v>347426.08600930206</v>
      </c>
      <c r="H185" s="5">
        <f t="shared" si="0"/>
        <v>0</v>
      </c>
      <c r="I185" t="s">
        <v>176</v>
      </c>
      <c r="J185" t="s">
        <v>147</v>
      </c>
      <c r="K185" s="5">
        <f>40 / 86400</f>
        <v>4.6296296296296298E-4</v>
      </c>
      <c r="L185" s="5">
        <f>20 / 86400</f>
        <v>2.3148148148148149E-4</v>
      </c>
    </row>
    <row r="186" spans="1:12" x14ac:dyDescent="0.25">
      <c r="A186" s="3">
        <v>45698.013344907406</v>
      </c>
      <c r="B186" t="s">
        <v>184</v>
      </c>
      <c r="C186" s="3">
        <v>45698.013807870375</v>
      </c>
      <c r="D186" t="s">
        <v>182</v>
      </c>
      <c r="E186" s="4">
        <v>0.16843623828887938</v>
      </c>
      <c r="F186" s="4">
        <v>347426.16972893511</v>
      </c>
      <c r="G186" s="4">
        <v>347426.33816517342</v>
      </c>
      <c r="H186" s="5">
        <f t="shared" si="0"/>
        <v>0</v>
      </c>
      <c r="I186" t="s">
        <v>185</v>
      </c>
      <c r="J186" t="s">
        <v>57</v>
      </c>
      <c r="K186" s="5">
        <f>40 / 86400</f>
        <v>4.6296296296296298E-4</v>
      </c>
      <c r="L186" s="5">
        <f>12 / 86400</f>
        <v>1.3888888888888889E-4</v>
      </c>
    </row>
    <row r="187" spans="1:12" x14ac:dyDescent="0.25">
      <c r="A187" s="3">
        <v>45698.01394675926</v>
      </c>
      <c r="B187" t="s">
        <v>182</v>
      </c>
      <c r="C187" s="3">
        <v>45698.015335648146</v>
      </c>
      <c r="D187" t="s">
        <v>186</v>
      </c>
      <c r="E187" s="4">
        <v>0.78295730668306351</v>
      </c>
      <c r="F187" s="4">
        <v>347426.3412075605</v>
      </c>
      <c r="G187" s="4">
        <v>347427.12416486716</v>
      </c>
      <c r="H187" s="5">
        <f t="shared" si="0"/>
        <v>0</v>
      </c>
      <c r="I187" t="s">
        <v>145</v>
      </c>
      <c r="J187" t="s">
        <v>47</v>
      </c>
      <c r="K187" s="5">
        <f>120 / 86400</f>
        <v>1.3888888888888889E-3</v>
      </c>
      <c r="L187" s="5">
        <f>20 / 86400</f>
        <v>2.3148148148148149E-4</v>
      </c>
    </row>
    <row r="188" spans="1:12" x14ac:dyDescent="0.25">
      <c r="A188" s="3">
        <v>45698.015567129631</v>
      </c>
      <c r="B188" t="s">
        <v>186</v>
      </c>
      <c r="C188" s="3">
        <v>45698.01834490741</v>
      </c>
      <c r="D188" t="s">
        <v>187</v>
      </c>
      <c r="E188" s="4">
        <v>2.0321137126088145</v>
      </c>
      <c r="F188" s="4">
        <v>347427.14282311004</v>
      </c>
      <c r="G188" s="4">
        <v>347429.17493682267</v>
      </c>
      <c r="H188" s="5">
        <f t="shared" si="0"/>
        <v>0</v>
      </c>
      <c r="I188" t="s">
        <v>188</v>
      </c>
      <c r="J188" t="s">
        <v>176</v>
      </c>
      <c r="K188" s="5">
        <f>240 / 86400</f>
        <v>2.7777777777777779E-3</v>
      </c>
      <c r="L188" s="5">
        <f>20 / 86400</f>
        <v>2.3148148148148149E-4</v>
      </c>
    </row>
    <row r="189" spans="1:12" x14ac:dyDescent="0.25">
      <c r="A189" s="3">
        <v>45698.018576388888</v>
      </c>
      <c r="B189" t="s">
        <v>187</v>
      </c>
      <c r="C189" s="3">
        <v>45698.021134259259</v>
      </c>
      <c r="D189" t="s">
        <v>174</v>
      </c>
      <c r="E189" s="4">
        <v>1.6214521986842156</v>
      </c>
      <c r="F189" s="4">
        <v>347429.27167607308</v>
      </c>
      <c r="G189" s="4">
        <v>347430.89312827174</v>
      </c>
      <c r="H189" s="5">
        <f t="shared" si="0"/>
        <v>0</v>
      </c>
      <c r="I189" t="s">
        <v>189</v>
      </c>
      <c r="J189" t="s">
        <v>134</v>
      </c>
      <c r="K189" s="5">
        <f>221 / 86400</f>
        <v>2.5578703703703705E-3</v>
      </c>
      <c r="L189" s="5">
        <f>37 / 86400</f>
        <v>4.2824074074074075E-4</v>
      </c>
    </row>
    <row r="190" spans="1:12" x14ac:dyDescent="0.25">
      <c r="A190" s="3">
        <v>45698.021562499998</v>
      </c>
      <c r="B190" t="s">
        <v>190</v>
      </c>
      <c r="C190" s="3">
        <v>45698.029236111106</v>
      </c>
      <c r="D190" t="s">
        <v>111</v>
      </c>
      <c r="E190" s="4">
        <v>4.4896195908188821</v>
      </c>
      <c r="F190" s="4">
        <v>347430.92010636668</v>
      </c>
      <c r="G190" s="4">
        <v>347435.40972595749</v>
      </c>
      <c r="H190" s="5">
        <f t="shared" si="0"/>
        <v>0</v>
      </c>
      <c r="I190" t="s">
        <v>154</v>
      </c>
      <c r="J190" t="s">
        <v>36</v>
      </c>
      <c r="K190" s="5">
        <f>663 / 86400</f>
        <v>7.6736111111111111E-3</v>
      </c>
      <c r="L190" s="5">
        <f>20 / 86400</f>
        <v>2.3148148148148149E-4</v>
      </c>
    </row>
    <row r="191" spans="1:12" x14ac:dyDescent="0.25">
      <c r="A191" s="3">
        <v>45698.029467592598</v>
      </c>
      <c r="B191" t="s">
        <v>111</v>
      </c>
      <c r="C191" s="3">
        <v>45698.033865740741</v>
      </c>
      <c r="D191" t="s">
        <v>111</v>
      </c>
      <c r="E191" s="4">
        <v>3.6132157362103463</v>
      </c>
      <c r="F191" s="4">
        <v>347435.42021842278</v>
      </c>
      <c r="G191" s="4">
        <v>347439.03343415901</v>
      </c>
      <c r="H191" s="5">
        <f t="shared" si="0"/>
        <v>0</v>
      </c>
      <c r="I191" t="s">
        <v>191</v>
      </c>
      <c r="J191" t="s">
        <v>149</v>
      </c>
      <c r="K191" s="5">
        <f>380 / 86400</f>
        <v>4.3981481481481484E-3</v>
      </c>
      <c r="L191" s="5">
        <f>20 / 86400</f>
        <v>2.3148148148148149E-4</v>
      </c>
    </row>
    <row r="192" spans="1:12" x14ac:dyDescent="0.25">
      <c r="A192" s="3">
        <v>45698.034097222218</v>
      </c>
      <c r="B192" t="s">
        <v>192</v>
      </c>
      <c r="C192" s="3">
        <v>45698.035717592589</v>
      </c>
      <c r="D192" t="s">
        <v>192</v>
      </c>
      <c r="E192" s="4">
        <v>1.121630977153778</v>
      </c>
      <c r="F192" s="4">
        <v>347439.1383887945</v>
      </c>
      <c r="G192" s="4">
        <v>347440.26001977164</v>
      </c>
      <c r="H192" s="5">
        <f t="shared" si="0"/>
        <v>0</v>
      </c>
      <c r="I192" t="s">
        <v>42</v>
      </c>
      <c r="J192" t="s">
        <v>193</v>
      </c>
      <c r="K192" s="5">
        <f>140 / 86400</f>
        <v>1.6203703703703703E-3</v>
      </c>
      <c r="L192" s="5">
        <f>20 / 86400</f>
        <v>2.3148148148148149E-4</v>
      </c>
    </row>
    <row r="193" spans="1:12" x14ac:dyDescent="0.25">
      <c r="A193" s="3">
        <v>45698.035949074074</v>
      </c>
      <c r="B193" t="s">
        <v>192</v>
      </c>
      <c r="C193" s="3">
        <v>45698.046782407408</v>
      </c>
      <c r="D193" t="s">
        <v>194</v>
      </c>
      <c r="E193" s="4">
        <v>6.193695307612419</v>
      </c>
      <c r="F193" s="4">
        <v>347440.41823719954</v>
      </c>
      <c r="G193" s="4">
        <v>347446.61193250713</v>
      </c>
      <c r="H193" s="5">
        <f t="shared" si="0"/>
        <v>0</v>
      </c>
      <c r="I193" t="s">
        <v>195</v>
      </c>
      <c r="J193" t="s">
        <v>36</v>
      </c>
      <c r="K193" s="5">
        <f>936 / 86400</f>
        <v>1.0833333333333334E-2</v>
      </c>
      <c r="L193" s="5">
        <f>58 / 86400</f>
        <v>6.7129629629629625E-4</v>
      </c>
    </row>
    <row r="194" spans="1:12" x14ac:dyDescent="0.25">
      <c r="A194" s="3">
        <v>45698.047453703708</v>
      </c>
      <c r="B194" t="s">
        <v>192</v>
      </c>
      <c r="C194" s="3">
        <v>45698.051412037035</v>
      </c>
      <c r="D194" t="s">
        <v>153</v>
      </c>
      <c r="E194" s="4">
        <v>2.345163646876812</v>
      </c>
      <c r="F194" s="4">
        <v>347446.65718679549</v>
      </c>
      <c r="G194" s="4">
        <v>347449.00235044234</v>
      </c>
      <c r="H194" s="5">
        <f t="shared" si="0"/>
        <v>0</v>
      </c>
      <c r="I194" t="s">
        <v>196</v>
      </c>
      <c r="J194" t="s">
        <v>171</v>
      </c>
      <c r="K194" s="5">
        <f>342 / 86400</f>
        <v>3.9583333333333337E-3</v>
      </c>
      <c r="L194" s="5">
        <f>611 / 86400</f>
        <v>7.0717592592592594E-3</v>
      </c>
    </row>
    <row r="195" spans="1:12" x14ac:dyDescent="0.25">
      <c r="A195" s="3">
        <v>45698.058483796296</v>
      </c>
      <c r="B195" t="s">
        <v>153</v>
      </c>
      <c r="C195" s="3">
        <v>45698.060925925922</v>
      </c>
      <c r="D195" t="s">
        <v>29</v>
      </c>
      <c r="E195" s="4">
        <v>0.69505181407928462</v>
      </c>
      <c r="F195" s="4">
        <v>347449.00753870042</v>
      </c>
      <c r="G195" s="4">
        <v>347449.7025905145</v>
      </c>
      <c r="H195" s="5">
        <f t="shared" si="0"/>
        <v>0</v>
      </c>
      <c r="I195" t="s">
        <v>19</v>
      </c>
      <c r="J195" t="s">
        <v>102</v>
      </c>
      <c r="K195" s="5">
        <f>211 / 86400</f>
        <v>2.4421296296296296E-3</v>
      </c>
      <c r="L195" s="5">
        <f>140 / 86400</f>
        <v>1.6203703703703703E-3</v>
      </c>
    </row>
    <row r="196" spans="1:12" x14ac:dyDescent="0.25">
      <c r="A196" s="3">
        <v>45698.062546296293</v>
      </c>
      <c r="B196" t="s">
        <v>29</v>
      </c>
      <c r="C196" s="3">
        <v>45698.063379629632</v>
      </c>
      <c r="D196" t="s">
        <v>29</v>
      </c>
      <c r="E196" s="4">
        <v>0.22079748064279556</v>
      </c>
      <c r="F196" s="4">
        <v>347449.73404674203</v>
      </c>
      <c r="G196" s="4">
        <v>347449.95484422264</v>
      </c>
      <c r="H196" s="5">
        <f t="shared" si="0"/>
        <v>0</v>
      </c>
      <c r="I196" t="s">
        <v>57</v>
      </c>
      <c r="J196" t="s">
        <v>59</v>
      </c>
      <c r="K196" s="5">
        <f>72 / 86400</f>
        <v>8.3333333333333339E-4</v>
      </c>
      <c r="L196" s="5">
        <f>12686 / 86400</f>
        <v>0.14682870370370371</v>
      </c>
    </row>
    <row r="197" spans="1:12" x14ac:dyDescent="0.25">
      <c r="A197" s="3">
        <v>45698.21020833333</v>
      </c>
      <c r="B197" t="s">
        <v>29</v>
      </c>
      <c r="C197" s="3">
        <v>45698.213645833333</v>
      </c>
      <c r="D197" t="s">
        <v>197</v>
      </c>
      <c r="E197" s="4">
        <v>1.3978822866082192</v>
      </c>
      <c r="F197" s="4">
        <v>347449.98646773852</v>
      </c>
      <c r="G197" s="4">
        <v>347451.3843500251</v>
      </c>
      <c r="H197" s="5">
        <f t="shared" si="0"/>
        <v>0</v>
      </c>
      <c r="I197" t="s">
        <v>145</v>
      </c>
      <c r="J197" t="s">
        <v>28</v>
      </c>
      <c r="K197" s="5">
        <f>297 / 86400</f>
        <v>3.4375E-3</v>
      </c>
      <c r="L197" s="5">
        <f>20 / 86400</f>
        <v>2.3148148148148149E-4</v>
      </c>
    </row>
    <row r="198" spans="1:12" x14ac:dyDescent="0.25">
      <c r="A198" s="3">
        <v>45698.213877314818</v>
      </c>
      <c r="B198" t="s">
        <v>197</v>
      </c>
      <c r="C198" s="3">
        <v>45698.21711805556</v>
      </c>
      <c r="D198" t="s">
        <v>198</v>
      </c>
      <c r="E198" s="4">
        <v>3.6717129243612288</v>
      </c>
      <c r="F198" s="4">
        <v>347451.47397215938</v>
      </c>
      <c r="G198" s="4">
        <v>347455.14568508376</v>
      </c>
      <c r="H198" s="5">
        <f t="shared" si="0"/>
        <v>0</v>
      </c>
      <c r="I198" t="s">
        <v>56</v>
      </c>
      <c r="J198" t="s">
        <v>199</v>
      </c>
      <c r="K198" s="5">
        <f>280 / 86400</f>
        <v>3.2407407407407406E-3</v>
      </c>
      <c r="L198" s="5">
        <f>40 / 86400</f>
        <v>4.6296296296296298E-4</v>
      </c>
    </row>
    <row r="199" spans="1:12" x14ac:dyDescent="0.25">
      <c r="A199" s="3">
        <v>45698.217581018514</v>
      </c>
      <c r="B199" t="s">
        <v>198</v>
      </c>
      <c r="C199" s="3">
        <v>45698.21873842593</v>
      </c>
      <c r="D199" t="s">
        <v>144</v>
      </c>
      <c r="E199" s="4">
        <v>0.58708714687824248</v>
      </c>
      <c r="F199" s="4">
        <v>347455.1680046352</v>
      </c>
      <c r="G199" s="4">
        <v>347455.75509178208</v>
      </c>
      <c r="H199" s="5">
        <f t="shared" si="0"/>
        <v>0</v>
      </c>
      <c r="I199" t="s">
        <v>200</v>
      </c>
      <c r="J199" t="s">
        <v>136</v>
      </c>
      <c r="K199" s="5">
        <f>100 / 86400</f>
        <v>1.1574074074074073E-3</v>
      </c>
      <c r="L199" s="5">
        <f>59 / 86400</f>
        <v>6.8287037037037036E-4</v>
      </c>
    </row>
    <row r="200" spans="1:12" x14ac:dyDescent="0.25">
      <c r="A200" s="3">
        <v>45698.219421296293</v>
      </c>
      <c r="B200" t="s">
        <v>144</v>
      </c>
      <c r="C200" s="3">
        <v>45698.219895833332</v>
      </c>
      <c r="D200" t="s">
        <v>144</v>
      </c>
      <c r="E200" s="4">
        <v>5.2592263638973236E-2</v>
      </c>
      <c r="F200" s="4">
        <v>347455.7594462203</v>
      </c>
      <c r="G200" s="4">
        <v>347455.81203848391</v>
      </c>
      <c r="H200" s="5">
        <f t="shared" si="0"/>
        <v>0</v>
      </c>
      <c r="I200" t="s">
        <v>125</v>
      </c>
      <c r="J200" t="s">
        <v>125</v>
      </c>
      <c r="K200" s="5">
        <f>41 / 86400</f>
        <v>4.7453703703703704E-4</v>
      </c>
      <c r="L200" s="5">
        <f>99 / 86400</f>
        <v>1.1458333333333333E-3</v>
      </c>
    </row>
    <row r="201" spans="1:12" x14ac:dyDescent="0.25">
      <c r="A201" s="3">
        <v>45698.221041666664</v>
      </c>
      <c r="B201" t="s">
        <v>162</v>
      </c>
      <c r="C201" s="3">
        <v>45698.221273148149</v>
      </c>
      <c r="D201" t="s">
        <v>162</v>
      </c>
      <c r="E201" s="4">
        <v>5.0093734860420227E-3</v>
      </c>
      <c r="F201" s="4">
        <v>347455.85026737297</v>
      </c>
      <c r="G201" s="4">
        <v>347455.85527674644</v>
      </c>
      <c r="H201" s="5">
        <f t="shared" si="0"/>
        <v>0</v>
      </c>
      <c r="I201" t="s">
        <v>169</v>
      </c>
      <c r="J201" t="s">
        <v>62</v>
      </c>
      <c r="K201" s="5">
        <f>20 / 86400</f>
        <v>2.3148148148148149E-4</v>
      </c>
      <c r="L201" s="5">
        <f>120 / 86400</f>
        <v>1.3888888888888889E-3</v>
      </c>
    </row>
    <row r="202" spans="1:12" x14ac:dyDescent="0.25">
      <c r="A202" s="3">
        <v>45698.222662037035</v>
      </c>
      <c r="B202" t="s">
        <v>162</v>
      </c>
      <c r="C202" s="3">
        <v>45698.222893518519</v>
      </c>
      <c r="D202" t="s">
        <v>198</v>
      </c>
      <c r="E202" s="4">
        <v>3.1634311974048618E-2</v>
      </c>
      <c r="F202" s="4">
        <v>347455.87888113456</v>
      </c>
      <c r="G202" s="4">
        <v>347455.91051544657</v>
      </c>
      <c r="H202" s="5">
        <f t="shared" si="0"/>
        <v>0</v>
      </c>
      <c r="I202" t="s">
        <v>125</v>
      </c>
      <c r="J202" t="s">
        <v>61</v>
      </c>
      <c r="K202" s="5">
        <f>20 / 86400</f>
        <v>2.3148148148148149E-4</v>
      </c>
      <c r="L202" s="5">
        <f>620 / 86400</f>
        <v>7.1759259259259259E-3</v>
      </c>
    </row>
    <row r="203" spans="1:12" x14ac:dyDescent="0.25">
      <c r="A203" s="3">
        <v>45698.230069444442</v>
      </c>
      <c r="B203" t="s">
        <v>198</v>
      </c>
      <c r="C203" s="3">
        <v>45698.230300925927</v>
      </c>
      <c r="D203" t="s">
        <v>198</v>
      </c>
      <c r="E203" s="4">
        <v>1.069029986858368E-3</v>
      </c>
      <c r="F203" s="4">
        <v>347455.95423880429</v>
      </c>
      <c r="G203" s="4">
        <v>347455.95530783426</v>
      </c>
      <c r="H203" s="5">
        <f t="shared" si="0"/>
        <v>0</v>
      </c>
      <c r="I203" t="s">
        <v>62</v>
      </c>
      <c r="J203" t="s">
        <v>126</v>
      </c>
      <c r="K203" s="5">
        <f>20 / 86400</f>
        <v>2.3148148148148149E-4</v>
      </c>
      <c r="L203" s="5">
        <f>240 / 86400</f>
        <v>2.7777777777777779E-3</v>
      </c>
    </row>
    <row r="204" spans="1:12" x14ac:dyDescent="0.25">
      <c r="A204" s="3">
        <v>45698.233078703706</v>
      </c>
      <c r="B204" t="s">
        <v>198</v>
      </c>
      <c r="C204" s="3">
        <v>45698.233310185184</v>
      </c>
      <c r="D204" t="s">
        <v>201</v>
      </c>
      <c r="E204" s="4">
        <v>3.3385306000709536E-3</v>
      </c>
      <c r="F204" s="4">
        <v>347455.9714682349</v>
      </c>
      <c r="G204" s="4">
        <v>347455.9748067655</v>
      </c>
      <c r="H204" s="5">
        <f t="shared" si="0"/>
        <v>0</v>
      </c>
      <c r="I204" t="s">
        <v>132</v>
      </c>
      <c r="J204" t="s">
        <v>62</v>
      </c>
      <c r="K204" s="5">
        <f>20 / 86400</f>
        <v>2.3148148148148149E-4</v>
      </c>
      <c r="L204" s="5">
        <f>180 / 86400</f>
        <v>2.0833333333333333E-3</v>
      </c>
    </row>
    <row r="205" spans="1:12" x14ac:dyDescent="0.25">
      <c r="A205" s="3">
        <v>45698.235393518524</v>
      </c>
      <c r="B205" t="s">
        <v>162</v>
      </c>
      <c r="C205" s="3">
        <v>45698.235856481479</v>
      </c>
      <c r="D205" t="s">
        <v>162</v>
      </c>
      <c r="E205" s="4">
        <v>0.32264204496145249</v>
      </c>
      <c r="F205" s="4">
        <v>347456.08439525182</v>
      </c>
      <c r="G205" s="4">
        <v>347456.4070372968</v>
      </c>
      <c r="H205" s="5">
        <f t="shared" si="0"/>
        <v>0</v>
      </c>
      <c r="I205" t="s">
        <v>202</v>
      </c>
      <c r="J205" t="s">
        <v>193</v>
      </c>
      <c r="K205" s="5">
        <f>40 / 86400</f>
        <v>4.6296296296296298E-4</v>
      </c>
      <c r="L205" s="5">
        <f>20 / 86400</f>
        <v>2.3148148148148149E-4</v>
      </c>
    </row>
    <row r="206" spans="1:12" x14ac:dyDescent="0.25">
      <c r="A206" s="3">
        <v>45698.236087962963</v>
      </c>
      <c r="B206" t="s">
        <v>162</v>
      </c>
      <c r="C206" s="3">
        <v>45698.238402777773</v>
      </c>
      <c r="D206" t="s">
        <v>192</v>
      </c>
      <c r="E206" s="4">
        <v>1.9651297958493232</v>
      </c>
      <c r="F206" s="4">
        <v>347456.52059676999</v>
      </c>
      <c r="G206" s="4">
        <v>347458.48572656582</v>
      </c>
      <c r="H206" s="5">
        <f t="shared" si="0"/>
        <v>0</v>
      </c>
      <c r="I206" t="s">
        <v>66</v>
      </c>
      <c r="J206" t="s">
        <v>203</v>
      </c>
      <c r="K206" s="5">
        <f>200 / 86400</f>
        <v>2.3148148148148147E-3</v>
      </c>
      <c r="L206" s="5">
        <f>4 / 86400</f>
        <v>4.6296296296296294E-5</v>
      </c>
    </row>
    <row r="207" spans="1:12" x14ac:dyDescent="0.25">
      <c r="A207" s="3">
        <v>45698.238449074073</v>
      </c>
      <c r="B207" t="s">
        <v>204</v>
      </c>
      <c r="C207" s="3">
        <v>45698.239375000005</v>
      </c>
      <c r="D207" t="s">
        <v>192</v>
      </c>
      <c r="E207" s="4">
        <v>0.76236918491125105</v>
      </c>
      <c r="F207" s="4">
        <v>347458.48793534888</v>
      </c>
      <c r="G207" s="4">
        <v>347459.25030453375</v>
      </c>
      <c r="H207" s="5">
        <f t="shared" si="0"/>
        <v>0</v>
      </c>
      <c r="I207" t="s">
        <v>85</v>
      </c>
      <c r="J207" t="s">
        <v>149</v>
      </c>
      <c r="K207" s="5">
        <f>80 / 86400</f>
        <v>9.2592592592592596E-4</v>
      </c>
      <c r="L207" s="5">
        <f>20 / 86400</f>
        <v>2.3148148148148149E-4</v>
      </c>
    </row>
    <row r="208" spans="1:12" x14ac:dyDescent="0.25">
      <c r="A208" s="3">
        <v>45698.239606481482</v>
      </c>
      <c r="B208" t="s">
        <v>192</v>
      </c>
      <c r="C208" s="3">
        <v>45698.239837962959</v>
      </c>
      <c r="D208" t="s">
        <v>192</v>
      </c>
      <c r="E208" s="4">
        <v>5.4124413013458252E-2</v>
      </c>
      <c r="F208" s="4">
        <v>347459.26569908229</v>
      </c>
      <c r="G208" s="4">
        <v>347459.31982349535</v>
      </c>
      <c r="H208" s="5">
        <f t="shared" si="0"/>
        <v>0</v>
      </c>
      <c r="I208" t="s">
        <v>129</v>
      </c>
      <c r="J208" t="s">
        <v>129</v>
      </c>
      <c r="K208" s="5">
        <f>20 / 86400</f>
        <v>2.3148148148148149E-4</v>
      </c>
      <c r="L208" s="5">
        <f>20 / 86400</f>
        <v>2.3148148148148149E-4</v>
      </c>
    </row>
    <row r="209" spans="1:12" x14ac:dyDescent="0.25">
      <c r="A209" s="3">
        <v>45698.240069444444</v>
      </c>
      <c r="B209" t="s">
        <v>192</v>
      </c>
      <c r="C209" s="3">
        <v>45698.24145833333</v>
      </c>
      <c r="D209" t="s">
        <v>192</v>
      </c>
      <c r="E209" s="4">
        <v>0.87943570941686633</v>
      </c>
      <c r="F209" s="4">
        <v>347459.38133767154</v>
      </c>
      <c r="G209" s="4">
        <v>347460.26077338093</v>
      </c>
      <c r="H209" s="5">
        <f t="shared" si="0"/>
        <v>0</v>
      </c>
      <c r="I209" t="s">
        <v>205</v>
      </c>
      <c r="J209" t="s">
        <v>134</v>
      </c>
      <c r="K209" s="5">
        <f>120 / 86400</f>
        <v>1.3888888888888889E-3</v>
      </c>
      <c r="L209" s="5">
        <f>20 / 86400</f>
        <v>2.3148148148148149E-4</v>
      </c>
    </row>
    <row r="210" spans="1:12" x14ac:dyDescent="0.25">
      <c r="A210" s="3">
        <v>45698.241689814815</v>
      </c>
      <c r="B210" t="s">
        <v>192</v>
      </c>
      <c r="C210" s="3">
        <v>45698.24423611111</v>
      </c>
      <c r="D210" t="s">
        <v>111</v>
      </c>
      <c r="E210" s="4">
        <v>1.9063318569660186</v>
      </c>
      <c r="F210" s="4">
        <v>347460.26550493174</v>
      </c>
      <c r="G210" s="4">
        <v>347462.17183678871</v>
      </c>
      <c r="H210" s="5">
        <f t="shared" si="0"/>
        <v>0</v>
      </c>
      <c r="I210" t="s">
        <v>154</v>
      </c>
      <c r="J210" t="s">
        <v>206</v>
      </c>
      <c r="K210" s="5">
        <f>220 / 86400</f>
        <v>2.5462962962962965E-3</v>
      </c>
      <c r="L210" s="5">
        <f>26 / 86400</f>
        <v>3.0092592592592595E-4</v>
      </c>
    </row>
    <row r="211" spans="1:12" x14ac:dyDescent="0.25">
      <c r="A211" s="3">
        <v>45698.244537037041</v>
      </c>
      <c r="B211" t="s">
        <v>111</v>
      </c>
      <c r="C211" s="3">
        <v>45698.246157407411</v>
      </c>
      <c r="D211" t="s">
        <v>111</v>
      </c>
      <c r="E211" s="4">
        <v>1.1828487474918365</v>
      </c>
      <c r="F211" s="4">
        <v>347462.18078332819</v>
      </c>
      <c r="G211" s="4">
        <v>347463.36363207566</v>
      </c>
      <c r="H211" s="5">
        <f t="shared" si="0"/>
        <v>0</v>
      </c>
      <c r="I211" t="s">
        <v>154</v>
      </c>
      <c r="J211" t="s">
        <v>176</v>
      </c>
      <c r="K211" s="5">
        <f>140 / 86400</f>
        <v>1.6203703703703703E-3</v>
      </c>
      <c r="L211" s="5">
        <f>20 / 86400</f>
        <v>2.3148148148148149E-4</v>
      </c>
    </row>
    <row r="212" spans="1:12" x14ac:dyDescent="0.25">
      <c r="A212" s="3">
        <v>45698.246388888889</v>
      </c>
      <c r="B212" t="s">
        <v>111</v>
      </c>
      <c r="C212" s="3">
        <v>45698.24800925926</v>
      </c>
      <c r="D212" t="s">
        <v>111</v>
      </c>
      <c r="E212" s="4">
        <v>0.36321454691886901</v>
      </c>
      <c r="F212" s="4">
        <v>347463.39656803192</v>
      </c>
      <c r="G212" s="4">
        <v>347463.75978257885</v>
      </c>
      <c r="H212" s="5">
        <f t="shared" si="0"/>
        <v>0</v>
      </c>
      <c r="I212" t="s">
        <v>147</v>
      </c>
      <c r="J212" t="s">
        <v>138</v>
      </c>
      <c r="K212" s="5">
        <f>140 / 86400</f>
        <v>1.6203703703703703E-3</v>
      </c>
      <c r="L212" s="5">
        <f>7 / 86400</f>
        <v>8.1018518518518516E-5</v>
      </c>
    </row>
    <row r="213" spans="1:12" x14ac:dyDescent="0.25">
      <c r="A213" s="3">
        <v>45698.248090277775</v>
      </c>
      <c r="B213" t="s">
        <v>111</v>
      </c>
      <c r="C213" s="3">
        <v>45698.249016203699</v>
      </c>
      <c r="D213" t="s">
        <v>118</v>
      </c>
      <c r="E213" s="4">
        <v>0.13140802174806596</v>
      </c>
      <c r="F213" s="4">
        <v>347463.76199126634</v>
      </c>
      <c r="G213" s="4">
        <v>347463.89339928806</v>
      </c>
      <c r="H213" s="5">
        <f t="shared" si="0"/>
        <v>0</v>
      </c>
      <c r="I213" t="s">
        <v>168</v>
      </c>
      <c r="J213" t="s">
        <v>61</v>
      </c>
      <c r="K213" s="5">
        <f>80 / 86400</f>
        <v>9.2592592592592596E-4</v>
      </c>
      <c r="L213" s="5">
        <f>20 / 86400</f>
        <v>2.3148148148148149E-4</v>
      </c>
    </row>
    <row r="214" spans="1:12" x14ac:dyDescent="0.25">
      <c r="A214" s="3">
        <v>45698.249247685184</v>
      </c>
      <c r="B214" t="s">
        <v>111</v>
      </c>
      <c r="C214" s="3">
        <v>45698.251099537039</v>
      </c>
      <c r="D214" t="s">
        <v>95</v>
      </c>
      <c r="E214" s="4">
        <v>1.741085313796997</v>
      </c>
      <c r="F214" s="4">
        <v>347463.95825849491</v>
      </c>
      <c r="G214" s="4">
        <v>347465.69934380869</v>
      </c>
      <c r="H214" s="5">
        <f t="shared" si="0"/>
        <v>0</v>
      </c>
      <c r="I214" t="s">
        <v>66</v>
      </c>
      <c r="J214" t="s">
        <v>148</v>
      </c>
      <c r="K214" s="5">
        <f>160 / 86400</f>
        <v>1.8518518518518519E-3</v>
      </c>
      <c r="L214" s="5">
        <f>40 / 86400</f>
        <v>4.6296296296296298E-4</v>
      </c>
    </row>
    <row r="215" spans="1:12" x14ac:dyDescent="0.25">
      <c r="A215" s="3">
        <v>45698.251562500001</v>
      </c>
      <c r="B215" t="s">
        <v>95</v>
      </c>
      <c r="C215" s="3">
        <v>45698.254571759258</v>
      </c>
      <c r="D215" t="s">
        <v>207</v>
      </c>
      <c r="E215" s="4">
        <v>2.0159487423300742</v>
      </c>
      <c r="F215" s="4">
        <v>347465.77437876794</v>
      </c>
      <c r="G215" s="4">
        <v>347467.79032751021</v>
      </c>
      <c r="H215" s="5">
        <f t="shared" si="0"/>
        <v>0</v>
      </c>
      <c r="I215" t="s">
        <v>208</v>
      </c>
      <c r="J215" t="s">
        <v>140</v>
      </c>
      <c r="K215" s="5">
        <f>260 / 86400</f>
        <v>3.0092592592592593E-3</v>
      </c>
      <c r="L215" s="5">
        <f>7 / 86400</f>
        <v>8.1018518518518516E-5</v>
      </c>
    </row>
    <row r="216" spans="1:12" x14ac:dyDescent="0.25">
      <c r="A216" s="3">
        <v>45698.254652777774</v>
      </c>
      <c r="B216" t="s">
        <v>207</v>
      </c>
      <c r="C216" s="3">
        <v>45698.256527777776</v>
      </c>
      <c r="D216" t="s">
        <v>209</v>
      </c>
      <c r="E216" s="4">
        <v>0.55960348170995711</v>
      </c>
      <c r="F216" s="4">
        <v>347467.79411861277</v>
      </c>
      <c r="G216" s="4">
        <v>347468.3537220945</v>
      </c>
      <c r="H216" s="5">
        <f t="shared" si="0"/>
        <v>0</v>
      </c>
      <c r="I216" t="s">
        <v>203</v>
      </c>
      <c r="J216" t="s">
        <v>102</v>
      </c>
      <c r="K216" s="5">
        <f>162 / 86400</f>
        <v>1.8749999999999999E-3</v>
      </c>
      <c r="L216" s="5">
        <f>20 / 86400</f>
        <v>2.3148148148148149E-4</v>
      </c>
    </row>
    <row r="217" spans="1:12" x14ac:dyDescent="0.25">
      <c r="A217" s="3">
        <v>45698.25675925926</v>
      </c>
      <c r="B217" t="s">
        <v>210</v>
      </c>
      <c r="C217" s="3">
        <v>45698.256990740745</v>
      </c>
      <c r="D217" t="s">
        <v>69</v>
      </c>
      <c r="E217" s="4">
        <v>6.1741375923156736E-3</v>
      </c>
      <c r="F217" s="4">
        <v>347468.39319324988</v>
      </c>
      <c r="G217" s="4">
        <v>347468.39936738746</v>
      </c>
      <c r="H217" s="5">
        <f t="shared" si="0"/>
        <v>0</v>
      </c>
      <c r="I217" t="s">
        <v>62</v>
      </c>
      <c r="J217" t="s">
        <v>62</v>
      </c>
      <c r="K217" s="5">
        <f>20 / 86400</f>
        <v>2.3148148148148149E-4</v>
      </c>
      <c r="L217" s="5">
        <f>26 / 86400</f>
        <v>3.0092592592592595E-4</v>
      </c>
    </row>
    <row r="218" spans="1:12" x14ac:dyDescent="0.25">
      <c r="A218" s="3">
        <v>45698.257291666669</v>
      </c>
      <c r="B218" t="s">
        <v>69</v>
      </c>
      <c r="C218" s="3">
        <v>45698.25981481481</v>
      </c>
      <c r="D218" t="s">
        <v>69</v>
      </c>
      <c r="E218" s="4">
        <v>1.3202118511199952</v>
      </c>
      <c r="F218" s="4">
        <v>347468.4077001682</v>
      </c>
      <c r="G218" s="4">
        <v>347469.7279120193</v>
      </c>
      <c r="H218" s="5">
        <f t="shared" si="0"/>
        <v>0</v>
      </c>
      <c r="I218" t="s">
        <v>167</v>
      </c>
      <c r="J218" t="s">
        <v>147</v>
      </c>
      <c r="K218" s="5">
        <f>218 / 86400</f>
        <v>2.5231481481481481E-3</v>
      </c>
      <c r="L218" s="5">
        <f>3 / 86400</f>
        <v>3.4722222222222222E-5</v>
      </c>
    </row>
    <row r="219" spans="1:12" x14ac:dyDescent="0.25">
      <c r="A219" s="3">
        <v>45698.259849537033</v>
      </c>
      <c r="B219" t="s">
        <v>69</v>
      </c>
      <c r="C219" s="3">
        <v>45698.260312500002</v>
      </c>
      <c r="D219" t="s">
        <v>69</v>
      </c>
      <c r="E219" s="4">
        <v>0.18538698941469192</v>
      </c>
      <c r="F219" s="4">
        <v>347469.73198592855</v>
      </c>
      <c r="G219" s="4">
        <v>347469.91737291793</v>
      </c>
      <c r="H219" s="5">
        <f t="shared" si="0"/>
        <v>0</v>
      </c>
      <c r="I219" t="s">
        <v>211</v>
      </c>
      <c r="J219" t="s">
        <v>28</v>
      </c>
      <c r="K219" s="5">
        <f>40 / 86400</f>
        <v>4.6296296296296298E-4</v>
      </c>
      <c r="L219" s="5">
        <f>20 / 86400</f>
        <v>2.3148148148148149E-4</v>
      </c>
    </row>
    <row r="220" spans="1:12" x14ac:dyDescent="0.25">
      <c r="A220" s="3">
        <v>45698.26054398148</v>
      </c>
      <c r="B220" t="s">
        <v>212</v>
      </c>
      <c r="C220" s="3">
        <v>45698.261006944449</v>
      </c>
      <c r="D220" t="s">
        <v>69</v>
      </c>
      <c r="E220" s="4">
        <v>0.2679624671936035</v>
      </c>
      <c r="F220" s="4">
        <v>347470.05788515089</v>
      </c>
      <c r="G220" s="4">
        <v>347470.32584761811</v>
      </c>
      <c r="H220" s="5">
        <f t="shared" si="0"/>
        <v>0</v>
      </c>
      <c r="I220" t="s">
        <v>213</v>
      </c>
      <c r="J220" t="s">
        <v>36</v>
      </c>
      <c r="K220" s="5">
        <f>40 / 86400</f>
        <v>4.6296296296296298E-4</v>
      </c>
      <c r="L220" s="5">
        <f>20 / 86400</f>
        <v>2.3148148148148149E-4</v>
      </c>
    </row>
    <row r="221" spans="1:12" x14ac:dyDescent="0.25">
      <c r="A221" s="3">
        <v>45698.261238425926</v>
      </c>
      <c r="B221" t="s">
        <v>69</v>
      </c>
      <c r="C221" s="3">
        <v>45698.261932870373</v>
      </c>
      <c r="D221" t="s">
        <v>69</v>
      </c>
      <c r="E221" s="4">
        <v>0.32921425110101699</v>
      </c>
      <c r="F221" s="4">
        <v>347470.36334127357</v>
      </c>
      <c r="G221" s="4">
        <v>347470.69255552464</v>
      </c>
      <c r="H221" s="5">
        <f t="shared" si="0"/>
        <v>0</v>
      </c>
      <c r="I221" t="s">
        <v>193</v>
      </c>
      <c r="J221" t="s">
        <v>22</v>
      </c>
      <c r="K221" s="5">
        <f>60 / 86400</f>
        <v>6.9444444444444447E-4</v>
      </c>
      <c r="L221" s="5">
        <f>20 / 86400</f>
        <v>2.3148148148148149E-4</v>
      </c>
    </row>
    <row r="222" spans="1:12" x14ac:dyDescent="0.25">
      <c r="A222" s="3">
        <v>45698.262164351851</v>
      </c>
      <c r="B222" t="s">
        <v>69</v>
      </c>
      <c r="C222" s="3">
        <v>45698.263090277775</v>
      </c>
      <c r="D222" t="s">
        <v>214</v>
      </c>
      <c r="E222" s="4">
        <v>0.73440254694223406</v>
      </c>
      <c r="F222" s="4">
        <v>347470.69664464542</v>
      </c>
      <c r="G222" s="4">
        <v>347471.43104719231</v>
      </c>
      <c r="H222" s="5">
        <f t="shared" si="0"/>
        <v>0</v>
      </c>
      <c r="I222" t="s">
        <v>215</v>
      </c>
      <c r="J222" t="s">
        <v>211</v>
      </c>
      <c r="K222" s="5">
        <f>80 / 86400</f>
        <v>9.2592592592592596E-4</v>
      </c>
      <c r="L222" s="5">
        <f>20 / 86400</f>
        <v>2.3148148148148149E-4</v>
      </c>
    </row>
    <row r="223" spans="1:12" x14ac:dyDescent="0.25">
      <c r="A223" s="3">
        <v>45698.263321759259</v>
      </c>
      <c r="B223" t="s">
        <v>214</v>
      </c>
      <c r="C223" s="3">
        <v>45698.264016203699</v>
      </c>
      <c r="D223" t="s">
        <v>216</v>
      </c>
      <c r="E223" s="4">
        <v>0.44589920753240586</v>
      </c>
      <c r="F223" s="4">
        <v>347471.47290089552</v>
      </c>
      <c r="G223" s="4">
        <v>347471.91880010307</v>
      </c>
      <c r="H223" s="5">
        <f t="shared" si="0"/>
        <v>0</v>
      </c>
      <c r="I223" t="s">
        <v>117</v>
      </c>
      <c r="J223" t="s">
        <v>185</v>
      </c>
      <c r="K223" s="5">
        <f>60 / 86400</f>
        <v>6.9444444444444447E-4</v>
      </c>
      <c r="L223" s="5">
        <f>23 / 86400</f>
        <v>2.6620370370370372E-4</v>
      </c>
    </row>
    <row r="224" spans="1:12" x14ac:dyDescent="0.25">
      <c r="A224" s="3">
        <v>45698.264282407406</v>
      </c>
      <c r="B224" t="s">
        <v>216</v>
      </c>
      <c r="C224" s="3">
        <v>45698.265208333338</v>
      </c>
      <c r="D224" t="s">
        <v>216</v>
      </c>
      <c r="E224" s="4">
        <v>0.60994238549470903</v>
      </c>
      <c r="F224" s="4">
        <v>347471.92283929948</v>
      </c>
      <c r="G224" s="4">
        <v>347472.532781685</v>
      </c>
      <c r="H224" s="5">
        <f t="shared" si="0"/>
        <v>0</v>
      </c>
      <c r="I224" t="s">
        <v>196</v>
      </c>
      <c r="J224" t="s">
        <v>185</v>
      </c>
      <c r="K224" s="5">
        <f>80 / 86400</f>
        <v>9.2592592592592596E-4</v>
      </c>
      <c r="L224" s="5">
        <f>20 / 86400</f>
        <v>2.3148148148148149E-4</v>
      </c>
    </row>
    <row r="225" spans="1:12" x14ac:dyDescent="0.25">
      <c r="A225" s="3">
        <v>45698.265439814815</v>
      </c>
      <c r="B225" t="s">
        <v>216</v>
      </c>
      <c r="C225" s="3">
        <v>45698.266828703709</v>
      </c>
      <c r="D225" t="s">
        <v>179</v>
      </c>
      <c r="E225" s="4">
        <v>0.9038987779617309</v>
      </c>
      <c r="F225" s="4">
        <v>347472.55671736714</v>
      </c>
      <c r="G225" s="4">
        <v>347473.46061614511</v>
      </c>
      <c r="H225" s="5">
        <f t="shared" si="0"/>
        <v>0</v>
      </c>
      <c r="I225" t="s">
        <v>200</v>
      </c>
      <c r="J225" t="s">
        <v>185</v>
      </c>
      <c r="K225" s="5">
        <f>120 / 86400</f>
        <v>1.3888888888888889E-3</v>
      </c>
      <c r="L225" s="5">
        <f>20 / 86400</f>
        <v>2.3148148148148149E-4</v>
      </c>
    </row>
    <row r="226" spans="1:12" x14ac:dyDescent="0.25">
      <c r="A226" s="3">
        <v>45698.267060185186</v>
      </c>
      <c r="B226" t="s">
        <v>179</v>
      </c>
      <c r="C226" s="3">
        <v>45698.26798611111</v>
      </c>
      <c r="D226" t="s">
        <v>217</v>
      </c>
      <c r="E226" s="4">
        <v>0.37044962906837464</v>
      </c>
      <c r="F226" s="4">
        <v>347473.48585511534</v>
      </c>
      <c r="G226" s="4">
        <v>347473.85630474443</v>
      </c>
      <c r="H226" s="5">
        <f t="shared" si="0"/>
        <v>0</v>
      </c>
      <c r="I226" t="s">
        <v>134</v>
      </c>
      <c r="J226" t="s">
        <v>28</v>
      </c>
      <c r="K226" s="5">
        <f>80 / 86400</f>
        <v>9.2592592592592596E-4</v>
      </c>
      <c r="L226" s="5">
        <f>87 / 86400</f>
        <v>1.0069444444444444E-3</v>
      </c>
    </row>
    <row r="227" spans="1:12" x14ac:dyDescent="0.25">
      <c r="A227" s="3">
        <v>45698.268993055557</v>
      </c>
      <c r="B227" t="s">
        <v>217</v>
      </c>
      <c r="C227" s="3">
        <v>45698.269687499997</v>
      </c>
      <c r="D227" t="s">
        <v>179</v>
      </c>
      <c r="E227" s="4">
        <v>0.38944850355386734</v>
      </c>
      <c r="F227" s="4">
        <v>347473.87409001129</v>
      </c>
      <c r="G227" s="4">
        <v>347474.26353851485</v>
      </c>
      <c r="H227" s="5">
        <f t="shared" si="0"/>
        <v>0</v>
      </c>
      <c r="I227" t="s">
        <v>196</v>
      </c>
      <c r="J227" t="s">
        <v>47</v>
      </c>
      <c r="K227" s="5">
        <f>60 / 86400</f>
        <v>6.9444444444444447E-4</v>
      </c>
      <c r="L227" s="5">
        <f>40 / 86400</f>
        <v>4.6296296296296298E-4</v>
      </c>
    </row>
    <row r="228" spans="1:12" x14ac:dyDescent="0.25">
      <c r="A228" s="3">
        <v>45698.270150462966</v>
      </c>
      <c r="B228" t="s">
        <v>179</v>
      </c>
      <c r="C228" s="3">
        <v>45698.27107638889</v>
      </c>
      <c r="D228" t="s">
        <v>218</v>
      </c>
      <c r="E228" s="4">
        <v>0.47733579510450364</v>
      </c>
      <c r="F228" s="4">
        <v>347474.29689337133</v>
      </c>
      <c r="G228" s="4">
        <v>347474.77422916645</v>
      </c>
      <c r="H228" s="5">
        <f t="shared" si="0"/>
        <v>0</v>
      </c>
      <c r="I228" t="s">
        <v>141</v>
      </c>
      <c r="J228" t="s">
        <v>136</v>
      </c>
      <c r="K228" s="5">
        <f>80 / 86400</f>
        <v>9.2592592592592596E-4</v>
      </c>
      <c r="L228" s="5">
        <f>28 / 86400</f>
        <v>3.2407407407407406E-4</v>
      </c>
    </row>
    <row r="229" spans="1:12" x14ac:dyDescent="0.25">
      <c r="A229" s="3">
        <v>45698.271400462967</v>
      </c>
      <c r="B229" t="s">
        <v>218</v>
      </c>
      <c r="C229" s="3">
        <v>45698.271932870368</v>
      </c>
      <c r="D229" t="s">
        <v>219</v>
      </c>
      <c r="E229" s="4">
        <v>0.21492670083045959</v>
      </c>
      <c r="F229" s="4">
        <v>347474.77912859549</v>
      </c>
      <c r="G229" s="4">
        <v>347474.99405529629</v>
      </c>
      <c r="H229" s="5">
        <f t="shared" si="0"/>
        <v>0</v>
      </c>
      <c r="I229" t="s">
        <v>149</v>
      </c>
      <c r="J229" t="s">
        <v>28</v>
      </c>
      <c r="K229" s="5">
        <f>46 / 86400</f>
        <v>5.3240740740740744E-4</v>
      </c>
      <c r="L229" s="5">
        <f>20 / 86400</f>
        <v>2.3148148148148149E-4</v>
      </c>
    </row>
    <row r="230" spans="1:12" x14ac:dyDescent="0.25">
      <c r="A230" s="3">
        <v>45698.272164351853</v>
      </c>
      <c r="B230" t="s">
        <v>219</v>
      </c>
      <c r="C230" s="3">
        <v>45698.272395833337</v>
      </c>
      <c r="D230" t="s">
        <v>219</v>
      </c>
      <c r="E230" s="4">
        <v>3.5818138122558595E-3</v>
      </c>
      <c r="F230" s="4">
        <v>347474.99871780165</v>
      </c>
      <c r="G230" s="4">
        <v>347475.00229961541</v>
      </c>
      <c r="H230" s="5">
        <f t="shared" si="0"/>
        <v>0</v>
      </c>
      <c r="I230" t="s">
        <v>169</v>
      </c>
      <c r="J230" t="s">
        <v>62</v>
      </c>
      <c r="K230" s="5">
        <f>20 / 86400</f>
        <v>2.3148148148148149E-4</v>
      </c>
      <c r="L230" s="5">
        <f>100 / 86400</f>
        <v>1.1574074074074073E-3</v>
      </c>
    </row>
    <row r="231" spans="1:12" x14ac:dyDescent="0.25">
      <c r="A231" s="3">
        <v>45698.273553240739</v>
      </c>
      <c r="B231" t="s">
        <v>220</v>
      </c>
      <c r="C231" s="3">
        <v>45698.274016203708</v>
      </c>
      <c r="D231" t="s">
        <v>221</v>
      </c>
      <c r="E231" s="4">
        <v>2.0126160681247712E-2</v>
      </c>
      <c r="F231" s="4">
        <v>347475.06230017246</v>
      </c>
      <c r="G231" s="4">
        <v>347475.0824263331</v>
      </c>
      <c r="H231" s="5">
        <f t="shared" si="0"/>
        <v>0</v>
      </c>
      <c r="I231" t="s">
        <v>62</v>
      </c>
      <c r="J231" t="s">
        <v>132</v>
      </c>
      <c r="K231" s="5">
        <f>40 / 86400</f>
        <v>4.6296296296296298E-4</v>
      </c>
      <c r="L231" s="5">
        <f>20 / 86400</f>
        <v>2.3148148148148149E-4</v>
      </c>
    </row>
    <row r="232" spans="1:12" x14ac:dyDescent="0.25">
      <c r="A232" s="3">
        <v>45698.274247685185</v>
      </c>
      <c r="B232" t="s">
        <v>221</v>
      </c>
      <c r="C232" s="3">
        <v>45698.274479166663</v>
      </c>
      <c r="D232" t="s">
        <v>221</v>
      </c>
      <c r="E232" s="4">
        <v>1.1665244102478027E-3</v>
      </c>
      <c r="F232" s="4">
        <v>347475.08630851004</v>
      </c>
      <c r="G232" s="4">
        <v>347475.08747503447</v>
      </c>
      <c r="H232" s="5">
        <f t="shared" si="0"/>
        <v>0</v>
      </c>
      <c r="I232" t="s">
        <v>62</v>
      </c>
      <c r="J232" t="s">
        <v>126</v>
      </c>
      <c r="K232" s="5">
        <f>20 / 86400</f>
        <v>2.3148148148148149E-4</v>
      </c>
      <c r="L232" s="5">
        <f>20 / 86400</f>
        <v>2.3148148148148149E-4</v>
      </c>
    </row>
    <row r="233" spans="1:12" x14ac:dyDescent="0.25">
      <c r="A233" s="3">
        <v>45698.274710648147</v>
      </c>
      <c r="B233" t="s">
        <v>221</v>
      </c>
      <c r="C233" s="3">
        <v>45698.275613425925</v>
      </c>
      <c r="D233" t="s">
        <v>222</v>
      </c>
      <c r="E233" s="4">
        <v>0.36039926308393477</v>
      </c>
      <c r="F233" s="4">
        <v>347475.08814059792</v>
      </c>
      <c r="G233" s="4">
        <v>347475.44853986101</v>
      </c>
      <c r="H233" s="5">
        <f t="shared" si="0"/>
        <v>0</v>
      </c>
      <c r="I233" t="s">
        <v>149</v>
      </c>
      <c r="J233" t="s">
        <v>28</v>
      </c>
      <c r="K233" s="5">
        <f>78 / 86400</f>
        <v>9.0277777777777774E-4</v>
      </c>
      <c r="L233" s="5">
        <f>18 / 86400</f>
        <v>2.0833333333333335E-4</v>
      </c>
    </row>
    <row r="234" spans="1:12" x14ac:dyDescent="0.25">
      <c r="A234" s="3">
        <v>45698.275821759264</v>
      </c>
      <c r="B234" t="s">
        <v>222</v>
      </c>
      <c r="C234" s="3">
        <v>45698.277442129634</v>
      </c>
      <c r="D234" t="s">
        <v>112</v>
      </c>
      <c r="E234" s="4">
        <v>0.88166104352474217</v>
      </c>
      <c r="F234" s="4">
        <v>347475.45360336982</v>
      </c>
      <c r="G234" s="4">
        <v>347476.33526441338</v>
      </c>
      <c r="H234" s="5">
        <f t="shared" si="0"/>
        <v>0</v>
      </c>
      <c r="I234" t="s">
        <v>202</v>
      </c>
      <c r="J234" t="s">
        <v>47</v>
      </c>
      <c r="K234" s="5">
        <f>140 / 86400</f>
        <v>1.6203703703703703E-3</v>
      </c>
      <c r="L234" s="5">
        <f>160 / 86400</f>
        <v>1.8518518518518519E-3</v>
      </c>
    </row>
    <row r="235" spans="1:12" x14ac:dyDescent="0.25">
      <c r="A235" s="3">
        <v>45698.279293981483</v>
      </c>
      <c r="B235" t="s">
        <v>112</v>
      </c>
      <c r="C235" s="3">
        <v>45698.279756944445</v>
      </c>
      <c r="D235" t="s">
        <v>112</v>
      </c>
      <c r="E235" s="4">
        <v>0.20279132324457169</v>
      </c>
      <c r="F235" s="4">
        <v>347476.36724964622</v>
      </c>
      <c r="G235" s="4">
        <v>347476.57004096947</v>
      </c>
      <c r="H235" s="5">
        <f t="shared" si="0"/>
        <v>0</v>
      </c>
      <c r="I235" t="s">
        <v>59</v>
      </c>
      <c r="J235" t="s">
        <v>25</v>
      </c>
      <c r="K235" s="5">
        <f>40 / 86400</f>
        <v>4.6296296296296298E-4</v>
      </c>
      <c r="L235" s="5">
        <f>20 / 86400</f>
        <v>2.3148148148148149E-4</v>
      </c>
    </row>
    <row r="236" spans="1:12" x14ac:dyDescent="0.25">
      <c r="A236" s="3">
        <v>45698.279988425929</v>
      </c>
      <c r="B236" t="s">
        <v>112</v>
      </c>
      <c r="C236" s="3">
        <v>45698.281145833331</v>
      </c>
      <c r="D236" t="s">
        <v>223</v>
      </c>
      <c r="E236" s="4">
        <v>0.96443294942378999</v>
      </c>
      <c r="F236" s="4">
        <v>347476.71815469745</v>
      </c>
      <c r="G236" s="4">
        <v>347477.68258764682</v>
      </c>
      <c r="H236" s="5">
        <f t="shared" si="0"/>
        <v>0</v>
      </c>
      <c r="I236" t="s">
        <v>208</v>
      </c>
      <c r="J236" t="s">
        <v>203</v>
      </c>
      <c r="K236" s="5">
        <f>100 / 86400</f>
        <v>1.1574074074074073E-3</v>
      </c>
      <c r="L236" s="5">
        <f>60 / 86400</f>
        <v>6.9444444444444447E-4</v>
      </c>
    </row>
    <row r="237" spans="1:12" x14ac:dyDescent="0.25">
      <c r="A237" s="3">
        <v>45698.281840277778</v>
      </c>
      <c r="B237" t="s">
        <v>223</v>
      </c>
      <c r="C237" s="3">
        <v>45698.282534722224</v>
      </c>
      <c r="D237" t="s">
        <v>223</v>
      </c>
      <c r="E237" s="4">
        <v>0.41725797957181932</v>
      </c>
      <c r="F237" s="4">
        <v>347477.91932596284</v>
      </c>
      <c r="G237" s="4">
        <v>347478.33658394241</v>
      </c>
      <c r="H237" s="5">
        <f t="shared" si="0"/>
        <v>0</v>
      </c>
      <c r="I237" t="s">
        <v>200</v>
      </c>
      <c r="J237" t="s">
        <v>171</v>
      </c>
      <c r="K237" s="5">
        <f>60 / 86400</f>
        <v>6.9444444444444447E-4</v>
      </c>
      <c r="L237" s="5">
        <f>25 / 86400</f>
        <v>2.8935185185185184E-4</v>
      </c>
    </row>
    <row r="238" spans="1:12" x14ac:dyDescent="0.25">
      <c r="A238" s="3">
        <v>45698.282824074078</v>
      </c>
      <c r="B238" t="s">
        <v>223</v>
      </c>
      <c r="C238" s="3">
        <v>45698.284212962964</v>
      </c>
      <c r="D238" t="s">
        <v>69</v>
      </c>
      <c r="E238" s="4">
        <v>1.1237500659823418</v>
      </c>
      <c r="F238" s="4">
        <v>347478.34308409772</v>
      </c>
      <c r="G238" s="4">
        <v>347479.4668341637</v>
      </c>
      <c r="H238" s="5">
        <f t="shared" si="0"/>
        <v>0</v>
      </c>
      <c r="I238" t="s">
        <v>208</v>
      </c>
      <c r="J238" t="s">
        <v>149</v>
      </c>
      <c r="K238" s="5">
        <f>120 / 86400</f>
        <v>1.3888888888888889E-3</v>
      </c>
      <c r="L238" s="5">
        <f>10 / 86400</f>
        <v>1.1574074074074075E-4</v>
      </c>
    </row>
    <row r="239" spans="1:12" x14ac:dyDescent="0.25">
      <c r="A239" s="3">
        <v>45698.284328703703</v>
      </c>
      <c r="B239" t="s">
        <v>69</v>
      </c>
      <c r="C239" s="3">
        <v>45698.286180555559</v>
      </c>
      <c r="D239" t="s">
        <v>224</v>
      </c>
      <c r="E239" s="4">
        <v>0.79781883311271673</v>
      </c>
      <c r="F239" s="4">
        <v>347479.49614805914</v>
      </c>
      <c r="G239" s="4">
        <v>347480.29396689223</v>
      </c>
      <c r="H239" s="5">
        <f t="shared" si="0"/>
        <v>0</v>
      </c>
      <c r="I239" t="s">
        <v>191</v>
      </c>
      <c r="J239" t="s">
        <v>25</v>
      </c>
      <c r="K239" s="5">
        <f>160 / 86400</f>
        <v>1.8518518518518519E-3</v>
      </c>
      <c r="L239" s="5">
        <f>43 / 86400</f>
        <v>4.9768518518518521E-4</v>
      </c>
    </row>
    <row r="240" spans="1:12" x14ac:dyDescent="0.25">
      <c r="A240" s="3">
        <v>45698.286678240736</v>
      </c>
      <c r="B240" t="s">
        <v>224</v>
      </c>
      <c r="C240" s="3">
        <v>45698.287141203706</v>
      </c>
      <c r="D240" t="s">
        <v>225</v>
      </c>
      <c r="E240" s="4">
        <v>0.18652046477794648</v>
      </c>
      <c r="F240" s="4">
        <v>347480.30540818215</v>
      </c>
      <c r="G240" s="4">
        <v>347480.49192864692</v>
      </c>
      <c r="H240" s="5">
        <f t="shared" si="0"/>
        <v>0</v>
      </c>
      <c r="I240" t="s">
        <v>19</v>
      </c>
      <c r="J240" t="s">
        <v>28</v>
      </c>
      <c r="K240" s="5">
        <f>40 / 86400</f>
        <v>4.6296296296296298E-4</v>
      </c>
      <c r="L240" s="5">
        <f>34 / 86400</f>
        <v>3.9351851851851852E-4</v>
      </c>
    </row>
    <row r="241" spans="1:12" x14ac:dyDescent="0.25">
      <c r="A241" s="3">
        <v>45698.287534722222</v>
      </c>
      <c r="B241" t="s">
        <v>225</v>
      </c>
      <c r="C241" s="3">
        <v>45698.289155092592</v>
      </c>
      <c r="D241" t="s">
        <v>224</v>
      </c>
      <c r="E241" s="4">
        <v>0.98798700833320618</v>
      </c>
      <c r="F241" s="4">
        <v>347480.49611895531</v>
      </c>
      <c r="G241" s="4">
        <v>347481.48410596367</v>
      </c>
      <c r="H241" s="5">
        <f t="shared" si="0"/>
        <v>0</v>
      </c>
      <c r="I241" t="s">
        <v>195</v>
      </c>
      <c r="J241" t="s">
        <v>171</v>
      </c>
      <c r="K241" s="5">
        <f>140 / 86400</f>
        <v>1.6203703703703703E-3</v>
      </c>
      <c r="L241" s="5">
        <f>20 / 86400</f>
        <v>2.3148148148148149E-4</v>
      </c>
    </row>
    <row r="242" spans="1:12" x14ac:dyDescent="0.25">
      <c r="A242" s="3">
        <v>45698.289386574077</v>
      </c>
      <c r="B242" t="s">
        <v>226</v>
      </c>
      <c r="C242" s="3">
        <v>45698.289618055554</v>
      </c>
      <c r="D242" t="s">
        <v>227</v>
      </c>
      <c r="E242" s="4">
        <v>1.3344468712806703E-2</v>
      </c>
      <c r="F242" s="4">
        <v>347481.84798659303</v>
      </c>
      <c r="G242" s="4">
        <v>347481.86133106169</v>
      </c>
      <c r="H242" s="5">
        <f t="shared" si="0"/>
        <v>0</v>
      </c>
      <c r="I242" t="s">
        <v>61</v>
      </c>
      <c r="J242" t="s">
        <v>132</v>
      </c>
      <c r="K242" s="5">
        <f>20 / 86400</f>
        <v>2.3148148148148149E-4</v>
      </c>
      <c r="L242" s="5">
        <f>20 / 86400</f>
        <v>2.3148148148148149E-4</v>
      </c>
    </row>
    <row r="243" spans="1:12" x14ac:dyDescent="0.25">
      <c r="A243" s="3">
        <v>45698.289849537032</v>
      </c>
      <c r="B243" t="s">
        <v>227</v>
      </c>
      <c r="C243" s="3">
        <v>45698.291469907403</v>
      </c>
      <c r="D243" t="s">
        <v>207</v>
      </c>
      <c r="E243" s="4">
        <v>0.63988658702373502</v>
      </c>
      <c r="F243" s="4">
        <v>347481.86676616105</v>
      </c>
      <c r="G243" s="4">
        <v>347482.50665274804</v>
      </c>
      <c r="H243" s="5">
        <f t="shared" ref="H243:H306" si="1">0 / 86400</f>
        <v>0</v>
      </c>
      <c r="I243" t="s">
        <v>176</v>
      </c>
      <c r="J243" t="s">
        <v>19</v>
      </c>
      <c r="K243" s="5">
        <f>140 / 86400</f>
        <v>1.6203703703703703E-3</v>
      </c>
      <c r="L243" s="5">
        <f>20 / 86400</f>
        <v>2.3148148148148149E-4</v>
      </c>
    </row>
    <row r="244" spans="1:12" x14ac:dyDescent="0.25">
      <c r="A244" s="3">
        <v>45698.291701388887</v>
      </c>
      <c r="B244" t="s">
        <v>69</v>
      </c>
      <c r="C244" s="3">
        <v>45698.294710648144</v>
      </c>
      <c r="D244" t="s">
        <v>95</v>
      </c>
      <c r="E244" s="4">
        <v>1.2151806305646897</v>
      </c>
      <c r="F244" s="4">
        <v>347482.58143889473</v>
      </c>
      <c r="G244" s="4">
        <v>347483.7966195253</v>
      </c>
      <c r="H244" s="5">
        <f t="shared" si="1"/>
        <v>0</v>
      </c>
      <c r="I244" t="s">
        <v>202</v>
      </c>
      <c r="J244" t="s">
        <v>28</v>
      </c>
      <c r="K244" s="5">
        <f>260 / 86400</f>
        <v>3.0092592592592593E-3</v>
      </c>
      <c r="L244" s="5">
        <f>9 / 86400</f>
        <v>1.0416666666666667E-4</v>
      </c>
    </row>
    <row r="245" spans="1:12" x14ac:dyDescent="0.25">
      <c r="A245" s="3">
        <v>45698.294814814813</v>
      </c>
      <c r="B245" t="s">
        <v>95</v>
      </c>
      <c r="C245" s="3">
        <v>45698.295046296298</v>
      </c>
      <c r="D245" t="s">
        <v>95</v>
      </c>
      <c r="E245" s="4">
        <v>3.4268154025077817E-2</v>
      </c>
      <c r="F245" s="4">
        <v>347483.80490239651</v>
      </c>
      <c r="G245" s="4">
        <v>347483.83917055052</v>
      </c>
      <c r="H245" s="5">
        <f t="shared" si="1"/>
        <v>0</v>
      </c>
      <c r="I245" t="s">
        <v>125</v>
      </c>
      <c r="J245" t="s">
        <v>61</v>
      </c>
      <c r="K245" s="5">
        <f>20 / 86400</f>
        <v>2.3148148148148149E-4</v>
      </c>
      <c r="L245" s="5">
        <f>20 / 86400</f>
        <v>2.3148148148148149E-4</v>
      </c>
    </row>
    <row r="246" spans="1:12" x14ac:dyDescent="0.25">
      <c r="A246" s="3">
        <v>45698.295277777783</v>
      </c>
      <c r="B246" t="s">
        <v>95</v>
      </c>
      <c r="C246" s="3">
        <v>45698.29550925926</v>
      </c>
      <c r="D246" t="s">
        <v>95</v>
      </c>
      <c r="E246" s="4">
        <v>1.1181005060672759E-2</v>
      </c>
      <c r="F246" s="4">
        <v>347483.86220927216</v>
      </c>
      <c r="G246" s="4">
        <v>347483.87339027721</v>
      </c>
      <c r="H246" s="5">
        <f t="shared" si="1"/>
        <v>0</v>
      </c>
      <c r="I246" t="s">
        <v>43</v>
      </c>
      <c r="J246" t="s">
        <v>132</v>
      </c>
      <c r="K246" s="5">
        <f>20 / 86400</f>
        <v>2.3148148148148149E-4</v>
      </c>
      <c r="L246" s="5">
        <f>20 / 86400</f>
        <v>2.3148148148148149E-4</v>
      </c>
    </row>
    <row r="247" spans="1:12" x14ac:dyDescent="0.25">
      <c r="A247" s="3">
        <v>45698.295740740738</v>
      </c>
      <c r="B247" t="s">
        <v>95</v>
      </c>
      <c r="C247" s="3">
        <v>45698.300486111111</v>
      </c>
      <c r="D247" t="s">
        <v>111</v>
      </c>
      <c r="E247" s="4">
        <v>3.3678981186151504</v>
      </c>
      <c r="F247" s="4">
        <v>347483.90943415818</v>
      </c>
      <c r="G247" s="4">
        <v>347487.2773322768</v>
      </c>
      <c r="H247" s="5">
        <f t="shared" si="1"/>
        <v>0</v>
      </c>
      <c r="I247" t="s">
        <v>188</v>
      </c>
      <c r="J247" t="s">
        <v>176</v>
      </c>
      <c r="K247" s="5">
        <f>410 / 86400</f>
        <v>4.7453703703703703E-3</v>
      </c>
      <c r="L247" s="5">
        <f>20 / 86400</f>
        <v>2.3148148148148149E-4</v>
      </c>
    </row>
    <row r="248" spans="1:12" x14ac:dyDescent="0.25">
      <c r="A248" s="3">
        <v>45698.300717592589</v>
      </c>
      <c r="B248" t="s">
        <v>228</v>
      </c>
      <c r="C248" s="3">
        <v>45698.303726851853</v>
      </c>
      <c r="D248" t="s">
        <v>111</v>
      </c>
      <c r="E248" s="4">
        <v>2.6168183695077896</v>
      </c>
      <c r="F248" s="4">
        <v>347487.32160464756</v>
      </c>
      <c r="G248" s="4">
        <v>347489.9384230171</v>
      </c>
      <c r="H248" s="5">
        <f t="shared" si="1"/>
        <v>0</v>
      </c>
      <c r="I248" t="s">
        <v>173</v>
      </c>
      <c r="J248" t="s">
        <v>229</v>
      </c>
      <c r="K248" s="5">
        <f>260 / 86400</f>
        <v>3.0092592592592593E-3</v>
      </c>
      <c r="L248" s="5">
        <f>20 / 86400</f>
        <v>2.3148148148148149E-4</v>
      </c>
    </row>
    <row r="249" spans="1:12" x14ac:dyDescent="0.25">
      <c r="A249" s="3">
        <v>45698.30395833333</v>
      </c>
      <c r="B249" t="s">
        <v>111</v>
      </c>
      <c r="C249" s="3">
        <v>45698.305578703701</v>
      </c>
      <c r="D249" t="s">
        <v>230</v>
      </c>
      <c r="E249" s="4">
        <v>0.98370342487096785</v>
      </c>
      <c r="F249" s="4">
        <v>347489.94630910945</v>
      </c>
      <c r="G249" s="4">
        <v>347490.93001253431</v>
      </c>
      <c r="H249" s="5">
        <f t="shared" si="1"/>
        <v>0</v>
      </c>
      <c r="I249" t="s">
        <v>199</v>
      </c>
      <c r="J249" t="s">
        <v>171</v>
      </c>
      <c r="K249" s="5">
        <f>140 / 86400</f>
        <v>1.6203703703703703E-3</v>
      </c>
      <c r="L249" s="5">
        <f>20 / 86400</f>
        <v>2.3148148148148149E-4</v>
      </c>
    </row>
    <row r="250" spans="1:12" x14ac:dyDescent="0.25">
      <c r="A250" s="3">
        <v>45698.305810185186</v>
      </c>
      <c r="B250" t="s">
        <v>230</v>
      </c>
      <c r="C250" s="3">
        <v>45698.307199074072</v>
      </c>
      <c r="D250" t="s">
        <v>204</v>
      </c>
      <c r="E250" s="4">
        <v>0.80540929639339442</v>
      </c>
      <c r="F250" s="4">
        <v>347490.93300351442</v>
      </c>
      <c r="G250" s="4">
        <v>347491.73841281078</v>
      </c>
      <c r="H250" s="5">
        <f t="shared" si="1"/>
        <v>0</v>
      </c>
      <c r="I250" t="s">
        <v>195</v>
      </c>
      <c r="J250" t="s">
        <v>36</v>
      </c>
      <c r="K250" s="5">
        <f>120 / 86400</f>
        <v>1.3888888888888889E-3</v>
      </c>
      <c r="L250" s="5">
        <f>20 / 86400</f>
        <v>2.3148148148148149E-4</v>
      </c>
    </row>
    <row r="251" spans="1:12" x14ac:dyDescent="0.25">
      <c r="A251" s="3">
        <v>45698.307430555556</v>
      </c>
      <c r="B251" t="s">
        <v>204</v>
      </c>
      <c r="C251" s="3">
        <v>45698.309224537035</v>
      </c>
      <c r="D251" t="s">
        <v>162</v>
      </c>
      <c r="E251" s="4">
        <v>1.4052821266651154</v>
      </c>
      <c r="F251" s="4">
        <v>347491.74142262869</v>
      </c>
      <c r="G251" s="4">
        <v>347493.14670475537</v>
      </c>
      <c r="H251" s="5">
        <f t="shared" si="1"/>
        <v>0</v>
      </c>
      <c r="I251" t="s">
        <v>205</v>
      </c>
      <c r="J251" t="s">
        <v>211</v>
      </c>
      <c r="K251" s="5">
        <f>155 / 86400</f>
        <v>1.7939814814814815E-3</v>
      </c>
      <c r="L251" s="5">
        <f>20 / 86400</f>
        <v>2.3148148148148149E-4</v>
      </c>
    </row>
    <row r="252" spans="1:12" x14ac:dyDescent="0.25">
      <c r="A252" s="3">
        <v>45698.30945601852</v>
      </c>
      <c r="B252" t="s">
        <v>162</v>
      </c>
      <c r="C252" s="3">
        <v>45698.310613425929</v>
      </c>
      <c r="D252" t="s">
        <v>198</v>
      </c>
      <c r="E252" s="4">
        <v>1.0542066156268119</v>
      </c>
      <c r="F252" s="4">
        <v>347493.21005068504</v>
      </c>
      <c r="G252" s="4">
        <v>347494.2642573007</v>
      </c>
      <c r="H252" s="5">
        <f t="shared" si="1"/>
        <v>0</v>
      </c>
      <c r="I252" t="s">
        <v>199</v>
      </c>
      <c r="J252" t="s">
        <v>143</v>
      </c>
      <c r="K252" s="5">
        <f>100 / 86400</f>
        <v>1.1574074074074073E-3</v>
      </c>
      <c r="L252" s="5">
        <f>44 / 86400</f>
        <v>5.0925925925925921E-4</v>
      </c>
    </row>
    <row r="253" spans="1:12" x14ac:dyDescent="0.25">
      <c r="A253" s="3">
        <v>45698.311122685191</v>
      </c>
      <c r="B253" t="s">
        <v>198</v>
      </c>
      <c r="C253" s="3">
        <v>45698.313206018516</v>
      </c>
      <c r="D253" t="s">
        <v>37</v>
      </c>
      <c r="E253" s="4">
        <v>2.4584039440155028</v>
      </c>
      <c r="F253" s="4">
        <v>347494.28101950139</v>
      </c>
      <c r="G253" s="4">
        <v>347496.73942344543</v>
      </c>
      <c r="H253" s="5">
        <f t="shared" si="1"/>
        <v>0</v>
      </c>
      <c r="I253" t="s">
        <v>24</v>
      </c>
      <c r="J253" t="s">
        <v>200</v>
      </c>
      <c r="K253" s="5">
        <f>180 / 86400</f>
        <v>2.0833333333333333E-3</v>
      </c>
      <c r="L253" s="5">
        <f>5 / 86400</f>
        <v>5.7870370370370373E-5</v>
      </c>
    </row>
    <row r="254" spans="1:12" x14ac:dyDescent="0.25">
      <c r="A254" s="3">
        <v>45698.313263888893</v>
      </c>
      <c r="B254" t="s">
        <v>37</v>
      </c>
      <c r="C254" s="3">
        <v>45698.320902777778</v>
      </c>
      <c r="D254" t="s">
        <v>231</v>
      </c>
      <c r="E254" s="4">
        <v>5.7849671068191526</v>
      </c>
      <c r="F254" s="4">
        <v>347496.74488865677</v>
      </c>
      <c r="G254" s="4">
        <v>347502.5298557636</v>
      </c>
      <c r="H254" s="5">
        <f t="shared" si="1"/>
        <v>0</v>
      </c>
      <c r="I254" t="s">
        <v>232</v>
      </c>
      <c r="J254" t="s">
        <v>158</v>
      </c>
      <c r="K254" s="5">
        <f>660 / 86400</f>
        <v>7.6388888888888886E-3</v>
      </c>
      <c r="L254" s="5">
        <f>10 / 86400</f>
        <v>1.1574074074074075E-4</v>
      </c>
    </row>
    <row r="255" spans="1:12" x14ac:dyDescent="0.25">
      <c r="A255" s="3">
        <v>45698.321018518516</v>
      </c>
      <c r="B255" t="s">
        <v>231</v>
      </c>
      <c r="C255" s="3">
        <v>45698.323564814811</v>
      </c>
      <c r="D255" t="s">
        <v>233</v>
      </c>
      <c r="E255" s="4">
        <v>2.4315880275964736</v>
      </c>
      <c r="F255" s="4">
        <v>347502.56812581496</v>
      </c>
      <c r="G255" s="4">
        <v>347504.99971384258</v>
      </c>
      <c r="H255" s="5">
        <f t="shared" si="1"/>
        <v>0</v>
      </c>
      <c r="I255" t="s">
        <v>114</v>
      </c>
      <c r="J255" t="s">
        <v>234</v>
      </c>
      <c r="K255" s="5">
        <f>220 / 86400</f>
        <v>2.5462962962962965E-3</v>
      </c>
      <c r="L255" s="5">
        <f>20 / 86400</f>
        <v>2.3148148148148149E-4</v>
      </c>
    </row>
    <row r="256" spans="1:12" x14ac:dyDescent="0.25">
      <c r="A256" s="3">
        <v>45698.323796296296</v>
      </c>
      <c r="B256" t="s">
        <v>233</v>
      </c>
      <c r="C256" s="3">
        <v>45698.328599537039</v>
      </c>
      <c r="D256" t="s">
        <v>235</v>
      </c>
      <c r="E256" s="4">
        <v>3.6984521035552023</v>
      </c>
      <c r="F256" s="4">
        <v>347505.1045004839</v>
      </c>
      <c r="G256" s="4">
        <v>347508.80295258743</v>
      </c>
      <c r="H256" s="5">
        <f t="shared" si="1"/>
        <v>0</v>
      </c>
      <c r="I256" t="s">
        <v>66</v>
      </c>
      <c r="J256" t="s">
        <v>158</v>
      </c>
      <c r="K256" s="5">
        <f>415 / 86400</f>
        <v>4.8032407407407407E-3</v>
      </c>
      <c r="L256" s="5">
        <f>20 / 86400</f>
        <v>2.3148148148148149E-4</v>
      </c>
    </row>
    <row r="257" spans="1:12" x14ac:dyDescent="0.25">
      <c r="A257" s="3">
        <v>45698.328831018516</v>
      </c>
      <c r="B257" t="s">
        <v>236</v>
      </c>
      <c r="C257" s="3">
        <v>45698.32975694444</v>
      </c>
      <c r="D257" t="s">
        <v>115</v>
      </c>
      <c r="E257" s="4">
        <v>0.23176196920871733</v>
      </c>
      <c r="F257" s="4">
        <v>347508.82144893502</v>
      </c>
      <c r="G257" s="4">
        <v>347509.05321090424</v>
      </c>
      <c r="H257" s="5">
        <f t="shared" si="1"/>
        <v>0</v>
      </c>
      <c r="I257" t="s">
        <v>176</v>
      </c>
      <c r="J257" t="s">
        <v>129</v>
      </c>
      <c r="K257" s="5">
        <f>80 / 86400</f>
        <v>9.2592592592592596E-4</v>
      </c>
      <c r="L257" s="5">
        <f>20 / 86400</f>
        <v>2.3148148148148149E-4</v>
      </c>
    </row>
    <row r="258" spans="1:12" x14ac:dyDescent="0.25">
      <c r="A258" s="3">
        <v>45698.329988425925</v>
      </c>
      <c r="B258" t="s">
        <v>115</v>
      </c>
      <c r="C258" s="3">
        <v>45698.330914351856</v>
      </c>
      <c r="D258" t="s">
        <v>237</v>
      </c>
      <c r="E258" s="4">
        <v>0.44905381011962892</v>
      </c>
      <c r="F258" s="4">
        <v>347509.113537292</v>
      </c>
      <c r="G258" s="4">
        <v>347509.56259110215</v>
      </c>
      <c r="H258" s="5">
        <f t="shared" si="1"/>
        <v>0</v>
      </c>
      <c r="I258" t="s">
        <v>203</v>
      </c>
      <c r="J258" t="s">
        <v>22</v>
      </c>
      <c r="K258" s="5">
        <f>80 / 86400</f>
        <v>9.2592592592592596E-4</v>
      </c>
      <c r="L258" s="5">
        <f>40 / 86400</f>
        <v>4.6296296296296298E-4</v>
      </c>
    </row>
    <row r="259" spans="1:12" x14ac:dyDescent="0.25">
      <c r="A259" s="3">
        <v>45698.331377314811</v>
      </c>
      <c r="B259" t="s">
        <v>115</v>
      </c>
      <c r="C259" s="3">
        <v>45698.336377314816</v>
      </c>
      <c r="D259" t="s">
        <v>238</v>
      </c>
      <c r="E259" s="4">
        <v>3.2026306257247925</v>
      </c>
      <c r="F259" s="4">
        <v>347509.64711461117</v>
      </c>
      <c r="G259" s="4">
        <v>347512.84974523686</v>
      </c>
      <c r="H259" s="5">
        <f t="shared" si="1"/>
        <v>0</v>
      </c>
      <c r="I259" t="s">
        <v>199</v>
      </c>
      <c r="J259" t="s">
        <v>185</v>
      </c>
      <c r="K259" s="5">
        <f>432 / 86400</f>
        <v>5.0000000000000001E-3</v>
      </c>
      <c r="L259" s="5">
        <f>20 / 86400</f>
        <v>2.3148148148148149E-4</v>
      </c>
    </row>
    <row r="260" spans="1:12" x14ac:dyDescent="0.25">
      <c r="A260" s="3">
        <v>45698.336608796293</v>
      </c>
      <c r="B260" t="s">
        <v>238</v>
      </c>
      <c r="C260" s="3">
        <v>45698.337673611109</v>
      </c>
      <c r="D260" t="s">
        <v>123</v>
      </c>
      <c r="E260" s="4">
        <v>0.37231992244720458</v>
      </c>
      <c r="F260" s="4">
        <v>347512.90697848029</v>
      </c>
      <c r="G260" s="4">
        <v>347513.27929840272</v>
      </c>
      <c r="H260" s="5">
        <f t="shared" si="1"/>
        <v>0</v>
      </c>
      <c r="I260" t="s">
        <v>229</v>
      </c>
      <c r="J260" t="s">
        <v>57</v>
      </c>
      <c r="K260" s="5">
        <f>92 / 86400</f>
        <v>1.0648148148148149E-3</v>
      </c>
      <c r="L260" s="5">
        <f>612 / 86400</f>
        <v>7.083333333333333E-3</v>
      </c>
    </row>
    <row r="261" spans="1:12" x14ac:dyDescent="0.25">
      <c r="A261" s="3">
        <v>45698.34475694444</v>
      </c>
      <c r="B261" t="s">
        <v>123</v>
      </c>
      <c r="C261" s="3">
        <v>45698.344988425924</v>
      </c>
      <c r="D261" t="s">
        <v>123</v>
      </c>
      <c r="E261" s="4">
        <v>6.0775916576385498E-3</v>
      </c>
      <c r="F261" s="4">
        <v>347513.29166464839</v>
      </c>
      <c r="G261" s="4">
        <v>347513.29774224007</v>
      </c>
      <c r="H261" s="5">
        <f t="shared" si="1"/>
        <v>0</v>
      </c>
      <c r="I261" t="s">
        <v>132</v>
      </c>
      <c r="J261" t="s">
        <v>62</v>
      </c>
      <c r="K261" s="5">
        <f>20 / 86400</f>
        <v>2.3148148148148149E-4</v>
      </c>
      <c r="L261" s="5">
        <f>13 / 86400</f>
        <v>1.5046296296296297E-4</v>
      </c>
    </row>
    <row r="262" spans="1:12" x14ac:dyDescent="0.25">
      <c r="A262" s="3">
        <v>45698.345138888893</v>
      </c>
      <c r="B262" t="s">
        <v>123</v>
      </c>
      <c r="C262" s="3">
        <v>45698.345532407402</v>
      </c>
      <c r="D262" t="s">
        <v>123</v>
      </c>
      <c r="E262" s="4">
        <v>2.8021485507488252E-2</v>
      </c>
      <c r="F262" s="4">
        <v>347513.30382892821</v>
      </c>
      <c r="G262" s="4">
        <v>347513.33185041376</v>
      </c>
      <c r="H262" s="5">
        <f t="shared" si="1"/>
        <v>0</v>
      </c>
      <c r="I262" t="s">
        <v>61</v>
      </c>
      <c r="J262" t="s">
        <v>169</v>
      </c>
      <c r="K262" s="5">
        <f>34 / 86400</f>
        <v>3.9351851851851852E-4</v>
      </c>
      <c r="L262" s="5">
        <f>148 / 86400</f>
        <v>1.712962962962963E-3</v>
      </c>
    </row>
    <row r="263" spans="1:12" x14ac:dyDescent="0.25">
      <c r="A263" s="3">
        <v>45698.347245370373</v>
      </c>
      <c r="B263" t="s">
        <v>123</v>
      </c>
      <c r="C263" s="3">
        <v>45698.349178240736</v>
      </c>
      <c r="D263" t="s">
        <v>123</v>
      </c>
      <c r="E263" s="4">
        <v>1.5548883438110351E-2</v>
      </c>
      <c r="F263" s="4">
        <v>347513.34720809426</v>
      </c>
      <c r="G263" s="4">
        <v>347513.36275697767</v>
      </c>
      <c r="H263" s="5">
        <f t="shared" si="1"/>
        <v>0</v>
      </c>
      <c r="I263" t="s">
        <v>125</v>
      </c>
      <c r="J263" t="s">
        <v>126</v>
      </c>
      <c r="K263" s="5">
        <f>167 / 86400</f>
        <v>1.9328703703703704E-3</v>
      </c>
      <c r="L263" s="5">
        <f>13 / 86400</f>
        <v>1.5046296296296297E-4</v>
      </c>
    </row>
    <row r="264" spans="1:12" x14ac:dyDescent="0.25">
      <c r="A264" s="3">
        <v>45698.349328703705</v>
      </c>
      <c r="B264" t="s">
        <v>123</v>
      </c>
      <c r="C264" s="3">
        <v>45698.351539351846</v>
      </c>
      <c r="D264" t="s">
        <v>128</v>
      </c>
      <c r="E264" s="4">
        <v>0.89377550756931301</v>
      </c>
      <c r="F264" s="4">
        <v>347513.37232787081</v>
      </c>
      <c r="G264" s="4">
        <v>347514.26610337838</v>
      </c>
      <c r="H264" s="5">
        <f t="shared" si="1"/>
        <v>0</v>
      </c>
      <c r="I264" t="s">
        <v>141</v>
      </c>
      <c r="J264" t="s">
        <v>28</v>
      </c>
      <c r="K264" s="5">
        <f>191 / 86400</f>
        <v>2.2106481481481482E-3</v>
      </c>
      <c r="L264" s="5">
        <f>3003 / 86400</f>
        <v>3.4756944444444444E-2</v>
      </c>
    </row>
    <row r="265" spans="1:12" x14ac:dyDescent="0.25">
      <c r="A265" s="3">
        <v>45698.386296296296</v>
      </c>
      <c r="B265" t="s">
        <v>128</v>
      </c>
      <c r="C265" s="3">
        <v>45698.386620370366</v>
      </c>
      <c r="D265" t="s">
        <v>128</v>
      </c>
      <c r="E265" s="4">
        <v>2.3830622076988221E-2</v>
      </c>
      <c r="F265" s="4">
        <v>347514.28674348874</v>
      </c>
      <c r="G265" s="4">
        <v>347514.31057411083</v>
      </c>
      <c r="H265" s="5">
        <f t="shared" si="1"/>
        <v>0</v>
      </c>
      <c r="I265" t="s">
        <v>125</v>
      </c>
      <c r="J265" t="s">
        <v>169</v>
      </c>
      <c r="K265" s="5">
        <f>28 / 86400</f>
        <v>3.2407407407407406E-4</v>
      </c>
      <c r="L265" s="5">
        <f>2 / 86400</f>
        <v>2.3148148148148147E-5</v>
      </c>
    </row>
    <row r="266" spans="1:12" x14ac:dyDescent="0.25">
      <c r="A266" s="3">
        <v>45698.386643518519</v>
      </c>
      <c r="B266" t="s">
        <v>128</v>
      </c>
      <c r="C266" s="3">
        <v>45698.387048611112</v>
      </c>
      <c r="D266" t="s">
        <v>44</v>
      </c>
      <c r="E266" s="4">
        <v>4.8469808518886569E-2</v>
      </c>
      <c r="F266" s="4">
        <v>347514.31449575245</v>
      </c>
      <c r="G266" s="4">
        <v>347514.36296556098</v>
      </c>
      <c r="H266" s="5">
        <f t="shared" si="1"/>
        <v>0</v>
      </c>
      <c r="I266" t="s">
        <v>129</v>
      </c>
      <c r="J266" t="s">
        <v>125</v>
      </c>
      <c r="K266" s="5">
        <f>35 / 86400</f>
        <v>4.0509259259259258E-4</v>
      </c>
      <c r="L266" s="5">
        <f>1864 / 86400</f>
        <v>2.1574074074074075E-2</v>
      </c>
    </row>
    <row r="267" spans="1:12" x14ac:dyDescent="0.25">
      <c r="A267" s="3">
        <v>45698.408622685187</v>
      </c>
      <c r="B267" t="s">
        <v>44</v>
      </c>
      <c r="C267" s="3">
        <v>45698.408854166672</v>
      </c>
      <c r="D267" t="s">
        <v>44</v>
      </c>
      <c r="E267" s="4">
        <v>6.2240131497383116E-3</v>
      </c>
      <c r="F267" s="4">
        <v>347514.38959967048</v>
      </c>
      <c r="G267" s="4">
        <v>347514.39582368365</v>
      </c>
      <c r="H267" s="5">
        <f t="shared" si="1"/>
        <v>0</v>
      </c>
      <c r="I267" t="s">
        <v>132</v>
      </c>
      <c r="J267" t="s">
        <v>62</v>
      </c>
      <c r="K267" s="5">
        <f>20 / 86400</f>
        <v>2.3148148148148149E-4</v>
      </c>
      <c r="L267" s="5">
        <f>45 / 86400</f>
        <v>5.2083333333333333E-4</v>
      </c>
    </row>
    <row r="268" spans="1:12" x14ac:dyDescent="0.25">
      <c r="A268" s="3">
        <v>45698.409375000003</v>
      </c>
      <c r="B268" t="s">
        <v>44</v>
      </c>
      <c r="C268" s="3">
        <v>45698.411886574075</v>
      </c>
      <c r="D268" t="s">
        <v>137</v>
      </c>
      <c r="E268" s="4">
        <v>0.99622075682878497</v>
      </c>
      <c r="F268" s="4">
        <v>347514.40205353318</v>
      </c>
      <c r="G268" s="4">
        <v>347515.39827429003</v>
      </c>
      <c r="H268" s="5">
        <f t="shared" si="1"/>
        <v>0</v>
      </c>
      <c r="I268" t="s">
        <v>185</v>
      </c>
      <c r="J268" t="s">
        <v>28</v>
      </c>
      <c r="K268" s="5">
        <f>217 / 86400</f>
        <v>2.5115740740740741E-3</v>
      </c>
      <c r="L268" s="5">
        <f>40 / 86400</f>
        <v>4.6296296296296298E-4</v>
      </c>
    </row>
    <row r="269" spans="1:12" x14ac:dyDescent="0.25">
      <c r="A269" s="3">
        <v>45698.412349537037</v>
      </c>
      <c r="B269" t="s">
        <v>137</v>
      </c>
      <c r="C269" s="3">
        <v>45698.412581018521</v>
      </c>
      <c r="D269" t="s">
        <v>137</v>
      </c>
      <c r="E269" s="4">
        <v>2.9644138216972349E-3</v>
      </c>
      <c r="F269" s="4">
        <v>347515.40300343197</v>
      </c>
      <c r="G269" s="4">
        <v>347515.40596784581</v>
      </c>
      <c r="H269" s="5">
        <f t="shared" si="1"/>
        <v>0</v>
      </c>
      <c r="I269" t="s">
        <v>62</v>
      </c>
      <c r="J269" t="s">
        <v>62</v>
      </c>
      <c r="K269" s="5">
        <f>20 / 86400</f>
        <v>2.3148148148148149E-4</v>
      </c>
      <c r="L269" s="5">
        <f>47 / 86400</f>
        <v>5.4398148148148144E-4</v>
      </c>
    </row>
    <row r="270" spans="1:12" x14ac:dyDescent="0.25">
      <c r="A270" s="3">
        <v>45698.413124999999</v>
      </c>
      <c r="B270" t="s">
        <v>137</v>
      </c>
      <c r="C270" s="3">
        <v>45698.413784722223</v>
      </c>
      <c r="D270" t="s">
        <v>137</v>
      </c>
      <c r="E270" s="4">
        <v>4.6834369242191316E-2</v>
      </c>
      <c r="F270" s="4">
        <v>347515.410386506</v>
      </c>
      <c r="G270" s="4">
        <v>347515.45722087525</v>
      </c>
      <c r="H270" s="5">
        <f t="shared" si="1"/>
        <v>0</v>
      </c>
      <c r="I270" t="s">
        <v>168</v>
      </c>
      <c r="J270" t="s">
        <v>169</v>
      </c>
      <c r="K270" s="5">
        <f>57 / 86400</f>
        <v>6.5972222222222224E-4</v>
      </c>
      <c r="L270" s="5">
        <f>1340 / 86400</f>
        <v>1.5509259259259259E-2</v>
      </c>
    </row>
    <row r="271" spans="1:12" x14ac:dyDescent="0.25">
      <c r="A271" s="3">
        <v>45698.429293981477</v>
      </c>
      <c r="B271" t="s">
        <v>137</v>
      </c>
      <c r="C271" s="3">
        <v>45698.431145833332</v>
      </c>
      <c r="D271" t="s">
        <v>142</v>
      </c>
      <c r="E271" s="4">
        <v>0.73412136965990071</v>
      </c>
      <c r="F271" s="4">
        <v>347515.49148286763</v>
      </c>
      <c r="G271" s="4">
        <v>347516.22560423723</v>
      </c>
      <c r="H271" s="5">
        <f t="shared" si="1"/>
        <v>0</v>
      </c>
      <c r="I271" t="s">
        <v>136</v>
      </c>
      <c r="J271" t="s">
        <v>28</v>
      </c>
      <c r="K271" s="5">
        <f>160 / 86400</f>
        <v>1.8518518518518519E-3</v>
      </c>
      <c r="L271" s="5">
        <f>15 / 86400</f>
        <v>1.7361111111111112E-4</v>
      </c>
    </row>
    <row r="272" spans="1:12" x14ac:dyDescent="0.25">
      <c r="A272" s="3">
        <v>45698.43131944444</v>
      </c>
      <c r="B272" t="s">
        <v>142</v>
      </c>
      <c r="C272" s="3">
        <v>45698.432627314818</v>
      </c>
      <c r="D272" t="s">
        <v>123</v>
      </c>
      <c r="E272" s="4">
        <v>0.57384240794181829</v>
      </c>
      <c r="F272" s="4">
        <v>347516.25324451114</v>
      </c>
      <c r="G272" s="4">
        <v>347516.82708691905</v>
      </c>
      <c r="H272" s="5">
        <f t="shared" si="1"/>
        <v>0</v>
      </c>
      <c r="I272" t="s">
        <v>185</v>
      </c>
      <c r="J272" t="s">
        <v>25</v>
      </c>
      <c r="K272" s="5">
        <f>113 / 86400</f>
        <v>1.3078703703703703E-3</v>
      </c>
      <c r="L272" s="5">
        <f>81 / 86400</f>
        <v>9.3749999999999997E-4</v>
      </c>
    </row>
    <row r="273" spans="1:12" x14ac:dyDescent="0.25">
      <c r="A273" s="3">
        <v>45698.433564814812</v>
      </c>
      <c r="B273" t="s">
        <v>123</v>
      </c>
      <c r="C273" s="3">
        <v>45698.433796296296</v>
      </c>
      <c r="D273" t="s">
        <v>123</v>
      </c>
      <c r="E273" s="4">
        <v>5.7622075080871577E-4</v>
      </c>
      <c r="F273" s="4">
        <v>347516.83636531979</v>
      </c>
      <c r="G273" s="4">
        <v>347516.83694154053</v>
      </c>
      <c r="H273" s="5">
        <f t="shared" si="1"/>
        <v>0</v>
      </c>
      <c r="I273" t="s">
        <v>62</v>
      </c>
      <c r="J273" t="s">
        <v>126</v>
      </c>
      <c r="K273" s="5">
        <f>20 / 86400</f>
        <v>2.3148148148148149E-4</v>
      </c>
      <c r="L273" s="5">
        <f>5515 / 86400</f>
        <v>6.3831018518518523E-2</v>
      </c>
    </row>
    <row r="274" spans="1:12" x14ac:dyDescent="0.25">
      <c r="A274" s="3">
        <v>45698.497627314813</v>
      </c>
      <c r="B274" t="s">
        <v>123</v>
      </c>
      <c r="C274" s="3">
        <v>45698.498761574076</v>
      </c>
      <c r="D274" t="s">
        <v>139</v>
      </c>
      <c r="E274" s="4">
        <v>0.2526916867494583</v>
      </c>
      <c r="F274" s="4">
        <v>347516.88259306998</v>
      </c>
      <c r="G274" s="4">
        <v>347517.13528475672</v>
      </c>
      <c r="H274" s="5">
        <f t="shared" si="1"/>
        <v>0</v>
      </c>
      <c r="I274" t="s">
        <v>136</v>
      </c>
      <c r="J274" t="s">
        <v>138</v>
      </c>
      <c r="K274" s="5">
        <f>98 / 86400</f>
        <v>1.1342592592592593E-3</v>
      </c>
      <c r="L274" s="5">
        <f>20 / 86400</f>
        <v>2.3148148148148149E-4</v>
      </c>
    </row>
    <row r="275" spans="1:12" x14ac:dyDescent="0.25">
      <c r="A275" s="3">
        <v>45698.49899305556</v>
      </c>
      <c r="B275" t="s">
        <v>139</v>
      </c>
      <c r="C275" s="3">
        <v>45698.505196759259</v>
      </c>
      <c r="D275" t="s">
        <v>239</v>
      </c>
      <c r="E275" s="4">
        <v>3.5583575387001036</v>
      </c>
      <c r="F275" s="4">
        <v>347517.13849146001</v>
      </c>
      <c r="G275" s="4">
        <v>347520.69684899872</v>
      </c>
      <c r="H275" s="5">
        <f t="shared" si="1"/>
        <v>0</v>
      </c>
      <c r="I275" t="s">
        <v>205</v>
      </c>
      <c r="J275" t="s">
        <v>36</v>
      </c>
      <c r="K275" s="5">
        <f>536 / 86400</f>
        <v>6.2037037037037035E-3</v>
      </c>
      <c r="L275" s="5">
        <f>2 / 86400</f>
        <v>2.3148148148148147E-5</v>
      </c>
    </row>
    <row r="276" spans="1:12" x14ac:dyDescent="0.25">
      <c r="A276" s="3">
        <v>45698.505219907413</v>
      </c>
      <c r="B276" t="s">
        <v>239</v>
      </c>
      <c r="C276" s="3">
        <v>45698.506550925929</v>
      </c>
      <c r="D276" t="s">
        <v>240</v>
      </c>
      <c r="E276" s="4">
        <v>0.5537248783707619</v>
      </c>
      <c r="F276" s="4">
        <v>347520.70219966327</v>
      </c>
      <c r="G276" s="4">
        <v>347521.25592454168</v>
      </c>
      <c r="H276" s="5">
        <f t="shared" si="1"/>
        <v>0</v>
      </c>
      <c r="I276" t="s">
        <v>193</v>
      </c>
      <c r="J276" t="s">
        <v>28</v>
      </c>
      <c r="K276" s="5">
        <f>115 / 86400</f>
        <v>1.3310185185185185E-3</v>
      </c>
      <c r="L276" s="5">
        <f>43 / 86400</f>
        <v>4.9768518518518521E-4</v>
      </c>
    </row>
    <row r="277" spans="1:12" x14ac:dyDescent="0.25">
      <c r="A277" s="3">
        <v>45698.507048611107</v>
      </c>
      <c r="B277" t="s">
        <v>241</v>
      </c>
      <c r="C277" s="3">
        <v>45698.507280092592</v>
      </c>
      <c r="D277" t="s">
        <v>240</v>
      </c>
      <c r="E277" s="4">
        <v>1.8798808813095091E-2</v>
      </c>
      <c r="F277" s="4">
        <v>347521.28005741595</v>
      </c>
      <c r="G277" s="4">
        <v>347521.29885622475</v>
      </c>
      <c r="H277" s="5">
        <f t="shared" si="1"/>
        <v>0</v>
      </c>
      <c r="I277" t="s">
        <v>61</v>
      </c>
      <c r="J277" t="s">
        <v>169</v>
      </c>
      <c r="K277" s="5">
        <f>20 / 86400</f>
        <v>2.3148148148148149E-4</v>
      </c>
      <c r="L277" s="5">
        <f>20 / 86400</f>
        <v>2.3148148148148149E-4</v>
      </c>
    </row>
    <row r="278" spans="1:12" x14ac:dyDescent="0.25">
      <c r="A278" s="3">
        <v>45698.507511574076</v>
      </c>
      <c r="B278" t="s">
        <v>240</v>
      </c>
      <c r="C278" s="3">
        <v>45698.507743055554</v>
      </c>
      <c r="D278" t="s">
        <v>240</v>
      </c>
      <c r="E278" s="4">
        <v>5.3209190964698793E-3</v>
      </c>
      <c r="F278" s="4">
        <v>347521.30019948957</v>
      </c>
      <c r="G278" s="4">
        <v>347521.30552040867</v>
      </c>
      <c r="H278" s="5">
        <f t="shared" si="1"/>
        <v>0</v>
      </c>
      <c r="I278" t="s">
        <v>62</v>
      </c>
      <c r="J278" t="s">
        <v>62</v>
      </c>
      <c r="K278" s="5">
        <f>20 / 86400</f>
        <v>2.3148148148148149E-4</v>
      </c>
      <c r="L278" s="5">
        <f>40 / 86400</f>
        <v>4.6296296296296298E-4</v>
      </c>
    </row>
    <row r="279" spans="1:12" x14ac:dyDescent="0.25">
      <c r="A279" s="3">
        <v>45698.508206018523</v>
      </c>
      <c r="B279" t="s">
        <v>240</v>
      </c>
      <c r="C279" s="3">
        <v>45698.511145833334</v>
      </c>
      <c r="D279" t="s">
        <v>115</v>
      </c>
      <c r="E279" s="4">
        <v>1.2029458227157592</v>
      </c>
      <c r="F279" s="4">
        <v>347521.31383010012</v>
      </c>
      <c r="G279" s="4">
        <v>347522.51677592285</v>
      </c>
      <c r="H279" s="5">
        <f t="shared" si="1"/>
        <v>0</v>
      </c>
      <c r="I279" t="s">
        <v>143</v>
      </c>
      <c r="J279" t="s">
        <v>28</v>
      </c>
      <c r="K279" s="5">
        <f>254 / 86400</f>
        <v>2.9398148148148148E-3</v>
      </c>
      <c r="L279" s="5">
        <f>11 / 86400</f>
        <v>1.273148148148148E-4</v>
      </c>
    </row>
    <row r="280" spans="1:12" x14ac:dyDescent="0.25">
      <c r="A280" s="3">
        <v>45698.511273148149</v>
      </c>
      <c r="B280" t="s">
        <v>115</v>
      </c>
      <c r="C280" s="3">
        <v>45698.511967592596</v>
      </c>
      <c r="D280" t="s">
        <v>115</v>
      </c>
      <c r="E280" s="4">
        <v>0.360598635494709</v>
      </c>
      <c r="F280" s="4">
        <v>347522.5236557824</v>
      </c>
      <c r="G280" s="4">
        <v>347522.88425441791</v>
      </c>
      <c r="H280" s="5">
        <f t="shared" si="1"/>
        <v>0</v>
      </c>
      <c r="I280" t="s">
        <v>158</v>
      </c>
      <c r="J280" t="s">
        <v>147</v>
      </c>
      <c r="K280" s="5">
        <f>60 / 86400</f>
        <v>6.9444444444444447E-4</v>
      </c>
      <c r="L280" s="5">
        <f>20 / 86400</f>
        <v>2.3148148148148149E-4</v>
      </c>
    </row>
    <row r="281" spans="1:12" x14ac:dyDescent="0.25">
      <c r="A281" s="3">
        <v>45698.512199074074</v>
      </c>
      <c r="B281" t="s">
        <v>115</v>
      </c>
      <c r="C281" s="3">
        <v>45698.513981481483</v>
      </c>
      <c r="D281" t="s">
        <v>242</v>
      </c>
      <c r="E281" s="4">
        <v>1.4751998465061187</v>
      </c>
      <c r="F281" s="4">
        <v>347522.91815750813</v>
      </c>
      <c r="G281" s="4">
        <v>347524.39335735462</v>
      </c>
      <c r="H281" s="5">
        <f t="shared" si="1"/>
        <v>0</v>
      </c>
      <c r="I281" t="s">
        <v>154</v>
      </c>
      <c r="J281" t="s">
        <v>149</v>
      </c>
      <c r="K281" s="5">
        <f>154 / 86400</f>
        <v>1.7824074074074075E-3</v>
      </c>
      <c r="L281" s="5">
        <f>20 / 86400</f>
        <v>2.3148148148148149E-4</v>
      </c>
    </row>
    <row r="282" spans="1:12" x14ac:dyDescent="0.25">
      <c r="A282" s="3">
        <v>45698.514212962968</v>
      </c>
      <c r="B282" t="s">
        <v>243</v>
      </c>
      <c r="C282" s="3">
        <v>45698.515370370369</v>
      </c>
      <c r="D282" t="s">
        <v>233</v>
      </c>
      <c r="E282" s="4">
        <v>0.9657626764774323</v>
      </c>
      <c r="F282" s="4">
        <v>347524.42895848374</v>
      </c>
      <c r="G282" s="4">
        <v>347525.39472116024</v>
      </c>
      <c r="H282" s="5">
        <f t="shared" si="1"/>
        <v>0</v>
      </c>
      <c r="I282" t="s">
        <v>188</v>
      </c>
      <c r="J282" t="s">
        <v>203</v>
      </c>
      <c r="K282" s="5">
        <f>100 / 86400</f>
        <v>1.1574074074074073E-3</v>
      </c>
      <c r="L282" s="5">
        <f>20 / 86400</f>
        <v>2.3148148148148149E-4</v>
      </c>
    </row>
    <row r="283" spans="1:12" x14ac:dyDescent="0.25">
      <c r="A283" s="3">
        <v>45698.515601851846</v>
      </c>
      <c r="B283" t="s">
        <v>244</v>
      </c>
      <c r="C283" s="3">
        <v>45698.516759259262</v>
      </c>
      <c r="D283" t="s">
        <v>119</v>
      </c>
      <c r="E283" s="4">
        <v>1.6566394973397256</v>
      </c>
      <c r="F283" s="4">
        <v>347525.50001470564</v>
      </c>
      <c r="G283" s="4">
        <v>347527.15665420302</v>
      </c>
      <c r="H283" s="5">
        <f t="shared" si="1"/>
        <v>0</v>
      </c>
      <c r="I283" t="s">
        <v>30</v>
      </c>
      <c r="J283" t="s">
        <v>167</v>
      </c>
      <c r="K283" s="5">
        <f>100 / 86400</f>
        <v>1.1574074074074073E-3</v>
      </c>
      <c r="L283" s="5">
        <f>20 / 86400</f>
        <v>2.3148148148148149E-4</v>
      </c>
    </row>
    <row r="284" spans="1:12" x14ac:dyDescent="0.25">
      <c r="A284" s="3">
        <v>45698.51699074074</v>
      </c>
      <c r="B284" t="s">
        <v>119</v>
      </c>
      <c r="C284" s="3">
        <v>45698.519768518519</v>
      </c>
      <c r="D284" t="s">
        <v>231</v>
      </c>
      <c r="E284" s="4">
        <v>2.4083314995765686</v>
      </c>
      <c r="F284" s="4">
        <v>347527.16093685414</v>
      </c>
      <c r="G284" s="4">
        <v>347529.56926835369</v>
      </c>
      <c r="H284" s="5">
        <f t="shared" si="1"/>
        <v>0</v>
      </c>
      <c r="I284" t="s">
        <v>232</v>
      </c>
      <c r="J284" t="s">
        <v>229</v>
      </c>
      <c r="K284" s="5">
        <f>240 / 86400</f>
        <v>2.7777777777777779E-3</v>
      </c>
      <c r="L284" s="5">
        <f>5 / 86400</f>
        <v>5.7870370370370373E-5</v>
      </c>
    </row>
    <row r="285" spans="1:12" x14ac:dyDescent="0.25">
      <c r="A285" s="3">
        <v>45698.519826388889</v>
      </c>
      <c r="B285" t="s">
        <v>231</v>
      </c>
      <c r="C285" s="3">
        <v>45698.522199074076</v>
      </c>
      <c r="D285" t="s">
        <v>245</v>
      </c>
      <c r="E285" s="4">
        <v>2.0070025926828383</v>
      </c>
      <c r="F285" s="4">
        <v>347529.57169562875</v>
      </c>
      <c r="G285" s="4">
        <v>347531.57869822142</v>
      </c>
      <c r="H285" s="5">
        <f t="shared" si="1"/>
        <v>0</v>
      </c>
      <c r="I285" t="s">
        <v>56</v>
      </c>
      <c r="J285" t="s">
        <v>203</v>
      </c>
      <c r="K285" s="5">
        <f>205 / 86400</f>
        <v>2.3726851851851851E-3</v>
      </c>
      <c r="L285" s="5">
        <f>20 / 86400</f>
        <v>2.3148148148148149E-4</v>
      </c>
    </row>
    <row r="286" spans="1:12" x14ac:dyDescent="0.25">
      <c r="A286" s="3">
        <v>45698.52243055556</v>
      </c>
      <c r="B286" t="s">
        <v>245</v>
      </c>
      <c r="C286" s="3">
        <v>45698.524988425925</v>
      </c>
      <c r="D286" t="s">
        <v>246</v>
      </c>
      <c r="E286" s="4">
        <v>2.0716706630587578</v>
      </c>
      <c r="F286" s="4">
        <v>347531.6000775306</v>
      </c>
      <c r="G286" s="4">
        <v>347533.67174819368</v>
      </c>
      <c r="H286" s="5">
        <f t="shared" si="1"/>
        <v>0</v>
      </c>
      <c r="I286" t="s">
        <v>24</v>
      </c>
      <c r="J286" t="s">
        <v>149</v>
      </c>
      <c r="K286" s="5">
        <f>221 / 86400</f>
        <v>2.5578703703703705E-3</v>
      </c>
      <c r="L286" s="5">
        <f>19 / 86400</f>
        <v>2.199074074074074E-4</v>
      </c>
    </row>
    <row r="287" spans="1:12" x14ac:dyDescent="0.25">
      <c r="A287" s="3">
        <v>45698.525208333333</v>
      </c>
      <c r="B287" t="s">
        <v>144</v>
      </c>
      <c r="C287" s="3">
        <v>45698.527766203704</v>
      </c>
      <c r="D287" t="s">
        <v>144</v>
      </c>
      <c r="E287" s="4">
        <v>2.1733652735948561</v>
      </c>
      <c r="F287" s="4">
        <v>347533.76018063526</v>
      </c>
      <c r="G287" s="4">
        <v>347535.93354590889</v>
      </c>
      <c r="H287" s="5">
        <f t="shared" si="1"/>
        <v>0</v>
      </c>
      <c r="I287" t="s">
        <v>232</v>
      </c>
      <c r="J287" t="s">
        <v>203</v>
      </c>
      <c r="K287" s="5">
        <f>221 / 86400</f>
        <v>2.5578703703703705E-3</v>
      </c>
      <c r="L287" s="5">
        <f>19 / 86400</f>
        <v>2.199074074074074E-4</v>
      </c>
    </row>
    <row r="288" spans="1:12" x14ac:dyDescent="0.25">
      <c r="A288" s="3">
        <v>45698.527986111112</v>
      </c>
      <c r="B288" t="s">
        <v>144</v>
      </c>
      <c r="C288" s="3">
        <v>45698.528229166666</v>
      </c>
      <c r="D288" t="s">
        <v>144</v>
      </c>
      <c r="E288" s="4">
        <v>1.2889870822429657E-2</v>
      </c>
      <c r="F288" s="4">
        <v>347535.99162642006</v>
      </c>
      <c r="G288" s="4">
        <v>347536.00451629091</v>
      </c>
      <c r="H288" s="5">
        <f t="shared" si="1"/>
        <v>0</v>
      </c>
      <c r="I288" t="s">
        <v>31</v>
      </c>
      <c r="J288" t="s">
        <v>132</v>
      </c>
      <c r="K288" s="5">
        <f>21 / 86400</f>
        <v>2.4305555555555555E-4</v>
      </c>
      <c r="L288" s="5">
        <f>80 / 86400</f>
        <v>9.2592592592592596E-4</v>
      </c>
    </row>
    <row r="289" spans="1:12" x14ac:dyDescent="0.25">
      <c r="A289" s="3">
        <v>45698.52915509259</v>
      </c>
      <c r="B289" t="s">
        <v>144</v>
      </c>
      <c r="C289" s="3">
        <v>45698.529386574075</v>
      </c>
      <c r="D289" t="s">
        <v>144</v>
      </c>
      <c r="E289" s="4">
        <v>1.7907968044281006E-2</v>
      </c>
      <c r="F289" s="4">
        <v>347536.04062978993</v>
      </c>
      <c r="G289" s="4">
        <v>347536.05853775801</v>
      </c>
      <c r="H289" s="5">
        <f t="shared" si="1"/>
        <v>0</v>
      </c>
      <c r="I289" t="s">
        <v>61</v>
      </c>
      <c r="J289" t="s">
        <v>169</v>
      </c>
      <c r="K289" s="5">
        <f>20 / 86400</f>
        <v>2.3148148148148149E-4</v>
      </c>
      <c r="L289" s="5">
        <f>20 / 86400</f>
        <v>2.3148148148148149E-4</v>
      </c>
    </row>
    <row r="290" spans="1:12" x14ac:dyDescent="0.25">
      <c r="A290" s="3">
        <v>45698.52961805556</v>
      </c>
      <c r="B290" t="s">
        <v>162</v>
      </c>
      <c r="C290" s="3">
        <v>45698.529849537037</v>
      </c>
      <c r="D290" t="s">
        <v>162</v>
      </c>
      <c r="E290" s="4">
        <v>3.0175573050975801E-2</v>
      </c>
      <c r="F290" s="4">
        <v>347536.06937607483</v>
      </c>
      <c r="G290" s="4">
        <v>347536.0995516479</v>
      </c>
      <c r="H290" s="5">
        <f t="shared" si="1"/>
        <v>0</v>
      </c>
      <c r="I290" t="s">
        <v>89</v>
      </c>
      <c r="J290" t="s">
        <v>125</v>
      </c>
      <c r="K290" s="5">
        <f>20 / 86400</f>
        <v>2.3148148148148149E-4</v>
      </c>
      <c r="L290" s="5">
        <f>59 / 86400</f>
        <v>6.8287037037037036E-4</v>
      </c>
    </row>
    <row r="291" spans="1:12" x14ac:dyDescent="0.25">
      <c r="A291" s="3">
        <v>45698.530532407407</v>
      </c>
      <c r="B291" t="s">
        <v>162</v>
      </c>
      <c r="C291" s="3">
        <v>45698.534236111111</v>
      </c>
      <c r="D291" t="s">
        <v>192</v>
      </c>
      <c r="E291" s="4">
        <v>2.5440312010645867</v>
      </c>
      <c r="F291" s="4">
        <v>347536.11110084894</v>
      </c>
      <c r="G291" s="4">
        <v>347538.65513204999</v>
      </c>
      <c r="H291" s="5">
        <f t="shared" si="1"/>
        <v>0</v>
      </c>
      <c r="I291" t="s">
        <v>155</v>
      </c>
      <c r="J291" t="s">
        <v>193</v>
      </c>
      <c r="K291" s="5">
        <f>320 / 86400</f>
        <v>3.7037037037037038E-3</v>
      </c>
      <c r="L291" s="5">
        <f>80 / 86400</f>
        <v>9.2592592592592596E-4</v>
      </c>
    </row>
    <row r="292" spans="1:12" x14ac:dyDescent="0.25">
      <c r="A292" s="3">
        <v>45698.535162037035</v>
      </c>
      <c r="B292" t="s">
        <v>204</v>
      </c>
      <c r="C292" s="3">
        <v>45698.536087962959</v>
      </c>
      <c r="D292" t="s">
        <v>192</v>
      </c>
      <c r="E292" s="4">
        <v>0.74768940252065663</v>
      </c>
      <c r="F292" s="4">
        <v>347538.70050299948</v>
      </c>
      <c r="G292" s="4">
        <v>347539.44819240202</v>
      </c>
      <c r="H292" s="5">
        <f t="shared" si="1"/>
        <v>0</v>
      </c>
      <c r="I292" t="s">
        <v>154</v>
      </c>
      <c r="J292" t="s">
        <v>149</v>
      </c>
      <c r="K292" s="5">
        <f>80 / 86400</f>
        <v>9.2592592592592596E-4</v>
      </c>
      <c r="L292" s="5">
        <f>60 / 86400</f>
        <v>6.9444444444444447E-4</v>
      </c>
    </row>
    <row r="293" spans="1:12" x14ac:dyDescent="0.25">
      <c r="A293" s="3">
        <v>45698.536782407406</v>
      </c>
      <c r="B293" t="s">
        <v>192</v>
      </c>
      <c r="C293" s="3">
        <v>45698.537939814814</v>
      </c>
      <c r="D293" t="s">
        <v>192</v>
      </c>
      <c r="E293" s="4">
        <v>0.91796637117862701</v>
      </c>
      <c r="F293" s="4">
        <v>347539.4809526875</v>
      </c>
      <c r="G293" s="4">
        <v>347540.39891905867</v>
      </c>
      <c r="H293" s="5">
        <f t="shared" si="1"/>
        <v>0</v>
      </c>
      <c r="I293" t="s">
        <v>189</v>
      </c>
      <c r="J293" t="s">
        <v>211</v>
      </c>
      <c r="K293" s="5">
        <f>100 / 86400</f>
        <v>1.1574074074074073E-3</v>
      </c>
      <c r="L293" s="5">
        <f>26 / 86400</f>
        <v>3.0092592592592595E-4</v>
      </c>
    </row>
    <row r="294" spans="1:12" x14ac:dyDescent="0.25">
      <c r="A294" s="3">
        <v>45698.538240740745</v>
      </c>
      <c r="B294" t="s">
        <v>192</v>
      </c>
      <c r="C294" s="3">
        <v>45698.539687500001</v>
      </c>
      <c r="D294" t="s">
        <v>111</v>
      </c>
      <c r="E294" s="4">
        <v>1.3052545384168626</v>
      </c>
      <c r="F294" s="4">
        <v>347540.4041574123</v>
      </c>
      <c r="G294" s="4">
        <v>347541.70941195072</v>
      </c>
      <c r="H294" s="5">
        <f t="shared" si="1"/>
        <v>0</v>
      </c>
      <c r="I294" t="s">
        <v>247</v>
      </c>
      <c r="J294" t="s">
        <v>143</v>
      </c>
      <c r="K294" s="5">
        <f>125 / 86400</f>
        <v>1.4467592592592592E-3</v>
      </c>
      <c r="L294" s="5">
        <f>20 / 86400</f>
        <v>2.3148148148148149E-4</v>
      </c>
    </row>
    <row r="295" spans="1:12" x14ac:dyDescent="0.25">
      <c r="A295" s="3">
        <v>45698.539918981478</v>
      </c>
      <c r="B295" t="s">
        <v>248</v>
      </c>
      <c r="C295" s="3">
        <v>45698.541076388894</v>
      </c>
      <c r="D295" t="s">
        <v>111</v>
      </c>
      <c r="E295" s="4">
        <v>0.61440835517644887</v>
      </c>
      <c r="F295" s="4">
        <v>347541.73199707194</v>
      </c>
      <c r="G295" s="4">
        <v>347542.34640542709</v>
      </c>
      <c r="H295" s="5">
        <f t="shared" si="1"/>
        <v>0</v>
      </c>
      <c r="I295" t="s">
        <v>215</v>
      </c>
      <c r="J295" t="s">
        <v>147</v>
      </c>
      <c r="K295" s="5">
        <f>100 / 86400</f>
        <v>1.1574074074074073E-3</v>
      </c>
      <c r="L295" s="5">
        <f>20 / 86400</f>
        <v>2.3148148148148149E-4</v>
      </c>
    </row>
    <row r="296" spans="1:12" x14ac:dyDescent="0.25">
      <c r="A296" s="3">
        <v>45698.541307870371</v>
      </c>
      <c r="B296" t="s">
        <v>111</v>
      </c>
      <c r="C296" s="3">
        <v>45698.54378472222</v>
      </c>
      <c r="D296" t="s">
        <v>118</v>
      </c>
      <c r="E296" s="4">
        <v>1.704459440588951</v>
      </c>
      <c r="F296" s="4">
        <v>347542.35170754598</v>
      </c>
      <c r="G296" s="4">
        <v>347544.05616698659</v>
      </c>
      <c r="H296" s="5">
        <f t="shared" si="1"/>
        <v>0</v>
      </c>
      <c r="I296" t="s">
        <v>154</v>
      </c>
      <c r="J296" t="s">
        <v>193</v>
      </c>
      <c r="K296" s="5">
        <f>214 / 86400</f>
        <v>2.476851851851852E-3</v>
      </c>
      <c r="L296" s="5">
        <f>2 / 86400</f>
        <v>2.3148148148148147E-5</v>
      </c>
    </row>
    <row r="297" spans="1:12" x14ac:dyDescent="0.25">
      <c r="A297" s="3">
        <v>45698.543807870374</v>
      </c>
      <c r="B297" t="s">
        <v>118</v>
      </c>
      <c r="C297" s="3">
        <v>45698.546620370369</v>
      </c>
      <c r="D297" t="s">
        <v>95</v>
      </c>
      <c r="E297" s="4">
        <v>2.5070707907676697</v>
      </c>
      <c r="F297" s="4">
        <v>347544.05852117058</v>
      </c>
      <c r="G297" s="4">
        <v>347546.56559196132</v>
      </c>
      <c r="H297" s="5">
        <f t="shared" si="1"/>
        <v>0</v>
      </c>
      <c r="I297" t="s">
        <v>32</v>
      </c>
      <c r="J297" t="s">
        <v>141</v>
      </c>
      <c r="K297" s="5">
        <f>243 / 86400</f>
        <v>2.8124999999999999E-3</v>
      </c>
      <c r="L297" s="5">
        <f>20 / 86400</f>
        <v>2.3148148148148149E-4</v>
      </c>
    </row>
    <row r="298" spans="1:12" x14ac:dyDescent="0.25">
      <c r="A298" s="3">
        <v>45698.546851851846</v>
      </c>
      <c r="B298" t="s">
        <v>95</v>
      </c>
      <c r="C298" s="3">
        <v>45698.547314814816</v>
      </c>
      <c r="D298" t="s">
        <v>95</v>
      </c>
      <c r="E298" s="4">
        <v>4.4415126919746396E-2</v>
      </c>
      <c r="F298" s="4">
        <v>347546.64203769842</v>
      </c>
      <c r="G298" s="4">
        <v>347546.68645282532</v>
      </c>
      <c r="H298" s="5">
        <f t="shared" si="1"/>
        <v>0</v>
      </c>
      <c r="I298" t="s">
        <v>47</v>
      </c>
      <c r="J298" t="s">
        <v>43</v>
      </c>
      <c r="K298" s="5">
        <f>40 / 86400</f>
        <v>4.6296296296296298E-4</v>
      </c>
      <c r="L298" s="5">
        <f>12 / 86400</f>
        <v>1.3888888888888889E-4</v>
      </c>
    </row>
    <row r="299" spans="1:12" x14ac:dyDescent="0.25">
      <c r="A299" s="3">
        <v>45698.547453703708</v>
      </c>
      <c r="B299" t="s">
        <v>95</v>
      </c>
      <c r="C299" s="3">
        <v>45698.547916666663</v>
      </c>
      <c r="D299" t="s">
        <v>95</v>
      </c>
      <c r="E299" s="4">
        <v>9.9492330849170682E-2</v>
      </c>
      <c r="F299" s="4">
        <v>347546.68922457565</v>
      </c>
      <c r="G299" s="4">
        <v>347546.78871690651</v>
      </c>
      <c r="H299" s="5">
        <f t="shared" si="1"/>
        <v>0</v>
      </c>
      <c r="I299" t="s">
        <v>102</v>
      </c>
      <c r="J299" t="s">
        <v>138</v>
      </c>
      <c r="K299" s="5">
        <f>40 / 86400</f>
        <v>4.6296296296296298E-4</v>
      </c>
      <c r="L299" s="5">
        <f>83 / 86400</f>
        <v>9.6064814814814819E-4</v>
      </c>
    </row>
    <row r="300" spans="1:12" x14ac:dyDescent="0.25">
      <c r="A300" s="3">
        <v>45698.54887731481</v>
      </c>
      <c r="B300" t="s">
        <v>95</v>
      </c>
      <c r="C300" s="3">
        <v>45698.549803240741</v>
      </c>
      <c r="D300" t="s">
        <v>95</v>
      </c>
      <c r="E300" s="4">
        <v>0.51161386781930929</v>
      </c>
      <c r="F300" s="4">
        <v>347546.83107765153</v>
      </c>
      <c r="G300" s="4">
        <v>347547.3426915193</v>
      </c>
      <c r="H300" s="5">
        <f t="shared" si="1"/>
        <v>0</v>
      </c>
      <c r="I300" t="s">
        <v>131</v>
      </c>
      <c r="J300" t="s">
        <v>47</v>
      </c>
      <c r="K300" s="5">
        <f>80 / 86400</f>
        <v>9.2592592592592596E-4</v>
      </c>
      <c r="L300" s="5">
        <f>20 / 86400</f>
        <v>2.3148148148148149E-4</v>
      </c>
    </row>
    <row r="301" spans="1:12" x14ac:dyDescent="0.25">
      <c r="A301" s="3">
        <v>45698.550034722226</v>
      </c>
      <c r="B301" t="s">
        <v>249</v>
      </c>
      <c r="C301" s="3">
        <v>45698.553668981476</v>
      </c>
      <c r="D301" t="s">
        <v>227</v>
      </c>
      <c r="E301" s="4">
        <v>1.2798488529920578</v>
      </c>
      <c r="F301" s="4">
        <v>347547.35842162685</v>
      </c>
      <c r="G301" s="4">
        <v>347548.63827047986</v>
      </c>
      <c r="H301" s="5">
        <f t="shared" si="1"/>
        <v>0</v>
      </c>
      <c r="I301" t="s">
        <v>200</v>
      </c>
      <c r="J301" t="s">
        <v>57</v>
      </c>
      <c r="K301" s="5">
        <f>314 / 86400</f>
        <v>3.6342592592592594E-3</v>
      </c>
      <c r="L301" s="5">
        <f>10 / 86400</f>
        <v>1.1574074074074075E-4</v>
      </c>
    </row>
    <row r="302" spans="1:12" x14ac:dyDescent="0.25">
      <c r="A302" s="3">
        <v>45698.553784722222</v>
      </c>
      <c r="B302" t="s">
        <v>227</v>
      </c>
      <c r="C302" s="3">
        <v>45698.555335648147</v>
      </c>
      <c r="D302" t="s">
        <v>69</v>
      </c>
      <c r="E302" s="4">
        <v>1.2294066384434701</v>
      </c>
      <c r="F302" s="4">
        <v>347548.64627943473</v>
      </c>
      <c r="G302" s="4">
        <v>347549.87568607321</v>
      </c>
      <c r="H302" s="5">
        <f t="shared" si="1"/>
        <v>0</v>
      </c>
      <c r="I302" t="s">
        <v>124</v>
      </c>
      <c r="J302" t="s">
        <v>211</v>
      </c>
      <c r="K302" s="5">
        <f>134 / 86400</f>
        <v>1.5509259259259259E-3</v>
      </c>
      <c r="L302" s="5">
        <f>40 / 86400</f>
        <v>4.6296296296296298E-4</v>
      </c>
    </row>
    <row r="303" spans="1:12" x14ac:dyDescent="0.25">
      <c r="A303" s="3">
        <v>45698.555798611109</v>
      </c>
      <c r="B303" t="s">
        <v>69</v>
      </c>
      <c r="C303" s="3">
        <v>45698.556030092594</v>
      </c>
      <c r="D303" t="s">
        <v>69</v>
      </c>
      <c r="E303" s="4">
        <v>4.0852028131484986E-3</v>
      </c>
      <c r="F303" s="4">
        <v>347549.92237305566</v>
      </c>
      <c r="G303" s="4">
        <v>347549.92645825847</v>
      </c>
      <c r="H303" s="5">
        <f t="shared" si="1"/>
        <v>0</v>
      </c>
      <c r="I303" t="s">
        <v>132</v>
      </c>
      <c r="J303" t="s">
        <v>62</v>
      </c>
      <c r="K303" s="5">
        <f>20 / 86400</f>
        <v>2.3148148148148149E-4</v>
      </c>
      <c r="L303" s="5">
        <f>60 / 86400</f>
        <v>6.9444444444444447E-4</v>
      </c>
    </row>
    <row r="304" spans="1:12" x14ac:dyDescent="0.25">
      <c r="A304" s="3">
        <v>45698.556724537033</v>
      </c>
      <c r="B304" t="s">
        <v>69</v>
      </c>
      <c r="C304" s="3">
        <v>45698.559270833328</v>
      </c>
      <c r="D304" t="s">
        <v>214</v>
      </c>
      <c r="E304" s="4">
        <v>1.7138464088439942</v>
      </c>
      <c r="F304" s="4">
        <v>347549.93707500101</v>
      </c>
      <c r="G304" s="4">
        <v>347551.65092140983</v>
      </c>
      <c r="H304" s="5">
        <f t="shared" si="1"/>
        <v>0</v>
      </c>
      <c r="I304" t="s">
        <v>167</v>
      </c>
      <c r="J304" t="s">
        <v>140</v>
      </c>
      <c r="K304" s="5">
        <f>220 / 86400</f>
        <v>2.5462962962962965E-3</v>
      </c>
      <c r="L304" s="5">
        <f>4 / 86400</f>
        <v>4.6296296296296294E-5</v>
      </c>
    </row>
    <row r="305" spans="1:12" x14ac:dyDescent="0.25">
      <c r="A305" s="3">
        <v>45698.559317129635</v>
      </c>
      <c r="B305" t="s">
        <v>214</v>
      </c>
      <c r="C305" s="3">
        <v>45698.563252314816</v>
      </c>
      <c r="D305" t="s">
        <v>250</v>
      </c>
      <c r="E305" s="4">
        <v>2.2342401267290115</v>
      </c>
      <c r="F305" s="4">
        <v>347551.65437303483</v>
      </c>
      <c r="G305" s="4">
        <v>347553.88861316157</v>
      </c>
      <c r="H305" s="5">
        <f t="shared" si="1"/>
        <v>0</v>
      </c>
      <c r="I305" t="s">
        <v>213</v>
      </c>
      <c r="J305" t="s">
        <v>36</v>
      </c>
      <c r="K305" s="5">
        <f>340 / 86400</f>
        <v>3.9351851851851848E-3</v>
      </c>
      <c r="L305" s="5">
        <f>20 / 86400</f>
        <v>2.3148148148148149E-4</v>
      </c>
    </row>
    <row r="306" spans="1:12" x14ac:dyDescent="0.25">
      <c r="A306" s="3">
        <v>45698.563483796301</v>
      </c>
      <c r="B306" t="s">
        <v>250</v>
      </c>
      <c r="C306" s="3">
        <v>45698.564097222217</v>
      </c>
      <c r="D306" t="s">
        <v>112</v>
      </c>
      <c r="E306" s="4">
        <v>5.860442942380905E-2</v>
      </c>
      <c r="F306" s="4">
        <v>347553.8961772318</v>
      </c>
      <c r="G306" s="4">
        <v>347553.95478166122</v>
      </c>
      <c r="H306" s="5">
        <f t="shared" si="1"/>
        <v>0</v>
      </c>
      <c r="I306" t="s">
        <v>89</v>
      </c>
      <c r="J306" t="s">
        <v>43</v>
      </c>
      <c r="K306" s="5">
        <f>53 / 86400</f>
        <v>6.134259259259259E-4</v>
      </c>
      <c r="L306" s="5">
        <f>38 / 86400</f>
        <v>4.3981481481481481E-4</v>
      </c>
    </row>
    <row r="307" spans="1:12" x14ac:dyDescent="0.25">
      <c r="A307" s="3">
        <v>45698.564537037033</v>
      </c>
      <c r="B307" t="s">
        <v>250</v>
      </c>
      <c r="C307" s="3">
        <v>45698.56523148148</v>
      </c>
      <c r="D307" t="s">
        <v>217</v>
      </c>
      <c r="E307" s="4">
        <v>9.7860564470291136E-2</v>
      </c>
      <c r="F307" s="4">
        <v>347553.96736620949</v>
      </c>
      <c r="G307" s="4">
        <v>347554.06522677396</v>
      </c>
      <c r="H307" s="5">
        <f t="shared" ref="H307:H370" si="2">0 / 86400</f>
        <v>0</v>
      </c>
      <c r="I307" t="s">
        <v>61</v>
      </c>
      <c r="J307" t="s">
        <v>61</v>
      </c>
      <c r="K307" s="5">
        <f>60 / 86400</f>
        <v>6.9444444444444447E-4</v>
      </c>
      <c r="L307" s="5">
        <f>20 / 86400</f>
        <v>2.3148148148148149E-4</v>
      </c>
    </row>
    <row r="308" spans="1:12" x14ac:dyDescent="0.25">
      <c r="A308" s="3">
        <v>45698.565462962964</v>
      </c>
      <c r="B308" t="s">
        <v>217</v>
      </c>
      <c r="C308" s="3">
        <v>45698.566851851851</v>
      </c>
      <c r="D308" t="s">
        <v>179</v>
      </c>
      <c r="E308" s="4">
        <v>0.56104641252756116</v>
      </c>
      <c r="F308" s="4">
        <v>347554.06884764152</v>
      </c>
      <c r="G308" s="4">
        <v>347554.62989405403</v>
      </c>
      <c r="H308" s="5">
        <f t="shared" si="2"/>
        <v>0</v>
      </c>
      <c r="I308" t="s">
        <v>148</v>
      </c>
      <c r="J308" t="s">
        <v>28</v>
      </c>
      <c r="K308" s="5">
        <f>120 / 86400</f>
        <v>1.3888888888888889E-3</v>
      </c>
      <c r="L308" s="5">
        <f>34 / 86400</f>
        <v>3.9351851851851852E-4</v>
      </c>
    </row>
    <row r="309" spans="1:12" x14ac:dyDescent="0.25">
      <c r="A309" s="3">
        <v>45698.567245370374</v>
      </c>
      <c r="B309" t="s">
        <v>251</v>
      </c>
      <c r="C309" s="3">
        <v>45698.567476851851</v>
      </c>
      <c r="D309" t="s">
        <v>251</v>
      </c>
      <c r="E309" s="4">
        <v>0</v>
      </c>
      <c r="F309" s="4">
        <v>347554.65529098728</v>
      </c>
      <c r="G309" s="4">
        <v>347554.65529098728</v>
      </c>
      <c r="H309" s="5">
        <f t="shared" si="2"/>
        <v>0</v>
      </c>
      <c r="I309" t="s">
        <v>59</v>
      </c>
      <c r="J309" t="s">
        <v>126</v>
      </c>
      <c r="K309" s="5">
        <f>20 / 86400</f>
        <v>2.3148148148148149E-4</v>
      </c>
      <c r="L309" s="5">
        <f>60 / 86400</f>
        <v>6.9444444444444447E-4</v>
      </c>
    </row>
    <row r="310" spans="1:12" x14ac:dyDescent="0.25">
      <c r="A310" s="3">
        <v>45698.568171296298</v>
      </c>
      <c r="B310" t="s">
        <v>178</v>
      </c>
      <c r="C310" s="3">
        <v>45698.56863425926</v>
      </c>
      <c r="D310" t="s">
        <v>220</v>
      </c>
      <c r="E310" s="4">
        <v>0.19989966243505478</v>
      </c>
      <c r="F310" s="4">
        <v>347555.00826328463</v>
      </c>
      <c r="G310" s="4">
        <v>347555.20816294703</v>
      </c>
      <c r="H310" s="5">
        <f t="shared" si="2"/>
        <v>0</v>
      </c>
      <c r="I310" t="s">
        <v>193</v>
      </c>
      <c r="J310" t="s">
        <v>25</v>
      </c>
      <c r="K310" s="5">
        <f>40 / 86400</f>
        <v>4.6296296296296298E-4</v>
      </c>
      <c r="L310" s="5">
        <f>20 / 86400</f>
        <v>2.3148148148148149E-4</v>
      </c>
    </row>
    <row r="311" spans="1:12" x14ac:dyDescent="0.25">
      <c r="A311" s="3">
        <v>45698.568865740745</v>
      </c>
      <c r="B311" t="s">
        <v>221</v>
      </c>
      <c r="C311" s="3">
        <v>45698.570138888885</v>
      </c>
      <c r="D311" t="s">
        <v>221</v>
      </c>
      <c r="E311" s="4">
        <v>3.0107209026813506E-2</v>
      </c>
      <c r="F311" s="4">
        <v>347555.24707919906</v>
      </c>
      <c r="G311" s="4">
        <v>347555.27718640812</v>
      </c>
      <c r="H311" s="5">
        <f t="shared" si="2"/>
        <v>0</v>
      </c>
      <c r="I311" t="s">
        <v>125</v>
      </c>
      <c r="J311" t="s">
        <v>62</v>
      </c>
      <c r="K311" s="5">
        <f>110 / 86400</f>
        <v>1.2731481481481483E-3</v>
      </c>
      <c r="L311" s="5">
        <f>107 / 86400</f>
        <v>1.238425925925926E-3</v>
      </c>
    </row>
    <row r="312" spans="1:12" x14ac:dyDescent="0.25">
      <c r="A312" s="3">
        <v>45698.571377314816</v>
      </c>
      <c r="B312" t="s">
        <v>172</v>
      </c>
      <c r="C312" s="3">
        <v>45698.571840277778</v>
      </c>
      <c r="D312" t="s">
        <v>172</v>
      </c>
      <c r="E312" s="4">
        <v>0.25240206676721572</v>
      </c>
      <c r="F312" s="4">
        <v>347555.63945615129</v>
      </c>
      <c r="G312" s="4">
        <v>347555.89185821806</v>
      </c>
      <c r="H312" s="5">
        <f t="shared" si="2"/>
        <v>0</v>
      </c>
      <c r="I312" t="s">
        <v>191</v>
      </c>
      <c r="J312" t="s">
        <v>47</v>
      </c>
      <c r="K312" s="5">
        <f>40 / 86400</f>
        <v>4.6296296296296298E-4</v>
      </c>
      <c r="L312" s="5">
        <f>13 / 86400</f>
        <v>1.5046296296296297E-4</v>
      </c>
    </row>
    <row r="313" spans="1:12" x14ac:dyDescent="0.25">
      <c r="A313" s="3">
        <v>45698.57199074074</v>
      </c>
      <c r="B313" t="s">
        <v>172</v>
      </c>
      <c r="C313" s="3">
        <v>45698.574652777781</v>
      </c>
      <c r="D313" t="s">
        <v>252</v>
      </c>
      <c r="E313" s="4">
        <v>1.2819187369942666</v>
      </c>
      <c r="F313" s="4">
        <v>347556.28007191472</v>
      </c>
      <c r="G313" s="4">
        <v>347557.56199065171</v>
      </c>
      <c r="H313" s="5">
        <f t="shared" si="2"/>
        <v>0</v>
      </c>
      <c r="I313" t="s">
        <v>189</v>
      </c>
      <c r="J313" t="s">
        <v>22</v>
      </c>
      <c r="K313" s="5">
        <f>230 / 86400</f>
        <v>2.662037037037037E-3</v>
      </c>
      <c r="L313" s="5">
        <f>80 / 86400</f>
        <v>9.2592592592592596E-4</v>
      </c>
    </row>
    <row r="314" spans="1:12" x14ac:dyDescent="0.25">
      <c r="A314" s="3">
        <v>45698.575578703705</v>
      </c>
      <c r="B314" t="s">
        <v>253</v>
      </c>
      <c r="C314" s="3">
        <v>45698.578275462962</v>
      </c>
      <c r="D314" t="s">
        <v>254</v>
      </c>
      <c r="E314" s="4">
        <v>0.71617032259702684</v>
      </c>
      <c r="F314" s="4">
        <v>347557.98962691589</v>
      </c>
      <c r="G314" s="4">
        <v>347558.70579723845</v>
      </c>
      <c r="H314" s="5">
        <f t="shared" si="2"/>
        <v>0</v>
      </c>
      <c r="I314" t="s">
        <v>136</v>
      </c>
      <c r="J314" t="s">
        <v>59</v>
      </c>
      <c r="K314" s="5">
        <f>233 / 86400</f>
        <v>2.6967592592592594E-3</v>
      </c>
      <c r="L314" s="5">
        <f>20 / 86400</f>
        <v>2.3148148148148149E-4</v>
      </c>
    </row>
    <row r="315" spans="1:12" x14ac:dyDescent="0.25">
      <c r="A315" s="3">
        <v>45698.578506944439</v>
      </c>
      <c r="B315" t="s">
        <v>255</v>
      </c>
      <c r="C315" s="3">
        <v>45698.578738425931</v>
      </c>
      <c r="D315" t="s">
        <v>255</v>
      </c>
      <c r="E315" s="4">
        <v>1.6116567790508272E-2</v>
      </c>
      <c r="F315" s="4">
        <v>347558.72213286156</v>
      </c>
      <c r="G315" s="4">
        <v>347558.73824942933</v>
      </c>
      <c r="H315" s="5">
        <f t="shared" si="2"/>
        <v>0</v>
      </c>
      <c r="I315" t="s">
        <v>125</v>
      </c>
      <c r="J315" t="s">
        <v>169</v>
      </c>
      <c r="K315" s="5">
        <f>20 / 86400</f>
        <v>2.3148148148148149E-4</v>
      </c>
      <c r="L315" s="5">
        <f>20 / 86400</f>
        <v>2.3148148148148149E-4</v>
      </c>
    </row>
    <row r="316" spans="1:12" x14ac:dyDescent="0.25">
      <c r="A316" s="3">
        <v>45698.578969907408</v>
      </c>
      <c r="B316" t="s">
        <v>255</v>
      </c>
      <c r="C316" s="3">
        <v>45698.579432870371</v>
      </c>
      <c r="D316" t="s">
        <v>255</v>
      </c>
      <c r="E316" s="4">
        <v>6.0305185914039609E-3</v>
      </c>
      <c r="F316" s="4">
        <v>347558.74414852785</v>
      </c>
      <c r="G316" s="4">
        <v>347558.75017904647</v>
      </c>
      <c r="H316" s="5">
        <f t="shared" si="2"/>
        <v>0</v>
      </c>
      <c r="I316" t="s">
        <v>62</v>
      </c>
      <c r="J316" t="s">
        <v>62</v>
      </c>
      <c r="K316" s="5">
        <f>40 / 86400</f>
        <v>4.6296296296296298E-4</v>
      </c>
      <c r="L316" s="5">
        <f>40 / 86400</f>
        <v>4.6296296296296298E-4</v>
      </c>
    </row>
    <row r="317" spans="1:12" x14ac:dyDescent="0.25">
      <c r="A317" s="3">
        <v>45698.579895833333</v>
      </c>
      <c r="B317" t="s">
        <v>255</v>
      </c>
      <c r="C317" s="3">
        <v>45698.58012731481</v>
      </c>
      <c r="D317" t="s">
        <v>255</v>
      </c>
      <c r="E317" s="4">
        <v>9.9709222912788397E-3</v>
      </c>
      <c r="F317" s="4">
        <v>347558.76805433125</v>
      </c>
      <c r="G317" s="4">
        <v>347558.77802525356</v>
      </c>
      <c r="H317" s="5">
        <f t="shared" si="2"/>
        <v>0</v>
      </c>
      <c r="I317" t="s">
        <v>62</v>
      </c>
      <c r="J317" t="s">
        <v>132</v>
      </c>
      <c r="K317" s="5">
        <f>20 / 86400</f>
        <v>2.3148148148148149E-4</v>
      </c>
      <c r="L317" s="5">
        <f>20 / 86400</f>
        <v>2.3148148148148149E-4</v>
      </c>
    </row>
    <row r="318" spans="1:12" x14ac:dyDescent="0.25">
      <c r="A318" s="3">
        <v>45698.580358796295</v>
      </c>
      <c r="B318" t="s">
        <v>256</v>
      </c>
      <c r="C318" s="3">
        <v>45698.582916666666</v>
      </c>
      <c r="D318" t="s">
        <v>257</v>
      </c>
      <c r="E318" s="4">
        <v>0.41610270547866823</v>
      </c>
      <c r="F318" s="4">
        <v>347558.79138117889</v>
      </c>
      <c r="G318" s="4">
        <v>347559.20748388441</v>
      </c>
      <c r="H318" s="5">
        <f t="shared" si="2"/>
        <v>0</v>
      </c>
      <c r="I318" t="s">
        <v>97</v>
      </c>
      <c r="J318" t="s">
        <v>89</v>
      </c>
      <c r="K318" s="5">
        <f>221 / 86400</f>
        <v>2.5578703703703705E-3</v>
      </c>
      <c r="L318" s="5">
        <f>40 / 86400</f>
        <v>4.6296296296296298E-4</v>
      </c>
    </row>
    <row r="319" spans="1:12" x14ac:dyDescent="0.25">
      <c r="A319" s="3">
        <v>45698.583379629628</v>
      </c>
      <c r="B319" t="s">
        <v>257</v>
      </c>
      <c r="C319" s="3">
        <v>45698.58625</v>
      </c>
      <c r="D319" t="s">
        <v>258</v>
      </c>
      <c r="E319" s="4">
        <v>1.0830878592133522</v>
      </c>
      <c r="F319" s="4">
        <v>347559.229116829</v>
      </c>
      <c r="G319" s="4">
        <v>347560.31220468821</v>
      </c>
      <c r="H319" s="5">
        <f t="shared" si="2"/>
        <v>0</v>
      </c>
      <c r="I319" t="s">
        <v>145</v>
      </c>
      <c r="J319" t="s">
        <v>19</v>
      </c>
      <c r="K319" s="5">
        <f>248 / 86400</f>
        <v>2.8703703703703703E-3</v>
      </c>
      <c r="L319" s="5">
        <f>40 / 86400</f>
        <v>4.6296296296296298E-4</v>
      </c>
    </row>
    <row r="320" spans="1:12" x14ac:dyDescent="0.25">
      <c r="A320" s="3">
        <v>45698.586712962962</v>
      </c>
      <c r="B320" t="s">
        <v>258</v>
      </c>
      <c r="C320" s="3">
        <v>45698.587175925924</v>
      </c>
      <c r="D320" t="s">
        <v>259</v>
      </c>
      <c r="E320" s="4">
        <v>1.916908884048462E-2</v>
      </c>
      <c r="F320" s="4">
        <v>347560.31665025512</v>
      </c>
      <c r="G320" s="4">
        <v>347560.33581934398</v>
      </c>
      <c r="H320" s="5">
        <f t="shared" si="2"/>
        <v>0</v>
      </c>
      <c r="I320" t="s">
        <v>62</v>
      </c>
      <c r="J320" t="s">
        <v>132</v>
      </c>
      <c r="K320" s="5">
        <f>40 / 86400</f>
        <v>4.6296296296296298E-4</v>
      </c>
      <c r="L320" s="5">
        <f>20 / 86400</f>
        <v>2.3148148148148149E-4</v>
      </c>
    </row>
    <row r="321" spans="1:12" x14ac:dyDescent="0.25">
      <c r="A321" s="3">
        <v>45698.587407407409</v>
      </c>
      <c r="B321" t="s">
        <v>260</v>
      </c>
      <c r="C321" s="3">
        <v>45698.589409722219</v>
      </c>
      <c r="D321" t="s">
        <v>261</v>
      </c>
      <c r="E321" s="4">
        <v>0.17122876286506652</v>
      </c>
      <c r="F321" s="4">
        <v>347560.34452046547</v>
      </c>
      <c r="G321" s="4">
        <v>347560.51574922836</v>
      </c>
      <c r="H321" s="5">
        <f t="shared" si="2"/>
        <v>0</v>
      </c>
      <c r="I321" t="s">
        <v>31</v>
      </c>
      <c r="J321" t="s">
        <v>43</v>
      </c>
      <c r="K321" s="5">
        <f>173 / 86400</f>
        <v>2.0023148148148148E-3</v>
      </c>
      <c r="L321" s="5">
        <f>20 / 86400</f>
        <v>2.3148148148148149E-4</v>
      </c>
    </row>
    <row r="322" spans="1:12" x14ac:dyDescent="0.25">
      <c r="A322" s="3">
        <v>45698.589641203704</v>
      </c>
      <c r="B322" t="s">
        <v>261</v>
      </c>
      <c r="C322" s="3">
        <v>45698.590104166666</v>
      </c>
      <c r="D322" t="s">
        <v>262</v>
      </c>
      <c r="E322" s="4">
        <v>2.2884075105190277E-2</v>
      </c>
      <c r="F322" s="4">
        <v>347560.52134137088</v>
      </c>
      <c r="G322" s="4">
        <v>347560.54422544601</v>
      </c>
      <c r="H322" s="5">
        <f t="shared" si="2"/>
        <v>0</v>
      </c>
      <c r="I322" t="s">
        <v>62</v>
      </c>
      <c r="J322" t="s">
        <v>132</v>
      </c>
      <c r="K322" s="5">
        <f>40 / 86400</f>
        <v>4.6296296296296298E-4</v>
      </c>
      <c r="L322" s="5">
        <f>80 / 86400</f>
        <v>9.2592592592592596E-4</v>
      </c>
    </row>
    <row r="323" spans="1:12" x14ac:dyDescent="0.25">
      <c r="A323" s="3">
        <v>45698.59103009259</v>
      </c>
      <c r="B323" t="s">
        <v>261</v>
      </c>
      <c r="C323" s="3">
        <v>45698.591493055559</v>
      </c>
      <c r="D323" t="s">
        <v>261</v>
      </c>
      <c r="E323" s="4">
        <v>9.6686109304428107E-3</v>
      </c>
      <c r="F323" s="4">
        <v>347560.55996269535</v>
      </c>
      <c r="G323" s="4">
        <v>347560.56963130628</v>
      </c>
      <c r="H323" s="5">
        <f t="shared" si="2"/>
        <v>0</v>
      </c>
      <c r="I323" t="s">
        <v>62</v>
      </c>
      <c r="J323" t="s">
        <v>62</v>
      </c>
      <c r="K323" s="5">
        <f>40 / 86400</f>
        <v>4.6296296296296298E-4</v>
      </c>
      <c r="L323" s="5">
        <f>188 / 86400</f>
        <v>2.1759259259259258E-3</v>
      </c>
    </row>
    <row r="324" spans="1:12" x14ac:dyDescent="0.25">
      <c r="A324" s="3">
        <v>45698.593668981484</v>
      </c>
      <c r="B324" t="s">
        <v>263</v>
      </c>
      <c r="C324" s="3">
        <v>45698.593900462962</v>
      </c>
      <c r="D324" t="s">
        <v>263</v>
      </c>
      <c r="E324" s="4">
        <v>8.1107576489448541E-3</v>
      </c>
      <c r="F324" s="4">
        <v>347560.62247909576</v>
      </c>
      <c r="G324" s="4">
        <v>347560.63058985339</v>
      </c>
      <c r="H324" s="5">
        <f t="shared" si="2"/>
        <v>0</v>
      </c>
      <c r="I324" t="s">
        <v>89</v>
      </c>
      <c r="J324" t="s">
        <v>62</v>
      </c>
      <c r="K324" s="5">
        <f>20 / 86400</f>
        <v>2.3148148148148149E-4</v>
      </c>
      <c r="L324" s="5">
        <f>120 / 86400</f>
        <v>1.3888888888888889E-3</v>
      </c>
    </row>
    <row r="325" spans="1:12" x14ac:dyDescent="0.25">
      <c r="A325" s="3">
        <v>45698.595289351855</v>
      </c>
      <c r="B325" t="s">
        <v>263</v>
      </c>
      <c r="C325" s="3">
        <v>45698.59575231481</v>
      </c>
      <c r="D325" t="s">
        <v>263</v>
      </c>
      <c r="E325" s="4">
        <v>1.2202540934085846E-2</v>
      </c>
      <c r="F325" s="4">
        <v>347560.66457990283</v>
      </c>
      <c r="G325" s="4">
        <v>347560.67678244377</v>
      </c>
      <c r="H325" s="5">
        <f t="shared" si="2"/>
        <v>0</v>
      </c>
      <c r="I325" t="s">
        <v>62</v>
      </c>
      <c r="J325" t="s">
        <v>62</v>
      </c>
      <c r="K325" s="5">
        <f>40 / 86400</f>
        <v>4.6296296296296298E-4</v>
      </c>
      <c r="L325" s="5">
        <f>11 / 86400</f>
        <v>1.273148148148148E-4</v>
      </c>
    </row>
    <row r="326" spans="1:12" x14ac:dyDescent="0.25">
      <c r="A326" s="3">
        <v>45698.595879629633</v>
      </c>
      <c r="B326" t="s">
        <v>263</v>
      </c>
      <c r="C326" s="3">
        <v>45698.596689814818</v>
      </c>
      <c r="D326" t="s">
        <v>264</v>
      </c>
      <c r="E326" s="4">
        <v>5.3306733191013339E-2</v>
      </c>
      <c r="F326" s="4">
        <v>347560.68122191663</v>
      </c>
      <c r="G326" s="4">
        <v>347560.73452864983</v>
      </c>
      <c r="H326" s="5">
        <f t="shared" si="2"/>
        <v>0</v>
      </c>
      <c r="I326" t="s">
        <v>89</v>
      </c>
      <c r="J326" t="s">
        <v>169</v>
      </c>
      <c r="K326" s="5">
        <f>70 / 86400</f>
        <v>8.1018518518518516E-4</v>
      </c>
      <c r="L326" s="5">
        <f>12 / 86400</f>
        <v>1.3888888888888889E-4</v>
      </c>
    </row>
    <row r="327" spans="1:12" x14ac:dyDescent="0.25">
      <c r="A327" s="3">
        <v>45698.596828703703</v>
      </c>
      <c r="B327" t="s">
        <v>264</v>
      </c>
      <c r="C327" s="3">
        <v>45698.59752314815</v>
      </c>
      <c r="D327" t="s">
        <v>265</v>
      </c>
      <c r="E327" s="4">
        <v>0.54942981398105617</v>
      </c>
      <c r="F327" s="4">
        <v>347560.7383995367</v>
      </c>
      <c r="G327" s="4">
        <v>347561.28782935062</v>
      </c>
      <c r="H327" s="5">
        <f t="shared" si="2"/>
        <v>0</v>
      </c>
      <c r="I327" t="s">
        <v>189</v>
      </c>
      <c r="J327" t="s">
        <v>211</v>
      </c>
      <c r="K327" s="5">
        <f>60 / 86400</f>
        <v>6.9444444444444447E-4</v>
      </c>
      <c r="L327" s="5">
        <f>16 / 86400</f>
        <v>1.8518518518518518E-4</v>
      </c>
    </row>
    <row r="328" spans="1:12" x14ac:dyDescent="0.25">
      <c r="A328" s="3">
        <v>45698.597708333335</v>
      </c>
      <c r="B328" t="s">
        <v>266</v>
      </c>
      <c r="C328" s="3">
        <v>45698.598287037035</v>
      </c>
      <c r="D328" t="s">
        <v>267</v>
      </c>
      <c r="E328" s="4">
        <v>8.0401886343955994E-2</v>
      </c>
      <c r="F328" s="4">
        <v>347561.33645445143</v>
      </c>
      <c r="G328" s="4">
        <v>347561.4168563378</v>
      </c>
      <c r="H328" s="5">
        <f t="shared" si="2"/>
        <v>0</v>
      </c>
      <c r="I328" t="s">
        <v>168</v>
      </c>
      <c r="J328" t="s">
        <v>61</v>
      </c>
      <c r="K328" s="5">
        <f>50 / 86400</f>
        <v>5.7870370370370367E-4</v>
      </c>
      <c r="L328" s="5">
        <f>40 / 86400</f>
        <v>4.6296296296296298E-4</v>
      </c>
    </row>
    <row r="329" spans="1:12" x14ac:dyDescent="0.25">
      <c r="A329" s="3">
        <v>45698.598750000005</v>
      </c>
      <c r="B329" t="s">
        <v>268</v>
      </c>
      <c r="C329" s="3">
        <v>45698.601423611108</v>
      </c>
      <c r="D329" t="s">
        <v>150</v>
      </c>
      <c r="E329" s="4">
        <v>1.5918754435181617</v>
      </c>
      <c r="F329" s="4">
        <v>347561.42272545473</v>
      </c>
      <c r="G329" s="4">
        <v>347563.01460089826</v>
      </c>
      <c r="H329" s="5">
        <f t="shared" si="2"/>
        <v>0</v>
      </c>
      <c r="I329" t="s">
        <v>205</v>
      </c>
      <c r="J329" t="s">
        <v>171</v>
      </c>
      <c r="K329" s="5">
        <f>231 / 86400</f>
        <v>2.673611111111111E-3</v>
      </c>
      <c r="L329" s="5">
        <f>20 / 86400</f>
        <v>2.3148148148148149E-4</v>
      </c>
    </row>
    <row r="330" spans="1:12" x14ac:dyDescent="0.25">
      <c r="A330" s="3">
        <v>45698.601655092592</v>
      </c>
      <c r="B330" t="s">
        <v>269</v>
      </c>
      <c r="C330" s="3">
        <v>45698.602094907408</v>
      </c>
      <c r="D330" t="s">
        <v>269</v>
      </c>
      <c r="E330" s="4">
        <v>2.502509182691574E-2</v>
      </c>
      <c r="F330" s="4">
        <v>347563.31302255916</v>
      </c>
      <c r="G330" s="4">
        <v>347563.33804765099</v>
      </c>
      <c r="H330" s="5">
        <f t="shared" si="2"/>
        <v>0</v>
      </c>
      <c r="I330" t="s">
        <v>125</v>
      </c>
      <c r="J330" t="s">
        <v>132</v>
      </c>
      <c r="K330" s="5">
        <f>38 / 86400</f>
        <v>4.3981481481481481E-4</v>
      </c>
      <c r="L330" s="5">
        <f>551 / 86400</f>
        <v>6.3773148148148148E-3</v>
      </c>
    </row>
    <row r="331" spans="1:12" x14ac:dyDescent="0.25">
      <c r="A331" s="3">
        <v>45698.608472222222</v>
      </c>
      <c r="B331" t="s">
        <v>270</v>
      </c>
      <c r="C331" s="3">
        <v>45698.609293981484</v>
      </c>
      <c r="D331" t="s">
        <v>271</v>
      </c>
      <c r="E331" s="4">
        <v>0.12506617897748948</v>
      </c>
      <c r="F331" s="4">
        <v>347563.86932346865</v>
      </c>
      <c r="G331" s="4">
        <v>347563.99438964762</v>
      </c>
      <c r="H331" s="5">
        <f t="shared" si="2"/>
        <v>0</v>
      </c>
      <c r="I331" t="s">
        <v>168</v>
      </c>
      <c r="J331" t="s">
        <v>61</v>
      </c>
      <c r="K331" s="5">
        <f>71 / 86400</f>
        <v>8.2175925925925927E-4</v>
      </c>
      <c r="L331" s="5">
        <f>56 / 86400</f>
        <v>6.4814814814814813E-4</v>
      </c>
    </row>
    <row r="332" spans="1:12" x14ac:dyDescent="0.25">
      <c r="A332" s="3">
        <v>45698.609942129631</v>
      </c>
      <c r="B332" t="s">
        <v>271</v>
      </c>
      <c r="C332" s="3">
        <v>45698.611168981486</v>
      </c>
      <c r="D332" t="s">
        <v>272</v>
      </c>
      <c r="E332" s="4">
        <v>0.67478328824043277</v>
      </c>
      <c r="F332" s="4">
        <v>347564.02215990453</v>
      </c>
      <c r="G332" s="4">
        <v>347564.6969431928</v>
      </c>
      <c r="H332" s="5">
        <f t="shared" si="2"/>
        <v>0</v>
      </c>
      <c r="I332" t="s">
        <v>148</v>
      </c>
      <c r="J332" t="s">
        <v>47</v>
      </c>
      <c r="K332" s="5">
        <f>106 / 86400</f>
        <v>1.2268518518518518E-3</v>
      </c>
      <c r="L332" s="5">
        <f>20 / 86400</f>
        <v>2.3148148148148149E-4</v>
      </c>
    </row>
    <row r="333" spans="1:12" x14ac:dyDescent="0.25">
      <c r="A333" s="3">
        <v>45698.611400462964</v>
      </c>
      <c r="B333" t="s">
        <v>273</v>
      </c>
      <c r="C333" s="3">
        <v>45698.612326388888</v>
      </c>
      <c r="D333" t="s">
        <v>274</v>
      </c>
      <c r="E333" s="4">
        <v>0.15350124126672746</v>
      </c>
      <c r="F333" s="4">
        <v>347564.7107916557</v>
      </c>
      <c r="G333" s="4">
        <v>347564.86429289699</v>
      </c>
      <c r="H333" s="5">
        <f t="shared" si="2"/>
        <v>0</v>
      </c>
      <c r="I333" t="s">
        <v>168</v>
      </c>
      <c r="J333" t="s">
        <v>89</v>
      </c>
      <c r="K333" s="5">
        <f>80 / 86400</f>
        <v>9.2592592592592596E-4</v>
      </c>
      <c r="L333" s="5">
        <f>25 / 86400</f>
        <v>2.8935185185185184E-4</v>
      </c>
    </row>
    <row r="334" spans="1:12" x14ac:dyDescent="0.25">
      <c r="A334" s="3">
        <v>45698.612615740742</v>
      </c>
      <c r="B334" t="s">
        <v>274</v>
      </c>
      <c r="C334" s="3">
        <v>45698.613078703704</v>
      </c>
      <c r="D334" t="s">
        <v>275</v>
      </c>
      <c r="E334" s="4">
        <v>0.19950234204530715</v>
      </c>
      <c r="F334" s="4">
        <v>347564.87946290994</v>
      </c>
      <c r="G334" s="4">
        <v>347565.07896525197</v>
      </c>
      <c r="H334" s="5">
        <f t="shared" si="2"/>
        <v>0</v>
      </c>
      <c r="I334" t="s">
        <v>206</v>
      </c>
      <c r="J334" t="s">
        <v>25</v>
      </c>
      <c r="K334" s="5">
        <f>40 / 86400</f>
        <v>4.6296296296296298E-4</v>
      </c>
      <c r="L334" s="5">
        <f>20 / 86400</f>
        <v>2.3148148148148149E-4</v>
      </c>
    </row>
    <row r="335" spans="1:12" x14ac:dyDescent="0.25">
      <c r="A335" s="3">
        <v>45698.613310185188</v>
      </c>
      <c r="B335" t="s">
        <v>276</v>
      </c>
      <c r="C335" s="3">
        <v>45698.615613425922</v>
      </c>
      <c r="D335" t="s">
        <v>277</v>
      </c>
      <c r="E335" s="4">
        <v>1.029835477232933</v>
      </c>
      <c r="F335" s="4">
        <v>347565.15954791952</v>
      </c>
      <c r="G335" s="4">
        <v>347566.18938339676</v>
      </c>
      <c r="H335" s="5">
        <f t="shared" si="2"/>
        <v>0</v>
      </c>
      <c r="I335" t="s">
        <v>202</v>
      </c>
      <c r="J335" t="s">
        <v>33</v>
      </c>
      <c r="K335" s="5">
        <f>199 / 86400</f>
        <v>2.3032407407407407E-3</v>
      </c>
      <c r="L335" s="5">
        <f>40 / 86400</f>
        <v>4.6296296296296298E-4</v>
      </c>
    </row>
    <row r="336" spans="1:12" x14ac:dyDescent="0.25">
      <c r="A336" s="3">
        <v>45698.616076388891</v>
      </c>
      <c r="B336" t="s">
        <v>277</v>
      </c>
      <c r="C336" s="3">
        <v>45698.616643518515</v>
      </c>
      <c r="D336" t="s">
        <v>278</v>
      </c>
      <c r="E336" s="4">
        <v>0.10644749712944031</v>
      </c>
      <c r="F336" s="4">
        <v>347566.19410257152</v>
      </c>
      <c r="G336" s="4">
        <v>347566.30055006867</v>
      </c>
      <c r="H336" s="5">
        <f t="shared" si="2"/>
        <v>0</v>
      </c>
      <c r="I336" t="s">
        <v>89</v>
      </c>
      <c r="J336" t="s">
        <v>168</v>
      </c>
      <c r="K336" s="5">
        <f>49 / 86400</f>
        <v>5.6712962962962967E-4</v>
      </c>
      <c r="L336" s="5">
        <f>100 / 86400</f>
        <v>1.1574074074074073E-3</v>
      </c>
    </row>
    <row r="337" spans="1:12" x14ac:dyDescent="0.25">
      <c r="A337" s="3">
        <v>45698.617800925931</v>
      </c>
      <c r="B337" t="s">
        <v>278</v>
      </c>
      <c r="C337" s="3">
        <v>45698.618611111116</v>
      </c>
      <c r="D337" t="s">
        <v>279</v>
      </c>
      <c r="E337" s="4">
        <v>9.1409310162067409E-2</v>
      </c>
      <c r="F337" s="4">
        <v>347566.31643838651</v>
      </c>
      <c r="G337" s="4">
        <v>347566.40784769668</v>
      </c>
      <c r="H337" s="5">
        <f t="shared" si="2"/>
        <v>0</v>
      </c>
      <c r="I337" t="s">
        <v>89</v>
      </c>
      <c r="J337" t="s">
        <v>125</v>
      </c>
      <c r="K337" s="5">
        <f>70 / 86400</f>
        <v>8.1018518518518516E-4</v>
      </c>
      <c r="L337" s="5">
        <f>140 / 86400</f>
        <v>1.6203703703703703E-3</v>
      </c>
    </row>
    <row r="338" spans="1:12" x14ac:dyDescent="0.25">
      <c r="A338" s="3">
        <v>45698.62023148148</v>
      </c>
      <c r="B338" t="s">
        <v>279</v>
      </c>
      <c r="C338" s="3">
        <v>45698.620462962965</v>
      </c>
      <c r="D338" t="s">
        <v>133</v>
      </c>
      <c r="E338" s="4">
        <v>5.8758318424224857E-3</v>
      </c>
      <c r="F338" s="4">
        <v>347566.46161488822</v>
      </c>
      <c r="G338" s="4">
        <v>347566.46749072004</v>
      </c>
      <c r="H338" s="5">
        <f t="shared" si="2"/>
        <v>0</v>
      </c>
      <c r="I338" t="s">
        <v>62</v>
      </c>
      <c r="J338" t="s">
        <v>62</v>
      </c>
      <c r="K338" s="5">
        <f>20 / 86400</f>
        <v>2.3148148148148149E-4</v>
      </c>
      <c r="L338" s="5">
        <f>60 / 86400</f>
        <v>6.9444444444444447E-4</v>
      </c>
    </row>
    <row r="339" spans="1:12" x14ac:dyDescent="0.25">
      <c r="A339" s="3">
        <v>45698.621157407411</v>
      </c>
      <c r="B339" t="s">
        <v>133</v>
      </c>
      <c r="C339" s="3">
        <v>45698.621388888889</v>
      </c>
      <c r="D339" t="s">
        <v>133</v>
      </c>
      <c r="E339" s="4">
        <v>4.0363985896110536E-3</v>
      </c>
      <c r="F339" s="4">
        <v>347566.4756105314</v>
      </c>
      <c r="G339" s="4">
        <v>347566.47964693001</v>
      </c>
      <c r="H339" s="5">
        <f t="shared" si="2"/>
        <v>0</v>
      </c>
      <c r="I339" t="s">
        <v>62</v>
      </c>
      <c r="J339" t="s">
        <v>62</v>
      </c>
      <c r="K339" s="5">
        <f>20 / 86400</f>
        <v>2.3148148148148149E-4</v>
      </c>
      <c r="L339" s="5">
        <f>60 / 86400</f>
        <v>6.9444444444444447E-4</v>
      </c>
    </row>
    <row r="340" spans="1:12" x14ac:dyDescent="0.25">
      <c r="A340" s="3">
        <v>45698.622083333335</v>
      </c>
      <c r="B340" t="s">
        <v>133</v>
      </c>
      <c r="C340" s="3">
        <v>45698.622314814813</v>
      </c>
      <c r="D340" t="s">
        <v>133</v>
      </c>
      <c r="E340" s="4">
        <v>6.8353551030159001E-3</v>
      </c>
      <c r="F340" s="4">
        <v>347566.49647694599</v>
      </c>
      <c r="G340" s="4">
        <v>347566.50331230112</v>
      </c>
      <c r="H340" s="5">
        <f t="shared" si="2"/>
        <v>0</v>
      </c>
      <c r="I340" t="s">
        <v>62</v>
      </c>
      <c r="J340" t="s">
        <v>62</v>
      </c>
      <c r="K340" s="5">
        <f>20 / 86400</f>
        <v>2.3148148148148149E-4</v>
      </c>
      <c r="L340" s="5">
        <f>317 / 86400</f>
        <v>3.6689814814814814E-3</v>
      </c>
    </row>
    <row r="341" spans="1:12" x14ac:dyDescent="0.25">
      <c r="A341" s="3">
        <v>45698.625983796301</v>
      </c>
      <c r="B341" t="s">
        <v>280</v>
      </c>
      <c r="C341" s="3">
        <v>45698.626481481479</v>
      </c>
      <c r="D341" t="s">
        <v>281</v>
      </c>
      <c r="E341" s="4">
        <v>0.1010711098909378</v>
      </c>
      <c r="F341" s="4">
        <v>347566.64136932301</v>
      </c>
      <c r="G341" s="4">
        <v>347566.74244043289</v>
      </c>
      <c r="H341" s="5">
        <f t="shared" si="2"/>
        <v>0</v>
      </c>
      <c r="I341" t="s">
        <v>57</v>
      </c>
      <c r="J341" t="s">
        <v>168</v>
      </c>
      <c r="K341" s="5">
        <f>43 / 86400</f>
        <v>4.9768518518518521E-4</v>
      </c>
      <c r="L341" s="5">
        <f>3 / 86400</f>
        <v>3.4722222222222222E-5</v>
      </c>
    </row>
    <row r="342" spans="1:12" x14ac:dyDescent="0.25">
      <c r="A342" s="3">
        <v>45698.626516203702</v>
      </c>
      <c r="B342" t="s">
        <v>281</v>
      </c>
      <c r="C342" s="3">
        <v>45698.629328703704</v>
      </c>
      <c r="D342" t="s">
        <v>282</v>
      </c>
      <c r="E342" s="4">
        <v>0.75619726103544238</v>
      </c>
      <c r="F342" s="4">
        <v>347566.74453675479</v>
      </c>
      <c r="G342" s="4">
        <v>347567.50073401583</v>
      </c>
      <c r="H342" s="5">
        <f t="shared" si="2"/>
        <v>0</v>
      </c>
      <c r="I342" t="s">
        <v>206</v>
      </c>
      <c r="J342" t="s">
        <v>59</v>
      </c>
      <c r="K342" s="5">
        <f>243 / 86400</f>
        <v>2.8124999999999999E-3</v>
      </c>
      <c r="L342" s="5">
        <f>18 / 86400</f>
        <v>2.0833333333333335E-4</v>
      </c>
    </row>
    <row r="343" spans="1:12" x14ac:dyDescent="0.25">
      <c r="A343" s="3">
        <v>45698.629537037035</v>
      </c>
      <c r="B343" t="s">
        <v>283</v>
      </c>
      <c r="C343" s="3">
        <v>45698.631168981483</v>
      </c>
      <c r="D343" t="s">
        <v>272</v>
      </c>
      <c r="E343" s="4">
        <v>0.5910790485143661</v>
      </c>
      <c r="F343" s="4">
        <v>347567.51441718551</v>
      </c>
      <c r="G343" s="4">
        <v>347568.10549623403</v>
      </c>
      <c r="H343" s="5">
        <f t="shared" si="2"/>
        <v>0</v>
      </c>
      <c r="I343" t="s">
        <v>143</v>
      </c>
      <c r="J343" t="s">
        <v>57</v>
      </c>
      <c r="K343" s="5">
        <f>141 / 86400</f>
        <v>1.6319444444444445E-3</v>
      </c>
      <c r="L343" s="5">
        <f>7 / 86400</f>
        <v>8.1018518518518516E-5</v>
      </c>
    </row>
    <row r="344" spans="1:12" x14ac:dyDescent="0.25">
      <c r="A344" s="3">
        <v>45698.631249999999</v>
      </c>
      <c r="B344" t="s">
        <v>272</v>
      </c>
      <c r="C344" s="3">
        <v>45698.632222222222</v>
      </c>
      <c r="D344" t="s">
        <v>284</v>
      </c>
      <c r="E344" s="4">
        <v>0.30518314784765244</v>
      </c>
      <c r="F344" s="4">
        <v>347568.10821005609</v>
      </c>
      <c r="G344" s="4">
        <v>347568.41339320393</v>
      </c>
      <c r="H344" s="5">
        <f t="shared" si="2"/>
        <v>0</v>
      </c>
      <c r="I344" t="s">
        <v>158</v>
      </c>
      <c r="J344" t="s">
        <v>97</v>
      </c>
      <c r="K344" s="5">
        <f>84 / 86400</f>
        <v>9.7222222222222219E-4</v>
      </c>
      <c r="L344" s="5">
        <f>5 / 86400</f>
        <v>5.7870370370370373E-5</v>
      </c>
    </row>
    <row r="345" spans="1:12" x14ac:dyDescent="0.25">
      <c r="A345" s="3">
        <v>45698.632280092592</v>
      </c>
      <c r="B345" t="s">
        <v>284</v>
      </c>
      <c r="C345" s="3">
        <v>45698.632511574076</v>
      </c>
      <c r="D345" t="s">
        <v>285</v>
      </c>
      <c r="E345" s="4">
        <v>9.133351236581802E-2</v>
      </c>
      <c r="F345" s="4">
        <v>347568.42397157603</v>
      </c>
      <c r="G345" s="4">
        <v>347568.51530508843</v>
      </c>
      <c r="H345" s="5">
        <f t="shared" si="2"/>
        <v>0</v>
      </c>
      <c r="I345" t="s">
        <v>168</v>
      </c>
      <c r="J345" t="s">
        <v>19</v>
      </c>
      <c r="K345" s="5">
        <f>20 / 86400</f>
        <v>2.3148148148148149E-4</v>
      </c>
      <c r="L345" s="5">
        <f>20 / 86400</f>
        <v>2.3148148148148149E-4</v>
      </c>
    </row>
    <row r="346" spans="1:12" x14ac:dyDescent="0.25">
      <c r="A346" s="3">
        <v>45698.632743055554</v>
      </c>
      <c r="B346" t="s">
        <v>285</v>
      </c>
      <c r="C346" s="3">
        <v>45698.632974537039</v>
      </c>
      <c r="D346" t="s">
        <v>286</v>
      </c>
      <c r="E346" s="4">
        <v>7.9287363886833186E-3</v>
      </c>
      <c r="F346" s="4">
        <v>347568.52183404012</v>
      </c>
      <c r="G346" s="4">
        <v>347568.52976277651</v>
      </c>
      <c r="H346" s="5">
        <f t="shared" si="2"/>
        <v>0</v>
      </c>
      <c r="I346" t="s">
        <v>132</v>
      </c>
      <c r="J346" t="s">
        <v>62</v>
      </c>
      <c r="K346" s="5">
        <f>20 / 86400</f>
        <v>2.3148148148148149E-4</v>
      </c>
      <c r="L346" s="5">
        <f>60 / 86400</f>
        <v>6.9444444444444447E-4</v>
      </c>
    </row>
    <row r="347" spans="1:12" x14ac:dyDescent="0.25">
      <c r="A347" s="3">
        <v>45698.633668981478</v>
      </c>
      <c r="B347" t="s">
        <v>286</v>
      </c>
      <c r="C347" s="3">
        <v>45698.634131944447</v>
      </c>
      <c r="D347" t="s">
        <v>287</v>
      </c>
      <c r="E347" s="4">
        <v>0.11986780726909638</v>
      </c>
      <c r="F347" s="4">
        <v>347568.54670619557</v>
      </c>
      <c r="G347" s="4">
        <v>347568.66657400288</v>
      </c>
      <c r="H347" s="5">
        <f t="shared" si="2"/>
        <v>0</v>
      </c>
      <c r="I347" t="s">
        <v>168</v>
      </c>
      <c r="J347" t="s">
        <v>59</v>
      </c>
      <c r="K347" s="5">
        <f>40 / 86400</f>
        <v>4.6296296296296298E-4</v>
      </c>
      <c r="L347" s="5">
        <f>149 / 86400</f>
        <v>1.724537037037037E-3</v>
      </c>
    </row>
    <row r="348" spans="1:12" x14ac:dyDescent="0.25">
      <c r="A348" s="3">
        <v>45698.63585648148</v>
      </c>
      <c r="B348" t="s">
        <v>288</v>
      </c>
      <c r="C348" s="3">
        <v>45698.636793981481</v>
      </c>
      <c r="D348" t="s">
        <v>289</v>
      </c>
      <c r="E348" s="4">
        <v>0.25727857768535611</v>
      </c>
      <c r="F348" s="4">
        <v>347568.7124127475</v>
      </c>
      <c r="G348" s="4">
        <v>347568.96969132521</v>
      </c>
      <c r="H348" s="5">
        <f t="shared" si="2"/>
        <v>0</v>
      </c>
      <c r="I348" t="s">
        <v>22</v>
      </c>
      <c r="J348" t="s">
        <v>59</v>
      </c>
      <c r="K348" s="5">
        <f>81 / 86400</f>
        <v>9.3749999999999997E-4</v>
      </c>
      <c r="L348" s="5">
        <f>40 / 86400</f>
        <v>4.6296296296296298E-4</v>
      </c>
    </row>
    <row r="349" spans="1:12" x14ac:dyDescent="0.25">
      <c r="A349" s="3">
        <v>45698.637256944443</v>
      </c>
      <c r="B349" t="s">
        <v>290</v>
      </c>
      <c r="C349" s="3">
        <v>45698.639456018514</v>
      </c>
      <c r="D349" t="s">
        <v>291</v>
      </c>
      <c r="E349" s="4">
        <v>0.83918777418136592</v>
      </c>
      <c r="F349" s="4">
        <v>347569.04116688325</v>
      </c>
      <c r="G349" s="4">
        <v>347569.88035465742</v>
      </c>
      <c r="H349" s="5">
        <f t="shared" si="2"/>
        <v>0</v>
      </c>
      <c r="I349" t="s">
        <v>234</v>
      </c>
      <c r="J349" t="s">
        <v>19</v>
      </c>
      <c r="K349" s="5">
        <f>190 / 86400</f>
        <v>2.1990740740740742E-3</v>
      </c>
      <c r="L349" s="5">
        <f>1 / 86400</f>
        <v>1.1574074074074073E-5</v>
      </c>
    </row>
    <row r="350" spans="1:12" x14ac:dyDescent="0.25">
      <c r="A350" s="3">
        <v>45698.639467592591</v>
      </c>
      <c r="B350" t="s">
        <v>292</v>
      </c>
      <c r="C350" s="3">
        <v>45698.641516203701</v>
      </c>
      <c r="D350" t="s">
        <v>293</v>
      </c>
      <c r="E350" s="4">
        <v>0.9999133461117744</v>
      </c>
      <c r="F350" s="4">
        <v>347569.94918030815</v>
      </c>
      <c r="G350" s="4">
        <v>347570.94909365429</v>
      </c>
      <c r="H350" s="5">
        <f t="shared" si="2"/>
        <v>0</v>
      </c>
      <c r="I350" t="s">
        <v>163</v>
      </c>
      <c r="J350" t="s">
        <v>22</v>
      </c>
      <c r="K350" s="5">
        <f>177 / 86400</f>
        <v>2.0486111111111113E-3</v>
      </c>
      <c r="L350" s="5">
        <f>20 / 86400</f>
        <v>2.3148148148148149E-4</v>
      </c>
    </row>
    <row r="351" spans="1:12" x14ac:dyDescent="0.25">
      <c r="A351" s="3">
        <v>45698.641747685186</v>
      </c>
      <c r="B351" t="s">
        <v>293</v>
      </c>
      <c r="C351" s="3">
        <v>45698.642442129625</v>
      </c>
      <c r="D351" t="s">
        <v>294</v>
      </c>
      <c r="E351" s="4">
        <v>0.3299942892193794</v>
      </c>
      <c r="F351" s="4">
        <v>347570.95412327762</v>
      </c>
      <c r="G351" s="4">
        <v>347571.28411756683</v>
      </c>
      <c r="H351" s="5">
        <f t="shared" si="2"/>
        <v>0</v>
      </c>
      <c r="I351" t="s">
        <v>191</v>
      </c>
      <c r="J351" t="s">
        <v>22</v>
      </c>
      <c r="K351" s="5">
        <f>60 / 86400</f>
        <v>6.9444444444444447E-4</v>
      </c>
      <c r="L351" s="5">
        <f>20 / 86400</f>
        <v>2.3148148148148149E-4</v>
      </c>
    </row>
    <row r="352" spans="1:12" x14ac:dyDescent="0.25">
      <c r="A352" s="3">
        <v>45698.64267361111</v>
      </c>
      <c r="B352" t="s">
        <v>295</v>
      </c>
      <c r="C352" s="3">
        <v>45698.64466435185</v>
      </c>
      <c r="D352" t="s">
        <v>296</v>
      </c>
      <c r="E352" s="4">
        <v>0.97516024518013</v>
      </c>
      <c r="F352" s="4">
        <v>347571.30050727341</v>
      </c>
      <c r="G352" s="4">
        <v>347572.27566751861</v>
      </c>
      <c r="H352" s="5">
        <f t="shared" si="2"/>
        <v>0</v>
      </c>
      <c r="I352" t="s">
        <v>141</v>
      </c>
      <c r="J352" t="s">
        <v>22</v>
      </c>
      <c r="K352" s="5">
        <f>172 / 86400</f>
        <v>1.9907407407407408E-3</v>
      </c>
      <c r="L352" s="5">
        <f>40 / 86400</f>
        <v>4.6296296296296298E-4</v>
      </c>
    </row>
    <row r="353" spans="1:12" x14ac:dyDescent="0.25">
      <c r="A353" s="3">
        <v>45698.645127314812</v>
      </c>
      <c r="B353" t="s">
        <v>297</v>
      </c>
      <c r="C353" s="3">
        <v>45698.64571759259</v>
      </c>
      <c r="D353" t="s">
        <v>298</v>
      </c>
      <c r="E353" s="4">
        <v>0.18786613267660141</v>
      </c>
      <c r="F353" s="4">
        <v>347572.30828826828</v>
      </c>
      <c r="G353" s="4">
        <v>347572.49615440093</v>
      </c>
      <c r="H353" s="5">
        <f t="shared" si="2"/>
        <v>0</v>
      </c>
      <c r="I353" t="s">
        <v>134</v>
      </c>
      <c r="J353" t="s">
        <v>97</v>
      </c>
      <c r="K353" s="5">
        <f>51 / 86400</f>
        <v>5.9027777777777778E-4</v>
      </c>
      <c r="L353" s="5">
        <f>13 / 86400</f>
        <v>1.5046296296296297E-4</v>
      </c>
    </row>
    <row r="354" spans="1:12" x14ac:dyDescent="0.25">
      <c r="A354" s="3">
        <v>45698.645868055552</v>
      </c>
      <c r="B354" t="s">
        <v>299</v>
      </c>
      <c r="C354" s="3">
        <v>45698.646099537036</v>
      </c>
      <c r="D354" t="s">
        <v>299</v>
      </c>
      <c r="E354" s="4">
        <v>6.1195849776268007E-3</v>
      </c>
      <c r="F354" s="4">
        <v>347572.50730578939</v>
      </c>
      <c r="G354" s="4">
        <v>347572.5134253744</v>
      </c>
      <c r="H354" s="5">
        <f t="shared" si="2"/>
        <v>0</v>
      </c>
      <c r="I354" t="s">
        <v>125</v>
      </c>
      <c r="J354" t="s">
        <v>62</v>
      </c>
      <c r="K354" s="5">
        <f>20 / 86400</f>
        <v>2.3148148148148149E-4</v>
      </c>
      <c r="L354" s="5">
        <f>40 / 86400</f>
        <v>4.6296296296296298E-4</v>
      </c>
    </row>
    <row r="355" spans="1:12" x14ac:dyDescent="0.25">
      <c r="A355" s="3">
        <v>45698.646562499998</v>
      </c>
      <c r="B355" t="s">
        <v>299</v>
      </c>
      <c r="C355" s="3">
        <v>45698.646793981483</v>
      </c>
      <c r="D355" t="s">
        <v>299</v>
      </c>
      <c r="E355" s="4">
        <v>1.3875772535800935E-2</v>
      </c>
      <c r="F355" s="4">
        <v>347572.51976703742</v>
      </c>
      <c r="G355" s="4">
        <v>347572.53364280995</v>
      </c>
      <c r="H355" s="5">
        <f t="shared" si="2"/>
        <v>0</v>
      </c>
      <c r="I355" t="s">
        <v>125</v>
      </c>
      <c r="J355" t="s">
        <v>132</v>
      </c>
      <c r="K355" s="5">
        <f>20 / 86400</f>
        <v>2.3148148148148149E-4</v>
      </c>
      <c r="L355" s="5">
        <f>32 / 86400</f>
        <v>3.7037037037037035E-4</v>
      </c>
    </row>
    <row r="356" spans="1:12" x14ac:dyDescent="0.25">
      <c r="A356" s="3">
        <v>45698.647164351853</v>
      </c>
      <c r="B356" t="s">
        <v>299</v>
      </c>
      <c r="C356" s="3">
        <v>45698.647627314815</v>
      </c>
      <c r="D356" t="s">
        <v>299</v>
      </c>
      <c r="E356" s="4">
        <v>7.5100920140743252E-2</v>
      </c>
      <c r="F356" s="4">
        <v>347572.54529497062</v>
      </c>
      <c r="G356" s="4">
        <v>347572.62039589079</v>
      </c>
      <c r="H356" s="5">
        <f t="shared" si="2"/>
        <v>0</v>
      </c>
      <c r="I356" t="s">
        <v>61</v>
      </c>
      <c r="J356" t="s">
        <v>89</v>
      </c>
      <c r="K356" s="5">
        <f>40 / 86400</f>
        <v>4.6296296296296298E-4</v>
      </c>
      <c r="L356" s="5">
        <f>20 / 86400</f>
        <v>2.3148148148148149E-4</v>
      </c>
    </row>
    <row r="357" spans="1:12" x14ac:dyDescent="0.25">
      <c r="A357" s="3">
        <v>45698.647858796292</v>
      </c>
      <c r="B357" t="s">
        <v>299</v>
      </c>
      <c r="C357" s="3">
        <v>45698.649710648147</v>
      </c>
      <c r="D357" t="s">
        <v>299</v>
      </c>
      <c r="E357" s="4">
        <v>0.248887701690197</v>
      </c>
      <c r="F357" s="4">
        <v>347572.63519457181</v>
      </c>
      <c r="G357" s="4">
        <v>347572.88408227346</v>
      </c>
      <c r="H357" s="5">
        <f t="shared" si="2"/>
        <v>0</v>
      </c>
      <c r="I357" t="s">
        <v>89</v>
      </c>
      <c r="J357" t="s">
        <v>61</v>
      </c>
      <c r="K357" s="5">
        <f>160 / 86400</f>
        <v>1.8518518518518519E-3</v>
      </c>
      <c r="L357" s="5">
        <f>10 / 86400</f>
        <v>1.1574074074074075E-4</v>
      </c>
    </row>
    <row r="358" spans="1:12" x14ac:dyDescent="0.25">
      <c r="A358" s="3">
        <v>45698.649826388893</v>
      </c>
      <c r="B358" t="s">
        <v>299</v>
      </c>
      <c r="C358" s="3">
        <v>45698.653275462959</v>
      </c>
      <c r="D358" t="s">
        <v>300</v>
      </c>
      <c r="E358" s="4">
        <v>1.410300650715828</v>
      </c>
      <c r="F358" s="4">
        <v>347572.89213513571</v>
      </c>
      <c r="G358" s="4">
        <v>347574.30243578641</v>
      </c>
      <c r="H358" s="5">
        <f t="shared" si="2"/>
        <v>0</v>
      </c>
      <c r="I358" t="s">
        <v>176</v>
      </c>
      <c r="J358" t="s">
        <v>28</v>
      </c>
      <c r="K358" s="5">
        <f>298 / 86400</f>
        <v>3.449074074074074E-3</v>
      </c>
      <c r="L358" s="5">
        <f>60 / 86400</f>
        <v>6.9444444444444447E-4</v>
      </c>
    </row>
    <row r="359" spans="1:12" x14ac:dyDescent="0.25">
      <c r="A359" s="3">
        <v>45698.653969907406</v>
      </c>
      <c r="B359" t="s">
        <v>300</v>
      </c>
      <c r="C359" s="3">
        <v>45698.65420138889</v>
      </c>
      <c r="D359" t="s">
        <v>300</v>
      </c>
      <c r="E359" s="4">
        <v>2.9373661041259765E-2</v>
      </c>
      <c r="F359" s="4">
        <v>347574.32875509345</v>
      </c>
      <c r="G359" s="4">
        <v>347574.35812875448</v>
      </c>
      <c r="H359" s="5">
        <f t="shared" si="2"/>
        <v>0</v>
      </c>
      <c r="I359" t="s">
        <v>125</v>
      </c>
      <c r="J359" t="s">
        <v>125</v>
      </c>
      <c r="K359" s="5">
        <f>20 / 86400</f>
        <v>2.3148148148148149E-4</v>
      </c>
      <c r="L359" s="5">
        <f>45 / 86400</f>
        <v>5.2083333333333333E-4</v>
      </c>
    </row>
    <row r="360" spans="1:12" x14ac:dyDescent="0.25">
      <c r="A360" s="3">
        <v>45698.654722222222</v>
      </c>
      <c r="B360" t="s">
        <v>300</v>
      </c>
      <c r="C360" s="3">
        <v>45698.654953703706</v>
      </c>
      <c r="D360" t="s">
        <v>300</v>
      </c>
      <c r="E360" s="4">
        <v>0</v>
      </c>
      <c r="F360" s="4">
        <v>347574.36940960685</v>
      </c>
      <c r="G360" s="4">
        <v>347574.36940960685</v>
      </c>
      <c r="H360" s="5">
        <f t="shared" si="2"/>
        <v>0</v>
      </c>
      <c r="I360" t="s">
        <v>89</v>
      </c>
      <c r="J360" t="s">
        <v>126</v>
      </c>
      <c r="K360" s="5">
        <f>20 / 86400</f>
        <v>2.3148148148148149E-4</v>
      </c>
      <c r="L360" s="5">
        <f>17 / 86400</f>
        <v>1.9675925925925926E-4</v>
      </c>
    </row>
    <row r="361" spans="1:12" x14ac:dyDescent="0.25">
      <c r="A361" s="3">
        <v>45698.655150462961</v>
      </c>
      <c r="B361" t="s">
        <v>301</v>
      </c>
      <c r="C361" s="3">
        <v>45698.660138888888</v>
      </c>
      <c r="D361" t="s">
        <v>172</v>
      </c>
      <c r="E361" s="4">
        <v>3.1195193374156953</v>
      </c>
      <c r="F361" s="4">
        <v>347574.67188217439</v>
      </c>
      <c r="G361" s="4">
        <v>347577.79140151181</v>
      </c>
      <c r="H361" s="5">
        <f t="shared" si="2"/>
        <v>0</v>
      </c>
      <c r="I361" t="s">
        <v>85</v>
      </c>
      <c r="J361" t="s">
        <v>134</v>
      </c>
      <c r="K361" s="5">
        <f>431 / 86400</f>
        <v>4.9884259259259257E-3</v>
      </c>
      <c r="L361" s="5">
        <f>122 / 86400</f>
        <v>1.4120370370370369E-3</v>
      </c>
    </row>
    <row r="362" spans="1:12" x14ac:dyDescent="0.25">
      <c r="A362" s="3">
        <v>45698.661550925928</v>
      </c>
      <c r="B362" t="s">
        <v>34</v>
      </c>
      <c r="C362" s="3">
        <v>45698.661805555559</v>
      </c>
      <c r="D362" t="s">
        <v>222</v>
      </c>
      <c r="E362" s="4">
        <v>7.5651710629463199E-3</v>
      </c>
      <c r="F362" s="4">
        <v>347578.35103734193</v>
      </c>
      <c r="G362" s="4">
        <v>347578.35860251304</v>
      </c>
      <c r="H362" s="5">
        <f t="shared" si="2"/>
        <v>0</v>
      </c>
      <c r="I362" t="s">
        <v>61</v>
      </c>
      <c r="J362" t="s">
        <v>62</v>
      </c>
      <c r="K362" s="5">
        <f>22 / 86400</f>
        <v>2.5462962962962961E-4</v>
      </c>
      <c r="L362" s="5">
        <f>20 / 86400</f>
        <v>2.3148148148148149E-4</v>
      </c>
    </row>
    <row r="363" spans="1:12" x14ac:dyDescent="0.25">
      <c r="A363" s="3">
        <v>45698.662037037036</v>
      </c>
      <c r="B363" t="s">
        <v>222</v>
      </c>
      <c r="C363" s="3">
        <v>45698.66342592593</v>
      </c>
      <c r="D363" t="s">
        <v>112</v>
      </c>
      <c r="E363" s="4">
        <v>0.39703152728080748</v>
      </c>
      <c r="F363" s="4">
        <v>347578.36194058903</v>
      </c>
      <c r="G363" s="4">
        <v>347578.75897211628</v>
      </c>
      <c r="H363" s="5">
        <f t="shared" si="2"/>
        <v>0</v>
      </c>
      <c r="I363" t="s">
        <v>176</v>
      </c>
      <c r="J363" t="s">
        <v>102</v>
      </c>
      <c r="K363" s="5">
        <f>120 / 86400</f>
        <v>1.3888888888888889E-3</v>
      </c>
      <c r="L363" s="5">
        <f>20 / 86400</f>
        <v>2.3148148148148149E-4</v>
      </c>
    </row>
    <row r="364" spans="1:12" x14ac:dyDescent="0.25">
      <c r="A364" s="3">
        <v>45698.663657407407</v>
      </c>
      <c r="B364" t="s">
        <v>112</v>
      </c>
      <c r="C364" s="3">
        <v>45698.664583333331</v>
      </c>
      <c r="D364" t="s">
        <v>302</v>
      </c>
      <c r="E364" s="4">
        <v>0.46144569873809815</v>
      </c>
      <c r="F364" s="4">
        <v>347578.7711872473</v>
      </c>
      <c r="G364" s="4">
        <v>347579.23263294599</v>
      </c>
      <c r="H364" s="5">
        <f t="shared" si="2"/>
        <v>0</v>
      </c>
      <c r="I364" t="s">
        <v>213</v>
      </c>
      <c r="J364" t="s">
        <v>136</v>
      </c>
      <c r="K364" s="5">
        <f>80 / 86400</f>
        <v>9.2592592592592596E-4</v>
      </c>
      <c r="L364" s="5">
        <f>20 / 86400</f>
        <v>2.3148148148148149E-4</v>
      </c>
    </row>
    <row r="365" spans="1:12" x14ac:dyDescent="0.25">
      <c r="A365" s="3">
        <v>45698.664814814816</v>
      </c>
      <c r="B365" t="s">
        <v>302</v>
      </c>
      <c r="C365" s="3">
        <v>45698.668043981481</v>
      </c>
      <c r="D365" t="s">
        <v>303</v>
      </c>
      <c r="E365" s="4">
        <v>1.4303399633765221</v>
      </c>
      <c r="F365" s="4">
        <v>347579.23813288042</v>
      </c>
      <c r="G365" s="4">
        <v>347580.66847284377</v>
      </c>
      <c r="H365" s="5">
        <f t="shared" si="2"/>
        <v>0</v>
      </c>
      <c r="I365" t="s">
        <v>304</v>
      </c>
      <c r="J365" t="s">
        <v>25</v>
      </c>
      <c r="K365" s="5">
        <f>279 / 86400</f>
        <v>3.2291666666666666E-3</v>
      </c>
      <c r="L365" s="5">
        <f>20 / 86400</f>
        <v>2.3148148148148149E-4</v>
      </c>
    </row>
    <row r="366" spans="1:12" x14ac:dyDescent="0.25">
      <c r="A366" s="3">
        <v>45698.668275462958</v>
      </c>
      <c r="B366" t="s">
        <v>305</v>
      </c>
      <c r="C366" s="3">
        <v>45698.668506944443</v>
      </c>
      <c r="D366" t="s">
        <v>223</v>
      </c>
      <c r="E366" s="4">
        <v>9.1631401956081396E-2</v>
      </c>
      <c r="F366" s="4">
        <v>347580.7760961529</v>
      </c>
      <c r="G366" s="4">
        <v>347580.86772755487</v>
      </c>
      <c r="H366" s="5">
        <f t="shared" si="2"/>
        <v>0</v>
      </c>
      <c r="I366" t="s">
        <v>171</v>
      </c>
      <c r="J366" t="s">
        <v>19</v>
      </c>
      <c r="K366" s="5">
        <f>20 / 86400</f>
        <v>2.3148148148148149E-4</v>
      </c>
      <c r="L366" s="5">
        <f>20 / 86400</f>
        <v>2.3148148148148149E-4</v>
      </c>
    </row>
    <row r="367" spans="1:12" x14ac:dyDescent="0.25">
      <c r="A367" s="3">
        <v>45698.668738425928</v>
      </c>
      <c r="B367" t="s">
        <v>305</v>
      </c>
      <c r="C367" s="3">
        <v>45698.669907407406</v>
      </c>
      <c r="D367" t="s">
        <v>306</v>
      </c>
      <c r="E367" s="4">
        <v>0.73655945223569874</v>
      </c>
      <c r="F367" s="4">
        <v>347580.9286211537</v>
      </c>
      <c r="G367" s="4">
        <v>347581.66518060595</v>
      </c>
      <c r="H367" s="5">
        <f t="shared" si="2"/>
        <v>0</v>
      </c>
      <c r="I367" t="s">
        <v>145</v>
      </c>
      <c r="J367" t="s">
        <v>134</v>
      </c>
      <c r="K367" s="5">
        <f>101 / 86400</f>
        <v>1.1689814814814816E-3</v>
      </c>
      <c r="L367" s="5">
        <f>45 / 86400</f>
        <v>5.2083333333333333E-4</v>
      </c>
    </row>
    <row r="368" spans="1:12" x14ac:dyDescent="0.25">
      <c r="A368" s="3">
        <v>45698.670428240745</v>
      </c>
      <c r="B368" t="s">
        <v>306</v>
      </c>
      <c r="C368" s="3">
        <v>45698.673900462964</v>
      </c>
      <c r="D368" t="s">
        <v>225</v>
      </c>
      <c r="E368" s="4">
        <v>1.7628312925100327</v>
      </c>
      <c r="F368" s="4">
        <v>347581.68330456986</v>
      </c>
      <c r="G368" s="4">
        <v>347583.44613586232</v>
      </c>
      <c r="H368" s="5">
        <f t="shared" si="2"/>
        <v>0</v>
      </c>
      <c r="I368" t="s">
        <v>205</v>
      </c>
      <c r="J368" t="s">
        <v>136</v>
      </c>
      <c r="K368" s="5">
        <f>300 / 86400</f>
        <v>3.472222222222222E-3</v>
      </c>
      <c r="L368" s="5">
        <f>66 / 86400</f>
        <v>7.6388888888888893E-4</v>
      </c>
    </row>
    <row r="369" spans="1:12" x14ac:dyDescent="0.25">
      <c r="A369" s="3">
        <v>45698.674664351856</v>
      </c>
      <c r="B369" t="s">
        <v>225</v>
      </c>
      <c r="C369" s="3">
        <v>45698.675532407404</v>
      </c>
      <c r="D369" t="s">
        <v>69</v>
      </c>
      <c r="E369" s="4">
        <v>0.23073748338222505</v>
      </c>
      <c r="F369" s="4">
        <v>347583.45196161704</v>
      </c>
      <c r="G369" s="4">
        <v>347583.68269910046</v>
      </c>
      <c r="H369" s="5">
        <f t="shared" si="2"/>
        <v>0</v>
      </c>
      <c r="I369" t="s">
        <v>47</v>
      </c>
      <c r="J369" t="s">
        <v>59</v>
      </c>
      <c r="K369" s="5">
        <f>75 / 86400</f>
        <v>8.6805555555555551E-4</v>
      </c>
      <c r="L369" s="5">
        <f>20 / 86400</f>
        <v>2.3148148148148149E-4</v>
      </c>
    </row>
    <row r="370" spans="1:12" x14ac:dyDescent="0.25">
      <c r="A370" s="3">
        <v>45698.675763888888</v>
      </c>
      <c r="B370" t="s">
        <v>69</v>
      </c>
      <c r="C370" s="3">
        <v>45698.676921296297</v>
      </c>
      <c r="D370" t="s">
        <v>224</v>
      </c>
      <c r="E370" s="4">
        <v>0.93172131127119062</v>
      </c>
      <c r="F370" s="4">
        <v>347583.69040573691</v>
      </c>
      <c r="G370" s="4">
        <v>347584.62212704821</v>
      </c>
      <c r="H370" s="5">
        <f t="shared" si="2"/>
        <v>0</v>
      </c>
      <c r="I370" t="s">
        <v>215</v>
      </c>
      <c r="J370" t="s">
        <v>149</v>
      </c>
      <c r="K370" s="5">
        <f>100 / 86400</f>
        <v>1.1574074074074073E-3</v>
      </c>
      <c r="L370" s="5">
        <f>20 / 86400</f>
        <v>2.3148148148148149E-4</v>
      </c>
    </row>
    <row r="371" spans="1:12" x14ac:dyDescent="0.25">
      <c r="A371" s="3">
        <v>45698.677152777775</v>
      </c>
      <c r="B371" t="s">
        <v>224</v>
      </c>
      <c r="C371" s="3">
        <v>45698.680081018523</v>
      </c>
      <c r="D371" t="s">
        <v>227</v>
      </c>
      <c r="E371" s="4">
        <v>0.41787733459472653</v>
      </c>
      <c r="F371" s="4">
        <v>347584.73815131863</v>
      </c>
      <c r="G371" s="4">
        <v>347585.1560286532</v>
      </c>
      <c r="H371" s="5">
        <f t="shared" ref="H371:H404" si="3">0 / 86400</f>
        <v>0</v>
      </c>
      <c r="I371" t="s">
        <v>97</v>
      </c>
      <c r="J371" t="s">
        <v>61</v>
      </c>
      <c r="K371" s="5">
        <f>253 / 86400</f>
        <v>2.9282407407407408E-3</v>
      </c>
      <c r="L371" s="5">
        <f>20 / 86400</f>
        <v>2.3148148148148149E-4</v>
      </c>
    </row>
    <row r="372" spans="1:12" x14ac:dyDescent="0.25">
      <c r="A372" s="3">
        <v>45698.680312500001</v>
      </c>
      <c r="B372" t="s">
        <v>307</v>
      </c>
      <c r="C372" s="3">
        <v>45698.680775462963</v>
      </c>
      <c r="D372" t="s">
        <v>308</v>
      </c>
      <c r="E372" s="4">
        <v>6.1534903526306153E-2</v>
      </c>
      <c r="F372" s="4">
        <v>347585.19392589334</v>
      </c>
      <c r="G372" s="4">
        <v>347585.25546079688</v>
      </c>
      <c r="H372" s="5">
        <f t="shared" si="3"/>
        <v>0</v>
      </c>
      <c r="I372" t="s">
        <v>61</v>
      </c>
      <c r="J372" t="s">
        <v>61</v>
      </c>
      <c r="K372" s="5">
        <f>40 / 86400</f>
        <v>4.6296296296296298E-4</v>
      </c>
      <c r="L372" s="5">
        <f>20 / 86400</f>
        <v>2.3148148148148149E-4</v>
      </c>
    </row>
    <row r="373" spans="1:12" x14ac:dyDescent="0.25">
      <c r="A373" s="3">
        <v>45698.681006944447</v>
      </c>
      <c r="B373" t="s">
        <v>309</v>
      </c>
      <c r="C373" s="3">
        <v>45698.681701388894</v>
      </c>
      <c r="D373" t="s">
        <v>207</v>
      </c>
      <c r="E373" s="4">
        <v>0.17683730161190034</v>
      </c>
      <c r="F373" s="4">
        <v>347585.26626595017</v>
      </c>
      <c r="G373" s="4">
        <v>347585.44310325175</v>
      </c>
      <c r="H373" s="5">
        <f t="shared" si="3"/>
        <v>0</v>
      </c>
      <c r="I373" t="s">
        <v>136</v>
      </c>
      <c r="J373" t="s">
        <v>59</v>
      </c>
      <c r="K373" s="5">
        <f>60 / 86400</f>
        <v>6.9444444444444447E-4</v>
      </c>
      <c r="L373" s="5">
        <f>20 / 86400</f>
        <v>2.3148148148148149E-4</v>
      </c>
    </row>
    <row r="374" spans="1:12" x14ac:dyDescent="0.25">
      <c r="A374" s="3">
        <v>45698.681932870371</v>
      </c>
      <c r="B374" t="s">
        <v>207</v>
      </c>
      <c r="C374" s="3">
        <v>45698.682858796295</v>
      </c>
      <c r="D374" t="s">
        <v>69</v>
      </c>
      <c r="E374" s="4">
        <v>0.57059288030862809</v>
      </c>
      <c r="F374" s="4">
        <v>347585.45279740856</v>
      </c>
      <c r="G374" s="4">
        <v>347586.02339028887</v>
      </c>
      <c r="H374" s="5">
        <f t="shared" si="3"/>
        <v>0</v>
      </c>
      <c r="I374" t="s">
        <v>148</v>
      </c>
      <c r="J374" t="s">
        <v>134</v>
      </c>
      <c r="K374" s="5">
        <f>80 / 86400</f>
        <v>9.2592592592592596E-4</v>
      </c>
      <c r="L374" s="5">
        <f>40 / 86400</f>
        <v>4.6296296296296298E-4</v>
      </c>
    </row>
    <row r="375" spans="1:12" x14ac:dyDescent="0.25">
      <c r="A375" s="3">
        <v>45698.683321759258</v>
      </c>
      <c r="B375" t="s">
        <v>249</v>
      </c>
      <c r="C375" s="3">
        <v>45698.68586805556</v>
      </c>
      <c r="D375" t="s">
        <v>95</v>
      </c>
      <c r="E375" s="4">
        <v>1.3758804124593735</v>
      </c>
      <c r="F375" s="4">
        <v>347586.06989089155</v>
      </c>
      <c r="G375" s="4">
        <v>347587.44577130402</v>
      </c>
      <c r="H375" s="5">
        <f t="shared" si="3"/>
        <v>0</v>
      </c>
      <c r="I375" t="s">
        <v>189</v>
      </c>
      <c r="J375" t="s">
        <v>47</v>
      </c>
      <c r="K375" s="5">
        <f>220 / 86400</f>
        <v>2.5462962962962965E-3</v>
      </c>
      <c r="L375" s="5">
        <f>20 / 86400</f>
        <v>2.3148148148148149E-4</v>
      </c>
    </row>
    <row r="376" spans="1:12" x14ac:dyDescent="0.25">
      <c r="A376" s="3">
        <v>45698.686099537037</v>
      </c>
      <c r="B376" t="s">
        <v>95</v>
      </c>
      <c r="C376" s="3">
        <v>45698.688414351855</v>
      </c>
      <c r="D376" t="s">
        <v>310</v>
      </c>
      <c r="E376" s="4">
        <v>1.536145743727684</v>
      </c>
      <c r="F376" s="4">
        <v>347587.50593066373</v>
      </c>
      <c r="G376" s="4">
        <v>347589.04207640741</v>
      </c>
      <c r="H376" s="5">
        <f t="shared" si="3"/>
        <v>0</v>
      </c>
      <c r="I376" t="s">
        <v>195</v>
      </c>
      <c r="J376" t="s">
        <v>140</v>
      </c>
      <c r="K376" s="5">
        <f>200 / 86400</f>
        <v>2.3148148148148147E-3</v>
      </c>
      <c r="L376" s="5">
        <f>20 / 86400</f>
        <v>2.3148148148148149E-4</v>
      </c>
    </row>
    <row r="377" spans="1:12" x14ac:dyDescent="0.25">
      <c r="A377" s="3">
        <v>45698.688645833332</v>
      </c>
      <c r="B377" t="s">
        <v>310</v>
      </c>
      <c r="C377" s="3">
        <v>45698.689571759256</v>
      </c>
      <c r="D377" t="s">
        <v>111</v>
      </c>
      <c r="E377" s="4">
        <v>0.21335142183303832</v>
      </c>
      <c r="F377" s="4">
        <v>347589.04616189975</v>
      </c>
      <c r="G377" s="4">
        <v>347589.25951332157</v>
      </c>
      <c r="H377" s="5">
        <f t="shared" si="3"/>
        <v>0</v>
      </c>
      <c r="I377" t="s">
        <v>57</v>
      </c>
      <c r="J377" t="s">
        <v>129</v>
      </c>
      <c r="K377" s="5">
        <f>80 / 86400</f>
        <v>9.2592592592592596E-4</v>
      </c>
      <c r="L377" s="5">
        <f>80 / 86400</f>
        <v>9.2592592592592596E-4</v>
      </c>
    </row>
    <row r="378" spans="1:12" x14ac:dyDescent="0.25">
      <c r="A378" s="3">
        <v>45698.69049768518</v>
      </c>
      <c r="B378" t="s">
        <v>111</v>
      </c>
      <c r="C378" s="3">
        <v>45698.696053240739</v>
      </c>
      <c r="D378" t="s">
        <v>111</v>
      </c>
      <c r="E378" s="4">
        <v>3.5273428099155426</v>
      </c>
      <c r="F378" s="4">
        <v>347589.30864282645</v>
      </c>
      <c r="G378" s="4">
        <v>347592.83598563634</v>
      </c>
      <c r="H378" s="5">
        <f t="shared" si="3"/>
        <v>0</v>
      </c>
      <c r="I378" t="s">
        <v>189</v>
      </c>
      <c r="J378" t="s">
        <v>134</v>
      </c>
      <c r="K378" s="5">
        <f>480 / 86400</f>
        <v>5.5555555555555558E-3</v>
      </c>
      <c r="L378" s="5">
        <f>20 / 86400</f>
        <v>2.3148148148148149E-4</v>
      </c>
    </row>
    <row r="379" spans="1:12" x14ac:dyDescent="0.25">
      <c r="A379" s="3">
        <v>45698.696284722224</v>
      </c>
      <c r="B379" t="s">
        <v>111</v>
      </c>
      <c r="C379" s="3">
        <v>45698.69767361111</v>
      </c>
      <c r="D379" t="s">
        <v>197</v>
      </c>
      <c r="E379" s="4">
        <v>0.9317889719009399</v>
      </c>
      <c r="F379" s="4">
        <v>347592.87245334865</v>
      </c>
      <c r="G379" s="4">
        <v>347593.80424232053</v>
      </c>
      <c r="H379" s="5">
        <f t="shared" si="3"/>
        <v>0</v>
      </c>
      <c r="I379" t="s">
        <v>304</v>
      </c>
      <c r="J379" t="s">
        <v>140</v>
      </c>
      <c r="K379" s="5">
        <f>120 / 86400</f>
        <v>1.3888888888888889E-3</v>
      </c>
      <c r="L379" s="5">
        <f>20 / 86400</f>
        <v>2.3148148148148149E-4</v>
      </c>
    </row>
    <row r="380" spans="1:12" x14ac:dyDescent="0.25">
      <c r="A380" s="3">
        <v>45698.697905092587</v>
      </c>
      <c r="B380" t="s">
        <v>197</v>
      </c>
      <c r="C380" s="3">
        <v>45698.699062500003</v>
      </c>
      <c r="D380" t="s">
        <v>192</v>
      </c>
      <c r="E380" s="4">
        <v>0.81486483335494997</v>
      </c>
      <c r="F380" s="4">
        <v>347593.82085153047</v>
      </c>
      <c r="G380" s="4">
        <v>347594.63571636385</v>
      </c>
      <c r="H380" s="5">
        <f t="shared" si="3"/>
        <v>0</v>
      </c>
      <c r="I380" t="s">
        <v>247</v>
      </c>
      <c r="J380" t="s">
        <v>193</v>
      </c>
      <c r="K380" s="5">
        <f>100 / 86400</f>
        <v>1.1574074074074073E-3</v>
      </c>
      <c r="L380" s="5">
        <f>5 / 86400</f>
        <v>5.7870370370370373E-5</v>
      </c>
    </row>
    <row r="381" spans="1:12" x14ac:dyDescent="0.25">
      <c r="A381" s="3">
        <v>45698.699120370366</v>
      </c>
      <c r="B381" t="s">
        <v>192</v>
      </c>
      <c r="C381" s="3">
        <v>45698.699421296296</v>
      </c>
      <c r="D381" t="s">
        <v>204</v>
      </c>
      <c r="E381" s="4">
        <v>2.0634073138237001E-2</v>
      </c>
      <c r="F381" s="4">
        <v>347594.63738599414</v>
      </c>
      <c r="G381" s="4">
        <v>347594.65802006726</v>
      </c>
      <c r="H381" s="5">
        <f t="shared" si="3"/>
        <v>0</v>
      </c>
      <c r="I381" t="s">
        <v>89</v>
      </c>
      <c r="J381" t="s">
        <v>169</v>
      </c>
      <c r="K381" s="5">
        <f>26 / 86400</f>
        <v>3.0092592592592595E-4</v>
      </c>
      <c r="L381" s="5">
        <f>94 / 86400</f>
        <v>1.0879629629629629E-3</v>
      </c>
    </row>
    <row r="382" spans="1:12" x14ac:dyDescent="0.25">
      <c r="A382" s="3">
        <v>45698.700509259259</v>
      </c>
      <c r="B382" t="s">
        <v>204</v>
      </c>
      <c r="C382" s="3">
        <v>45698.700740740736</v>
      </c>
      <c r="D382" t="s">
        <v>204</v>
      </c>
      <c r="E382" s="4">
        <v>2.9643178939819336E-2</v>
      </c>
      <c r="F382" s="4">
        <v>347594.69036315335</v>
      </c>
      <c r="G382" s="4">
        <v>347594.72000633227</v>
      </c>
      <c r="H382" s="5">
        <f t="shared" si="3"/>
        <v>0</v>
      </c>
      <c r="I382" t="s">
        <v>125</v>
      </c>
      <c r="J382" t="s">
        <v>125</v>
      </c>
      <c r="K382" s="5">
        <f>20 / 86400</f>
        <v>2.3148148148148149E-4</v>
      </c>
      <c r="L382" s="5">
        <f>13 / 86400</f>
        <v>1.5046296296296297E-4</v>
      </c>
    </row>
    <row r="383" spans="1:12" x14ac:dyDescent="0.25">
      <c r="A383" s="3">
        <v>45698.700891203705</v>
      </c>
      <c r="B383" t="s">
        <v>204</v>
      </c>
      <c r="C383" s="3">
        <v>45698.702743055561</v>
      </c>
      <c r="D383" t="s">
        <v>162</v>
      </c>
      <c r="E383" s="4">
        <v>1.3117720528244972</v>
      </c>
      <c r="F383" s="4">
        <v>347594.72855323565</v>
      </c>
      <c r="G383" s="4">
        <v>347596.04032528849</v>
      </c>
      <c r="H383" s="5">
        <f t="shared" si="3"/>
        <v>0</v>
      </c>
      <c r="I383" t="s">
        <v>311</v>
      </c>
      <c r="J383" t="s">
        <v>176</v>
      </c>
      <c r="K383" s="5">
        <f>160 / 86400</f>
        <v>1.8518518518518519E-3</v>
      </c>
      <c r="L383" s="5">
        <f>20 / 86400</f>
        <v>2.3148148148148149E-4</v>
      </c>
    </row>
    <row r="384" spans="1:12" x14ac:dyDescent="0.25">
      <c r="A384" s="3">
        <v>45698.702974537038</v>
      </c>
      <c r="B384" t="s">
        <v>162</v>
      </c>
      <c r="C384" s="3">
        <v>45698.704826388886</v>
      </c>
      <c r="D384" t="s">
        <v>162</v>
      </c>
      <c r="E384" s="4">
        <v>1.1040040257573127</v>
      </c>
      <c r="F384" s="4">
        <v>347596.05174100562</v>
      </c>
      <c r="G384" s="4">
        <v>347597.15574503137</v>
      </c>
      <c r="H384" s="5">
        <f t="shared" si="3"/>
        <v>0</v>
      </c>
      <c r="I384" t="s">
        <v>199</v>
      </c>
      <c r="J384" t="s">
        <v>171</v>
      </c>
      <c r="K384" s="5">
        <f>160 / 86400</f>
        <v>1.8518518518518519E-3</v>
      </c>
      <c r="L384" s="5">
        <f>20 / 86400</f>
        <v>2.3148148148148149E-4</v>
      </c>
    </row>
    <row r="385" spans="1:12" x14ac:dyDescent="0.25">
      <c r="A385" s="3">
        <v>45698.705057870371</v>
      </c>
      <c r="B385" t="s">
        <v>162</v>
      </c>
      <c r="C385" s="3">
        <v>45698.705312499995</v>
      </c>
      <c r="D385" t="s">
        <v>198</v>
      </c>
      <c r="E385" s="4">
        <v>3.6873484671115876E-2</v>
      </c>
      <c r="F385" s="4">
        <v>347597.16794210603</v>
      </c>
      <c r="G385" s="4">
        <v>347597.2048155907</v>
      </c>
      <c r="H385" s="5">
        <f t="shared" si="3"/>
        <v>0</v>
      </c>
      <c r="I385" t="s">
        <v>89</v>
      </c>
      <c r="J385" t="s">
        <v>61</v>
      </c>
      <c r="K385" s="5">
        <f>22 / 86400</f>
        <v>2.5462962962962961E-4</v>
      </c>
      <c r="L385" s="5">
        <f>46 / 86400</f>
        <v>5.3240740740740744E-4</v>
      </c>
    </row>
    <row r="386" spans="1:12" x14ac:dyDescent="0.25">
      <c r="A386" s="3">
        <v>45698.70584490741</v>
      </c>
      <c r="B386" t="s">
        <v>198</v>
      </c>
      <c r="C386" s="3">
        <v>45698.709780092591</v>
      </c>
      <c r="D386" t="s">
        <v>312</v>
      </c>
      <c r="E386" s="4">
        <v>3.6744872161746027</v>
      </c>
      <c r="F386" s="4">
        <v>347597.21465246979</v>
      </c>
      <c r="G386" s="4">
        <v>347600.88913968601</v>
      </c>
      <c r="H386" s="5">
        <f t="shared" si="3"/>
        <v>0</v>
      </c>
      <c r="I386" t="s">
        <v>114</v>
      </c>
      <c r="J386" t="s">
        <v>148</v>
      </c>
      <c r="K386" s="5">
        <f>340 / 86400</f>
        <v>3.9351851851851848E-3</v>
      </c>
      <c r="L386" s="5">
        <f>20 / 86400</f>
        <v>2.3148148148148149E-4</v>
      </c>
    </row>
    <row r="387" spans="1:12" x14ac:dyDescent="0.25">
      <c r="A387" s="3">
        <v>45698.710011574076</v>
      </c>
      <c r="B387" t="s">
        <v>246</v>
      </c>
      <c r="C387" s="3">
        <v>45698.710243055553</v>
      </c>
      <c r="D387" t="s">
        <v>37</v>
      </c>
      <c r="E387" s="4">
        <v>0.13390191054344178</v>
      </c>
      <c r="F387" s="4">
        <v>347600.99799335824</v>
      </c>
      <c r="G387" s="4">
        <v>347601.1318952688</v>
      </c>
      <c r="H387" s="5">
        <f t="shared" si="3"/>
        <v>0</v>
      </c>
      <c r="I387" t="s">
        <v>202</v>
      </c>
      <c r="J387" t="s">
        <v>36</v>
      </c>
      <c r="K387" s="5">
        <f>20 / 86400</f>
        <v>2.3148148148148149E-4</v>
      </c>
      <c r="L387" s="5">
        <f>20 / 86400</f>
        <v>2.3148148148148149E-4</v>
      </c>
    </row>
    <row r="388" spans="1:12" x14ac:dyDescent="0.25">
      <c r="A388" s="3">
        <v>45698.710474537038</v>
      </c>
      <c r="B388" t="s">
        <v>246</v>
      </c>
      <c r="C388" s="3">
        <v>45698.714178240742</v>
      </c>
      <c r="D388" t="s">
        <v>231</v>
      </c>
      <c r="E388" s="4">
        <v>2.525768978893757</v>
      </c>
      <c r="F388" s="4">
        <v>347601.25575208134</v>
      </c>
      <c r="G388" s="4">
        <v>347603.78152106021</v>
      </c>
      <c r="H388" s="5">
        <f t="shared" si="3"/>
        <v>0</v>
      </c>
      <c r="I388" t="s">
        <v>154</v>
      </c>
      <c r="J388" t="s">
        <v>140</v>
      </c>
      <c r="K388" s="5">
        <f>320 / 86400</f>
        <v>3.7037037037037038E-3</v>
      </c>
      <c r="L388" s="5">
        <f>20 / 86400</f>
        <v>2.3148148148148149E-4</v>
      </c>
    </row>
    <row r="389" spans="1:12" x14ac:dyDescent="0.25">
      <c r="A389" s="3">
        <v>45698.714409722219</v>
      </c>
      <c r="B389" t="s">
        <v>231</v>
      </c>
      <c r="C389" s="3">
        <v>45698.722013888888</v>
      </c>
      <c r="D389" t="s">
        <v>115</v>
      </c>
      <c r="E389" s="4">
        <v>6.598960898697376</v>
      </c>
      <c r="F389" s="4">
        <v>347603.8075313787</v>
      </c>
      <c r="G389" s="4">
        <v>347610.4064922774</v>
      </c>
      <c r="H389" s="5">
        <f t="shared" si="3"/>
        <v>0</v>
      </c>
      <c r="I389" t="s">
        <v>155</v>
      </c>
      <c r="J389" t="s">
        <v>229</v>
      </c>
      <c r="K389" s="5">
        <f>657 / 86400</f>
        <v>7.6041666666666671E-3</v>
      </c>
      <c r="L389" s="5">
        <f>20 / 86400</f>
        <v>2.3148148148148149E-4</v>
      </c>
    </row>
    <row r="390" spans="1:12" x14ac:dyDescent="0.25">
      <c r="A390" s="3">
        <v>45698.722245370373</v>
      </c>
      <c r="B390" t="s">
        <v>115</v>
      </c>
      <c r="C390" s="3">
        <v>45698.723263888889</v>
      </c>
      <c r="D390" t="s">
        <v>313</v>
      </c>
      <c r="E390" s="4">
        <v>0.58805510574579234</v>
      </c>
      <c r="F390" s="4">
        <v>347610.43752331537</v>
      </c>
      <c r="G390" s="4">
        <v>347611.02557842113</v>
      </c>
      <c r="H390" s="5">
        <f t="shared" si="3"/>
        <v>0</v>
      </c>
      <c r="I390" t="s">
        <v>176</v>
      </c>
      <c r="J390" t="s">
        <v>36</v>
      </c>
      <c r="K390" s="5">
        <f>88 / 86400</f>
        <v>1.0185185185185184E-3</v>
      </c>
      <c r="L390" s="5">
        <f>8 / 86400</f>
        <v>9.2592592592592588E-5</v>
      </c>
    </row>
    <row r="391" spans="1:12" x14ac:dyDescent="0.25">
      <c r="A391" s="3">
        <v>45698.723356481481</v>
      </c>
      <c r="B391" t="s">
        <v>313</v>
      </c>
      <c r="C391" s="3">
        <v>45698.726064814815</v>
      </c>
      <c r="D391" t="s">
        <v>314</v>
      </c>
      <c r="E391" s="4">
        <v>0.97020641350746151</v>
      </c>
      <c r="F391" s="4">
        <v>347611.03074744449</v>
      </c>
      <c r="G391" s="4">
        <v>347612.00095385802</v>
      </c>
      <c r="H391" s="5">
        <f t="shared" si="3"/>
        <v>0</v>
      </c>
      <c r="I391" t="s">
        <v>234</v>
      </c>
      <c r="J391" t="s">
        <v>57</v>
      </c>
      <c r="K391" s="5">
        <f>234 / 86400</f>
        <v>2.7083333333333334E-3</v>
      </c>
      <c r="L391" s="5">
        <f>16 / 86400</f>
        <v>1.8518518518518518E-4</v>
      </c>
    </row>
    <row r="392" spans="1:12" x14ac:dyDescent="0.25">
      <c r="A392" s="3">
        <v>45698.72625</v>
      </c>
      <c r="B392" t="s">
        <v>314</v>
      </c>
      <c r="C392" s="3">
        <v>45698.727962962963</v>
      </c>
      <c r="D392" t="s">
        <v>315</v>
      </c>
      <c r="E392" s="4">
        <v>0.57859020453691479</v>
      </c>
      <c r="F392" s="4">
        <v>347612.02275913354</v>
      </c>
      <c r="G392" s="4">
        <v>347612.60134933807</v>
      </c>
      <c r="H392" s="5">
        <f t="shared" si="3"/>
        <v>0</v>
      </c>
      <c r="I392" t="s">
        <v>171</v>
      </c>
      <c r="J392" t="s">
        <v>31</v>
      </c>
      <c r="K392" s="5">
        <f>148 / 86400</f>
        <v>1.712962962962963E-3</v>
      </c>
      <c r="L392" s="5">
        <f>17 / 86400</f>
        <v>1.9675925925925926E-4</v>
      </c>
    </row>
    <row r="393" spans="1:12" x14ac:dyDescent="0.25">
      <c r="A393" s="3">
        <v>45698.728159722217</v>
      </c>
      <c r="B393" t="s">
        <v>115</v>
      </c>
      <c r="C393" s="3">
        <v>45698.729999999996</v>
      </c>
      <c r="D393" t="s">
        <v>316</v>
      </c>
      <c r="E393" s="4">
        <v>0.76525553137063984</v>
      </c>
      <c r="F393" s="4">
        <v>347612.62193144939</v>
      </c>
      <c r="G393" s="4">
        <v>347613.38718698081</v>
      </c>
      <c r="H393" s="5">
        <f t="shared" si="3"/>
        <v>0</v>
      </c>
      <c r="I393" t="s">
        <v>211</v>
      </c>
      <c r="J393" t="s">
        <v>28</v>
      </c>
      <c r="K393" s="5">
        <f>159 / 86400</f>
        <v>1.8402777777777777E-3</v>
      </c>
      <c r="L393" s="5">
        <f>789 / 86400</f>
        <v>9.1319444444444443E-3</v>
      </c>
    </row>
    <row r="394" spans="1:12" x14ac:dyDescent="0.25">
      <c r="A394" s="3">
        <v>45698.739131944443</v>
      </c>
      <c r="B394" t="s">
        <v>316</v>
      </c>
      <c r="C394" s="3">
        <v>45698.741145833337</v>
      </c>
      <c r="D394" t="s">
        <v>115</v>
      </c>
      <c r="E394" s="4">
        <v>1.1231183988451958</v>
      </c>
      <c r="F394" s="4">
        <v>347613.39821096044</v>
      </c>
      <c r="G394" s="4">
        <v>347614.52132935927</v>
      </c>
      <c r="H394" s="5">
        <f t="shared" si="3"/>
        <v>0</v>
      </c>
      <c r="I394" t="s">
        <v>145</v>
      </c>
      <c r="J394" t="s">
        <v>47</v>
      </c>
      <c r="K394" s="5">
        <f>174 / 86400</f>
        <v>2.0138888888888888E-3</v>
      </c>
      <c r="L394" s="5">
        <f>20 / 86400</f>
        <v>2.3148148148148149E-4</v>
      </c>
    </row>
    <row r="395" spans="1:12" x14ac:dyDescent="0.25">
      <c r="A395" s="3">
        <v>45698.741377314815</v>
      </c>
      <c r="B395" t="s">
        <v>115</v>
      </c>
      <c r="C395" s="3">
        <v>45698.747187500005</v>
      </c>
      <c r="D395" t="s">
        <v>231</v>
      </c>
      <c r="E395" s="4">
        <v>5.1165975447893146</v>
      </c>
      <c r="F395" s="4">
        <v>347614.52916354401</v>
      </c>
      <c r="G395" s="4">
        <v>347619.64576108882</v>
      </c>
      <c r="H395" s="5">
        <f t="shared" si="3"/>
        <v>0</v>
      </c>
      <c r="I395" t="s">
        <v>156</v>
      </c>
      <c r="J395" t="s">
        <v>141</v>
      </c>
      <c r="K395" s="5">
        <f>502 / 86400</f>
        <v>5.8101851851851856E-3</v>
      </c>
      <c r="L395" s="5">
        <f>1 / 86400</f>
        <v>1.1574074074074073E-5</v>
      </c>
    </row>
    <row r="396" spans="1:12" x14ac:dyDescent="0.25">
      <c r="A396" s="3">
        <v>45698.747199074074</v>
      </c>
      <c r="B396" t="s">
        <v>231</v>
      </c>
      <c r="C396" s="3">
        <v>45698.750868055555</v>
      </c>
      <c r="D396" t="s">
        <v>317</v>
      </c>
      <c r="E396" s="4">
        <v>2.9789703194499015</v>
      </c>
      <c r="F396" s="4">
        <v>347619.64776208153</v>
      </c>
      <c r="G396" s="4">
        <v>347622.62673240097</v>
      </c>
      <c r="H396" s="5">
        <f t="shared" si="3"/>
        <v>0</v>
      </c>
      <c r="I396" t="s">
        <v>35</v>
      </c>
      <c r="J396" t="s">
        <v>149</v>
      </c>
      <c r="K396" s="5">
        <f>317 / 86400</f>
        <v>3.6689814814814814E-3</v>
      </c>
      <c r="L396" s="5">
        <f>20 / 86400</f>
        <v>2.3148148148148149E-4</v>
      </c>
    </row>
    <row r="397" spans="1:12" x14ac:dyDescent="0.25">
      <c r="A397" s="3">
        <v>45698.751099537039</v>
      </c>
      <c r="B397" t="s">
        <v>317</v>
      </c>
      <c r="C397" s="3">
        <v>45698.755497685182</v>
      </c>
      <c r="D397" t="s">
        <v>162</v>
      </c>
      <c r="E397" s="4">
        <v>5.1101960061192511</v>
      </c>
      <c r="F397" s="4">
        <v>347622.65173371811</v>
      </c>
      <c r="G397" s="4">
        <v>347627.76192972419</v>
      </c>
      <c r="H397" s="5">
        <f t="shared" si="3"/>
        <v>0</v>
      </c>
      <c r="I397" t="s">
        <v>83</v>
      </c>
      <c r="J397" t="s">
        <v>163</v>
      </c>
      <c r="K397" s="5">
        <f>380 / 86400</f>
        <v>4.3981481481481484E-3</v>
      </c>
      <c r="L397" s="5">
        <f>20 / 86400</f>
        <v>2.3148148148148149E-4</v>
      </c>
    </row>
    <row r="398" spans="1:12" x14ac:dyDescent="0.25">
      <c r="A398" s="3">
        <v>45698.755729166667</v>
      </c>
      <c r="B398" t="s">
        <v>162</v>
      </c>
      <c r="C398" s="3">
        <v>45698.756192129629</v>
      </c>
      <c r="D398" t="s">
        <v>162</v>
      </c>
      <c r="E398" s="4">
        <v>4.9917999386787412E-2</v>
      </c>
      <c r="F398" s="4">
        <v>347627.77862743748</v>
      </c>
      <c r="G398" s="4">
        <v>347627.82854543685</v>
      </c>
      <c r="H398" s="5">
        <f t="shared" si="3"/>
        <v>0</v>
      </c>
      <c r="I398" t="s">
        <v>168</v>
      </c>
      <c r="J398" t="s">
        <v>43</v>
      </c>
      <c r="K398" s="5">
        <f>40 / 86400</f>
        <v>4.6296296296296298E-4</v>
      </c>
      <c r="L398" s="5">
        <f>45 / 86400</f>
        <v>5.2083333333333333E-4</v>
      </c>
    </row>
    <row r="399" spans="1:12" x14ac:dyDescent="0.25">
      <c r="A399" s="3">
        <v>45698.756712962961</v>
      </c>
      <c r="B399" t="s">
        <v>162</v>
      </c>
      <c r="C399" s="3">
        <v>45698.757870370369</v>
      </c>
      <c r="D399" t="s">
        <v>162</v>
      </c>
      <c r="E399" s="4">
        <v>1.1551860675811767</v>
      </c>
      <c r="F399" s="4">
        <v>347627.83293445146</v>
      </c>
      <c r="G399" s="4">
        <v>347628.98812051903</v>
      </c>
      <c r="H399" s="5">
        <f t="shared" si="3"/>
        <v>0</v>
      </c>
      <c r="I399" t="s">
        <v>173</v>
      </c>
      <c r="J399" t="s">
        <v>202</v>
      </c>
      <c r="K399" s="5">
        <f>100 / 86400</f>
        <v>1.1574074074074073E-3</v>
      </c>
      <c r="L399" s="5">
        <f>20 / 86400</f>
        <v>2.3148148148148149E-4</v>
      </c>
    </row>
    <row r="400" spans="1:12" x14ac:dyDescent="0.25">
      <c r="A400" s="3">
        <v>45698.758101851854</v>
      </c>
      <c r="B400" t="s">
        <v>162</v>
      </c>
      <c r="C400" s="3">
        <v>45698.75949074074</v>
      </c>
      <c r="D400" t="s">
        <v>192</v>
      </c>
      <c r="E400" s="4">
        <v>1.1939373749494553</v>
      </c>
      <c r="F400" s="4">
        <v>347629.14258835028</v>
      </c>
      <c r="G400" s="4">
        <v>347630.33652572526</v>
      </c>
      <c r="H400" s="5">
        <f t="shared" si="3"/>
        <v>0</v>
      </c>
      <c r="I400" t="s">
        <v>66</v>
      </c>
      <c r="J400" t="s">
        <v>229</v>
      </c>
      <c r="K400" s="5">
        <f>120 / 86400</f>
        <v>1.3888888888888889E-3</v>
      </c>
      <c r="L400" s="5">
        <f>20 / 86400</f>
        <v>2.3148148148148149E-4</v>
      </c>
    </row>
    <row r="401" spans="1:12" x14ac:dyDescent="0.25">
      <c r="A401" s="3">
        <v>45698.759722222225</v>
      </c>
      <c r="B401" t="s">
        <v>204</v>
      </c>
      <c r="C401" s="3">
        <v>45698.761574074073</v>
      </c>
      <c r="D401" t="s">
        <v>192</v>
      </c>
      <c r="E401" s="4">
        <v>1.7528993220329285</v>
      </c>
      <c r="F401" s="4">
        <v>347630.40342492785</v>
      </c>
      <c r="G401" s="4">
        <v>347632.15632424987</v>
      </c>
      <c r="H401" s="5">
        <f t="shared" si="3"/>
        <v>0</v>
      </c>
      <c r="I401" t="s">
        <v>155</v>
      </c>
      <c r="J401" t="s">
        <v>148</v>
      </c>
      <c r="K401" s="5">
        <f>160 / 86400</f>
        <v>1.8518518518518519E-3</v>
      </c>
      <c r="L401" s="5">
        <f>13 / 86400</f>
        <v>1.5046296296296297E-4</v>
      </c>
    </row>
    <row r="402" spans="1:12" x14ac:dyDescent="0.25">
      <c r="A402" s="3">
        <v>45698.761724537035</v>
      </c>
      <c r="B402" t="s">
        <v>192</v>
      </c>
      <c r="C402" s="3">
        <v>45698.76253472222</v>
      </c>
      <c r="D402" t="s">
        <v>318</v>
      </c>
      <c r="E402" s="4">
        <v>6.9989383578300479E-2</v>
      </c>
      <c r="F402" s="4">
        <v>347632.1604855929</v>
      </c>
      <c r="G402" s="4">
        <v>347632.23047497647</v>
      </c>
      <c r="H402" s="5">
        <f t="shared" si="3"/>
        <v>0</v>
      </c>
      <c r="I402" t="s">
        <v>59</v>
      </c>
      <c r="J402" t="s">
        <v>43</v>
      </c>
      <c r="K402" s="5">
        <f>70 / 86400</f>
        <v>8.1018518518518516E-4</v>
      </c>
      <c r="L402" s="5">
        <f>169 / 86400</f>
        <v>1.9560185185185184E-3</v>
      </c>
    </row>
    <row r="403" spans="1:12" x14ac:dyDescent="0.25">
      <c r="A403" s="3">
        <v>45698.764490740738</v>
      </c>
      <c r="B403" t="s">
        <v>318</v>
      </c>
      <c r="C403" s="3">
        <v>45698.764837962968</v>
      </c>
      <c r="D403" t="s">
        <v>153</v>
      </c>
      <c r="E403" s="4">
        <v>2.6805930078029633E-2</v>
      </c>
      <c r="F403" s="4">
        <v>347632.23553560989</v>
      </c>
      <c r="G403" s="4">
        <v>347632.26234153996</v>
      </c>
      <c r="H403" s="5">
        <f t="shared" si="3"/>
        <v>0</v>
      </c>
      <c r="I403" t="s">
        <v>138</v>
      </c>
      <c r="J403" t="s">
        <v>169</v>
      </c>
      <c r="K403" s="5">
        <f>30 / 86400</f>
        <v>3.4722222222222224E-4</v>
      </c>
      <c r="L403" s="5">
        <f>19 / 86400</f>
        <v>2.199074074074074E-4</v>
      </c>
    </row>
    <row r="404" spans="1:12" x14ac:dyDescent="0.25">
      <c r="A404" s="3">
        <v>45698.765057870369</v>
      </c>
      <c r="B404" t="s">
        <v>153</v>
      </c>
      <c r="C404" s="3">
        <v>45698.767812499995</v>
      </c>
      <c r="D404" t="s">
        <v>29</v>
      </c>
      <c r="E404" s="4">
        <v>0.89946901339292529</v>
      </c>
      <c r="F404" s="4">
        <v>347632.2676512184</v>
      </c>
      <c r="G404" s="4">
        <v>347633.16712023178</v>
      </c>
      <c r="H404" s="5">
        <f t="shared" si="3"/>
        <v>0</v>
      </c>
      <c r="I404" t="s">
        <v>193</v>
      </c>
      <c r="J404" t="s">
        <v>31</v>
      </c>
      <c r="K404" s="5">
        <f>238 / 86400</f>
        <v>2.7546296296296294E-3</v>
      </c>
      <c r="L404" s="5">
        <f>20060 / 86400</f>
        <v>0.23217592592592592</v>
      </c>
    </row>
    <row r="405" spans="1:12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 spans="1:12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 spans="1:12" s="10" customFormat="1" ht="20.100000000000001" customHeight="1" x14ac:dyDescent="0.35">
      <c r="A407" s="12" t="s">
        <v>406</v>
      </c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1:12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 spans="1:12" ht="30" x14ac:dyDescent="0.25">
      <c r="A409" s="2" t="s">
        <v>5</v>
      </c>
      <c r="B409" s="2" t="s">
        <v>6</v>
      </c>
      <c r="C409" s="2" t="s">
        <v>7</v>
      </c>
      <c r="D409" s="2" t="s">
        <v>8</v>
      </c>
      <c r="E409" s="2" t="s">
        <v>9</v>
      </c>
      <c r="F409" s="2" t="s">
        <v>10</v>
      </c>
      <c r="G409" s="2" t="s">
        <v>11</v>
      </c>
      <c r="H409" s="2" t="s">
        <v>12</v>
      </c>
      <c r="I409" s="2" t="s">
        <v>13</v>
      </c>
      <c r="J409" s="2" t="s">
        <v>14</v>
      </c>
      <c r="K409" s="2" t="s">
        <v>15</v>
      </c>
      <c r="L409" s="2" t="s">
        <v>16</v>
      </c>
    </row>
    <row r="410" spans="1:12" x14ac:dyDescent="0.25">
      <c r="A410" s="3">
        <v>45698.168078703704</v>
      </c>
      <c r="B410" t="s">
        <v>37</v>
      </c>
      <c r="C410" s="3">
        <v>45698.353587962964</v>
      </c>
      <c r="D410" t="s">
        <v>128</v>
      </c>
      <c r="E410" s="4">
        <v>82.563999999999993</v>
      </c>
      <c r="F410" s="4">
        <v>483651.68199999997</v>
      </c>
      <c r="G410" s="4">
        <v>483734.24599999998</v>
      </c>
      <c r="H410" s="5">
        <f>4899 / 86400</f>
        <v>5.6701388888888891E-2</v>
      </c>
      <c r="I410" t="s">
        <v>38</v>
      </c>
      <c r="J410" t="s">
        <v>33</v>
      </c>
      <c r="K410" s="5">
        <f>16027 / 86400</f>
        <v>0.1854976851851852</v>
      </c>
      <c r="L410" s="5">
        <f>16801 / 86400</f>
        <v>0.19445601851851851</v>
      </c>
    </row>
    <row r="411" spans="1:12" x14ac:dyDescent="0.25">
      <c r="A411" s="3">
        <v>45698.379965277782</v>
      </c>
      <c r="B411" t="s">
        <v>128</v>
      </c>
      <c r="C411" s="3">
        <v>45698.384641203702</v>
      </c>
      <c r="D411" t="s">
        <v>137</v>
      </c>
      <c r="E411" s="4">
        <v>1.03</v>
      </c>
      <c r="F411" s="4">
        <v>483734.24599999998</v>
      </c>
      <c r="G411" s="4">
        <v>483735.27600000001</v>
      </c>
      <c r="H411" s="5">
        <f>140 / 86400</f>
        <v>1.6203703703703703E-3</v>
      </c>
      <c r="I411" t="s">
        <v>147</v>
      </c>
      <c r="J411" t="s">
        <v>138</v>
      </c>
      <c r="K411" s="5">
        <f>403 / 86400</f>
        <v>4.6643518518518518E-3</v>
      </c>
      <c r="L411" s="5">
        <f>482 / 86400</f>
        <v>5.5787037037037038E-3</v>
      </c>
    </row>
    <row r="412" spans="1:12" x14ac:dyDescent="0.25">
      <c r="A412" s="3">
        <v>45698.390219907407</v>
      </c>
      <c r="B412" t="s">
        <v>137</v>
      </c>
      <c r="C412" s="3">
        <v>45698.670891203699</v>
      </c>
      <c r="D412" t="s">
        <v>37</v>
      </c>
      <c r="E412" s="4">
        <v>112.199</v>
      </c>
      <c r="F412" s="4">
        <v>483735.27600000001</v>
      </c>
      <c r="G412" s="4">
        <v>483847.47499999998</v>
      </c>
      <c r="H412" s="5">
        <f>7219 / 86400</f>
        <v>8.3553240740740747E-2</v>
      </c>
      <c r="I412" t="s">
        <v>114</v>
      </c>
      <c r="J412" t="s">
        <v>28</v>
      </c>
      <c r="K412" s="5">
        <f>24249 / 86400</f>
        <v>0.28065972222222224</v>
      </c>
      <c r="L412" s="5">
        <f>28434 / 86400</f>
        <v>0.32909722222222221</v>
      </c>
    </row>
    <row r="413" spans="1:12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 spans="1:12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 spans="1:12" s="10" customFormat="1" ht="20.100000000000001" customHeight="1" x14ac:dyDescent="0.35">
      <c r="A415" s="12" t="s">
        <v>407</v>
      </c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1:12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 spans="1:12" ht="30" x14ac:dyDescent="0.25">
      <c r="A417" s="2" t="s">
        <v>5</v>
      </c>
      <c r="B417" s="2" t="s">
        <v>6</v>
      </c>
      <c r="C417" s="2" t="s">
        <v>7</v>
      </c>
      <c r="D417" s="2" t="s">
        <v>8</v>
      </c>
      <c r="E417" s="2" t="s">
        <v>9</v>
      </c>
      <c r="F417" s="2" t="s">
        <v>10</v>
      </c>
      <c r="G417" s="2" t="s">
        <v>11</v>
      </c>
      <c r="H417" s="2" t="s">
        <v>12</v>
      </c>
      <c r="I417" s="2" t="s">
        <v>13</v>
      </c>
      <c r="J417" s="2" t="s">
        <v>14</v>
      </c>
      <c r="K417" s="2" t="s">
        <v>15</v>
      </c>
      <c r="L417" s="2" t="s">
        <v>16</v>
      </c>
    </row>
    <row r="418" spans="1:12" x14ac:dyDescent="0.25">
      <c r="A418" s="3">
        <v>45698.331273148149</v>
      </c>
      <c r="B418" t="s">
        <v>39</v>
      </c>
      <c r="C418" s="3">
        <v>45698.342349537037</v>
      </c>
      <c r="D418" t="s">
        <v>123</v>
      </c>
      <c r="E418" s="4">
        <v>3.218</v>
      </c>
      <c r="F418" s="4">
        <v>507529.38299999997</v>
      </c>
      <c r="G418" s="4">
        <v>507532.60100000002</v>
      </c>
      <c r="H418" s="5">
        <f>299 / 86400</f>
        <v>3.460648148148148E-3</v>
      </c>
      <c r="I418" t="s">
        <v>149</v>
      </c>
      <c r="J418" t="s">
        <v>102</v>
      </c>
      <c r="K418" s="5">
        <f>957 / 86400</f>
        <v>1.1076388888888889E-2</v>
      </c>
      <c r="L418" s="5">
        <f>28631 / 86400</f>
        <v>0.33137731481481481</v>
      </c>
    </row>
    <row r="419" spans="1:12" x14ac:dyDescent="0.25">
      <c r="A419" s="3">
        <v>45698.342453703706</v>
      </c>
      <c r="B419" t="s">
        <v>123</v>
      </c>
      <c r="C419" s="3">
        <v>45698.343252314815</v>
      </c>
      <c r="D419" t="s">
        <v>123</v>
      </c>
      <c r="E419" s="4">
        <v>0</v>
      </c>
      <c r="F419" s="4">
        <v>507532.60100000002</v>
      </c>
      <c r="G419" s="4">
        <v>507532.60100000002</v>
      </c>
      <c r="H419" s="5">
        <f>59 / 86400</f>
        <v>6.8287037037037036E-4</v>
      </c>
      <c r="I419" t="s">
        <v>126</v>
      </c>
      <c r="J419" t="s">
        <v>126</v>
      </c>
      <c r="K419" s="5">
        <f>69 / 86400</f>
        <v>7.9861111111111116E-4</v>
      </c>
      <c r="L419" s="5">
        <f>756 / 86400</f>
        <v>8.7500000000000008E-3</v>
      </c>
    </row>
    <row r="420" spans="1:12" x14ac:dyDescent="0.25">
      <c r="A420" s="3">
        <v>45698.352002314816</v>
      </c>
      <c r="B420" t="s">
        <v>123</v>
      </c>
      <c r="C420" s="3">
        <v>45698.352511574078</v>
      </c>
      <c r="D420" t="s">
        <v>123</v>
      </c>
      <c r="E420" s="4">
        <v>0</v>
      </c>
      <c r="F420" s="4">
        <v>507532.60100000002</v>
      </c>
      <c r="G420" s="4">
        <v>507532.60100000002</v>
      </c>
      <c r="H420" s="5">
        <f>39 / 86400</f>
        <v>4.5138888888888887E-4</v>
      </c>
      <c r="I420" t="s">
        <v>126</v>
      </c>
      <c r="J420" t="s">
        <v>126</v>
      </c>
      <c r="K420" s="5">
        <f>44 / 86400</f>
        <v>5.0925925925925921E-4</v>
      </c>
      <c r="L420" s="5">
        <f>1871 / 86400</f>
        <v>2.1655092592592594E-2</v>
      </c>
    </row>
    <row r="421" spans="1:12" x14ac:dyDescent="0.25">
      <c r="A421" s="3">
        <v>45698.374166666668</v>
      </c>
      <c r="B421" t="s">
        <v>123</v>
      </c>
      <c r="C421" s="3">
        <v>45698.378460648149</v>
      </c>
      <c r="D421" t="s">
        <v>123</v>
      </c>
      <c r="E421" s="4">
        <v>0</v>
      </c>
      <c r="F421" s="4">
        <v>507532.60100000002</v>
      </c>
      <c r="G421" s="4">
        <v>507532.60100000002</v>
      </c>
      <c r="H421" s="5">
        <f>359 / 86400</f>
        <v>4.1550925925925922E-3</v>
      </c>
      <c r="I421" t="s">
        <v>126</v>
      </c>
      <c r="J421" t="s">
        <v>126</v>
      </c>
      <c r="K421" s="5">
        <f>370 / 86400</f>
        <v>4.2824074074074075E-3</v>
      </c>
      <c r="L421" s="5">
        <f>867 / 86400</f>
        <v>1.0034722222222223E-2</v>
      </c>
    </row>
    <row r="422" spans="1:12" x14ac:dyDescent="0.25">
      <c r="A422" s="3">
        <v>45698.388495370367</v>
      </c>
      <c r="B422" t="s">
        <v>123</v>
      </c>
      <c r="C422" s="3">
        <v>45698.528425925921</v>
      </c>
      <c r="D422" t="s">
        <v>319</v>
      </c>
      <c r="E422" s="4">
        <v>51.084000000000003</v>
      </c>
      <c r="F422" s="4">
        <v>507532.60100000002</v>
      </c>
      <c r="G422" s="4">
        <v>507583.685</v>
      </c>
      <c r="H422" s="5">
        <f>4379 / 86400</f>
        <v>5.0682870370370371E-2</v>
      </c>
      <c r="I422" t="s">
        <v>188</v>
      </c>
      <c r="J422" t="s">
        <v>57</v>
      </c>
      <c r="K422" s="5">
        <f>12089 / 86400</f>
        <v>0.13991898148148149</v>
      </c>
      <c r="L422" s="5">
        <f>1721 / 86400</f>
        <v>1.9918981481481482E-2</v>
      </c>
    </row>
    <row r="423" spans="1:12" x14ac:dyDescent="0.25">
      <c r="A423" s="3">
        <v>45698.548344907409</v>
      </c>
      <c r="B423" t="s">
        <v>319</v>
      </c>
      <c r="C423" s="3">
        <v>45698.671585648146</v>
      </c>
      <c r="D423" t="s">
        <v>81</v>
      </c>
      <c r="E423" s="4">
        <v>46.069000000000003</v>
      </c>
      <c r="F423" s="4">
        <v>507583.685</v>
      </c>
      <c r="G423" s="4">
        <v>507629.75400000002</v>
      </c>
      <c r="H423" s="5">
        <f>3717 / 86400</f>
        <v>4.3020833333333335E-2</v>
      </c>
      <c r="I423" t="s">
        <v>56</v>
      </c>
      <c r="J423" t="s">
        <v>19</v>
      </c>
      <c r="K423" s="5">
        <f>10648 / 86400</f>
        <v>0.12324074074074073</v>
      </c>
      <c r="L423" s="5">
        <f>917 / 86400</f>
        <v>1.0613425925925925E-2</v>
      </c>
    </row>
    <row r="424" spans="1:12" x14ac:dyDescent="0.25">
      <c r="A424" s="3">
        <v>45698.682199074072</v>
      </c>
      <c r="B424" t="s">
        <v>81</v>
      </c>
      <c r="C424" s="3">
        <v>45698.865763888884</v>
      </c>
      <c r="D424" t="s">
        <v>123</v>
      </c>
      <c r="E424" s="4">
        <v>73.388999999999996</v>
      </c>
      <c r="F424" s="4">
        <v>507629.75400000002</v>
      </c>
      <c r="G424" s="4">
        <v>507703.14299999998</v>
      </c>
      <c r="H424" s="5">
        <f>4761 / 86400</f>
        <v>5.5104166666666669E-2</v>
      </c>
      <c r="I424" t="s">
        <v>40</v>
      </c>
      <c r="J424" t="s">
        <v>28</v>
      </c>
      <c r="K424" s="5">
        <f>15859 / 86400</f>
        <v>0.18355324074074075</v>
      </c>
      <c r="L424" s="5">
        <f>747 / 86400</f>
        <v>8.6458333333333335E-3</v>
      </c>
    </row>
    <row r="425" spans="1:12" x14ac:dyDescent="0.25">
      <c r="A425" s="3">
        <v>45698.874409722222</v>
      </c>
      <c r="B425" t="s">
        <v>123</v>
      </c>
      <c r="C425" s="3">
        <v>45698.885462962964</v>
      </c>
      <c r="D425" t="s">
        <v>39</v>
      </c>
      <c r="E425" s="4">
        <v>3.4529999999999998</v>
      </c>
      <c r="F425" s="4">
        <v>507703.14299999998</v>
      </c>
      <c r="G425" s="4">
        <v>507706.59600000002</v>
      </c>
      <c r="H425" s="5">
        <f>179 / 86400</f>
        <v>2.0717592592592593E-3</v>
      </c>
      <c r="I425" t="s">
        <v>171</v>
      </c>
      <c r="J425" t="s">
        <v>97</v>
      </c>
      <c r="K425" s="5">
        <f>955 / 86400</f>
        <v>1.105324074074074E-2</v>
      </c>
      <c r="L425" s="5">
        <f>4 / 86400</f>
        <v>4.6296296296296294E-5</v>
      </c>
    </row>
    <row r="426" spans="1:12" x14ac:dyDescent="0.25">
      <c r="A426" s="3">
        <v>45698.885509259257</v>
      </c>
      <c r="B426" t="s">
        <v>39</v>
      </c>
      <c r="C426" s="3">
        <v>45698.88616898148</v>
      </c>
      <c r="D426" t="s">
        <v>39</v>
      </c>
      <c r="E426" s="4">
        <v>2.1000000000000001E-2</v>
      </c>
      <c r="F426" s="4">
        <v>507706.59600000002</v>
      </c>
      <c r="G426" s="4">
        <v>507706.61700000003</v>
      </c>
      <c r="H426" s="5">
        <f>24 / 86400</f>
        <v>2.7777777777777778E-4</v>
      </c>
      <c r="I426" t="s">
        <v>59</v>
      </c>
      <c r="J426" t="s">
        <v>62</v>
      </c>
      <c r="K426" s="5">
        <f>57 / 86400</f>
        <v>6.5972222222222224E-4</v>
      </c>
      <c r="L426" s="5">
        <f>9834 / 86400</f>
        <v>0.11381944444444445</v>
      </c>
    </row>
    <row r="427" spans="1:12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 spans="1:12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 spans="1:12" s="10" customFormat="1" ht="20.100000000000001" customHeight="1" x14ac:dyDescent="0.35">
      <c r="A429" s="12" t="s">
        <v>408</v>
      </c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1:12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 spans="1:12" ht="30" x14ac:dyDescent="0.25">
      <c r="A431" s="2" t="s">
        <v>5</v>
      </c>
      <c r="B431" s="2" t="s">
        <v>6</v>
      </c>
      <c r="C431" s="2" t="s">
        <v>7</v>
      </c>
      <c r="D431" s="2" t="s">
        <v>8</v>
      </c>
      <c r="E431" s="2" t="s">
        <v>9</v>
      </c>
      <c r="F431" s="2" t="s">
        <v>10</v>
      </c>
      <c r="G431" s="2" t="s">
        <v>11</v>
      </c>
      <c r="H431" s="2" t="s">
        <v>12</v>
      </c>
      <c r="I431" s="2" t="s">
        <v>13</v>
      </c>
      <c r="J431" s="2" t="s">
        <v>14</v>
      </c>
      <c r="K431" s="2" t="s">
        <v>15</v>
      </c>
      <c r="L431" s="2" t="s">
        <v>16</v>
      </c>
    </row>
    <row r="432" spans="1:12" x14ac:dyDescent="0.25">
      <c r="A432" s="3">
        <v>45698.342731481476</v>
      </c>
      <c r="B432" t="s">
        <v>41</v>
      </c>
      <c r="C432" s="3">
        <v>45698.354687500003</v>
      </c>
      <c r="D432" t="s">
        <v>127</v>
      </c>
      <c r="E432" s="4">
        <v>1.145</v>
      </c>
      <c r="F432" s="4">
        <v>407382.734</v>
      </c>
      <c r="G432" s="4">
        <v>407383.87900000002</v>
      </c>
      <c r="H432" s="5">
        <f>719 / 86400</f>
        <v>8.3217592592592596E-3</v>
      </c>
      <c r="I432" t="s">
        <v>229</v>
      </c>
      <c r="J432" t="s">
        <v>43</v>
      </c>
      <c r="K432" s="5">
        <f>1032 / 86400</f>
        <v>1.1944444444444445E-2</v>
      </c>
      <c r="L432" s="5">
        <f>30462 / 86400</f>
        <v>0.35256944444444444</v>
      </c>
    </row>
    <row r="433" spans="1:12" x14ac:dyDescent="0.25">
      <c r="A433" s="3">
        <v>45698.364525462966</v>
      </c>
      <c r="B433" t="s">
        <v>127</v>
      </c>
      <c r="C433" s="3">
        <v>45698.365729166668</v>
      </c>
      <c r="D433" t="s">
        <v>123</v>
      </c>
      <c r="E433" s="4">
        <v>0.155</v>
      </c>
      <c r="F433" s="4">
        <v>407383.87900000002</v>
      </c>
      <c r="G433" s="4">
        <v>407384.03399999999</v>
      </c>
      <c r="H433" s="5">
        <f>20 / 86400</f>
        <v>2.3148148148148149E-4</v>
      </c>
      <c r="I433" t="s">
        <v>138</v>
      </c>
      <c r="J433" t="s">
        <v>125</v>
      </c>
      <c r="K433" s="5">
        <f>104 / 86400</f>
        <v>1.2037037037037038E-3</v>
      </c>
      <c r="L433" s="5">
        <f>1029 / 86400</f>
        <v>1.1909722222222223E-2</v>
      </c>
    </row>
    <row r="434" spans="1:12" x14ac:dyDescent="0.25">
      <c r="A434" s="3">
        <v>45698.377638888887</v>
      </c>
      <c r="B434" t="s">
        <v>123</v>
      </c>
      <c r="C434" s="3">
        <v>45698.378055555557</v>
      </c>
      <c r="D434" t="s">
        <v>123</v>
      </c>
      <c r="E434" s="4">
        <v>1.4999999999999999E-2</v>
      </c>
      <c r="F434" s="4">
        <v>407384.03399999999</v>
      </c>
      <c r="G434" s="4">
        <v>407384.049</v>
      </c>
      <c r="H434" s="5">
        <f>0 / 86400</f>
        <v>0</v>
      </c>
      <c r="I434" t="s">
        <v>132</v>
      </c>
      <c r="J434" t="s">
        <v>132</v>
      </c>
      <c r="K434" s="5">
        <f>36 / 86400</f>
        <v>4.1666666666666669E-4</v>
      </c>
      <c r="L434" s="5">
        <f>2333 / 86400</f>
        <v>2.7002314814814816E-2</v>
      </c>
    </row>
    <row r="435" spans="1:12" x14ac:dyDescent="0.25">
      <c r="A435" s="3">
        <v>45698.405057870375</v>
      </c>
      <c r="B435" t="s">
        <v>123</v>
      </c>
      <c r="C435" s="3">
        <v>45698.406030092592</v>
      </c>
      <c r="D435" t="s">
        <v>123</v>
      </c>
      <c r="E435" s="4">
        <v>0</v>
      </c>
      <c r="F435" s="4">
        <v>407384.049</v>
      </c>
      <c r="G435" s="4">
        <v>407384.049</v>
      </c>
      <c r="H435" s="5">
        <f>79 / 86400</f>
        <v>9.1435185185185185E-4</v>
      </c>
      <c r="I435" t="s">
        <v>126</v>
      </c>
      <c r="J435" t="s">
        <v>126</v>
      </c>
      <c r="K435" s="5">
        <f>83 / 86400</f>
        <v>9.6064814814814819E-4</v>
      </c>
      <c r="L435" s="5">
        <f>10615 / 86400</f>
        <v>0.1228587962962963</v>
      </c>
    </row>
    <row r="436" spans="1:12" x14ac:dyDescent="0.25">
      <c r="A436" s="3">
        <v>45698.52888888889</v>
      </c>
      <c r="B436" t="s">
        <v>123</v>
      </c>
      <c r="C436" s="3">
        <v>45698.534074074079</v>
      </c>
      <c r="D436" t="s">
        <v>320</v>
      </c>
      <c r="E436" s="4">
        <v>1.0569999999999999</v>
      </c>
      <c r="F436" s="4">
        <v>407384.049</v>
      </c>
      <c r="G436" s="4">
        <v>407385.10600000003</v>
      </c>
      <c r="H436" s="5">
        <f>199 / 86400</f>
        <v>2.3032407407407407E-3</v>
      </c>
      <c r="I436" t="s">
        <v>149</v>
      </c>
      <c r="J436" t="s">
        <v>138</v>
      </c>
      <c r="K436" s="5">
        <f>447 / 86400</f>
        <v>5.1736111111111115E-3</v>
      </c>
      <c r="L436" s="5">
        <f>915 / 86400</f>
        <v>1.0590277777777778E-2</v>
      </c>
    </row>
    <row r="437" spans="1:12" x14ac:dyDescent="0.25">
      <c r="A437" s="3">
        <v>45698.544664351852</v>
      </c>
      <c r="B437" t="s">
        <v>320</v>
      </c>
      <c r="C437" s="3">
        <v>45698.546701388885</v>
      </c>
      <c r="D437" t="s">
        <v>321</v>
      </c>
      <c r="E437" s="4">
        <v>0.42899999999999999</v>
      </c>
      <c r="F437" s="4">
        <v>407385.10600000003</v>
      </c>
      <c r="G437" s="4">
        <v>407385.53499999997</v>
      </c>
      <c r="H437" s="5">
        <f>20 / 86400</f>
        <v>2.3148148148148149E-4</v>
      </c>
      <c r="I437" t="s">
        <v>42</v>
      </c>
      <c r="J437" t="s">
        <v>138</v>
      </c>
      <c r="K437" s="5">
        <f>176 / 86400</f>
        <v>2.0370370370370369E-3</v>
      </c>
      <c r="L437" s="5">
        <f>419 / 86400</f>
        <v>4.8495370370370368E-3</v>
      </c>
    </row>
    <row r="438" spans="1:12" x14ac:dyDescent="0.25">
      <c r="A438" s="3">
        <v>45698.551550925928</v>
      </c>
      <c r="B438" t="s">
        <v>321</v>
      </c>
      <c r="C438" s="3">
        <v>45698.554490740746</v>
      </c>
      <c r="D438" t="s">
        <v>322</v>
      </c>
      <c r="E438" s="4">
        <v>0.90900000000000003</v>
      </c>
      <c r="F438" s="4">
        <v>407385.53499999997</v>
      </c>
      <c r="G438" s="4">
        <v>407386.44400000002</v>
      </c>
      <c r="H438" s="5">
        <f>39 / 86400</f>
        <v>4.5138888888888887E-4</v>
      </c>
      <c r="I438" t="s">
        <v>203</v>
      </c>
      <c r="J438" t="s">
        <v>97</v>
      </c>
      <c r="K438" s="5">
        <f>254 / 86400</f>
        <v>2.9398148148148148E-3</v>
      </c>
      <c r="L438" s="5">
        <f>181 / 86400</f>
        <v>2.0949074074074073E-3</v>
      </c>
    </row>
    <row r="439" spans="1:12" x14ac:dyDescent="0.25">
      <c r="A439" s="3">
        <v>45698.556585648148</v>
      </c>
      <c r="B439" t="s">
        <v>322</v>
      </c>
      <c r="C439" s="3">
        <v>45698.562152777777</v>
      </c>
      <c r="D439" t="s">
        <v>127</v>
      </c>
      <c r="E439" s="4">
        <v>0.49399999999999999</v>
      </c>
      <c r="F439" s="4">
        <v>407386.44400000002</v>
      </c>
      <c r="G439" s="4">
        <v>407386.93800000002</v>
      </c>
      <c r="H439" s="5">
        <f>359 / 86400</f>
        <v>4.1550925925925922E-3</v>
      </c>
      <c r="I439" t="s">
        <v>147</v>
      </c>
      <c r="J439" t="s">
        <v>43</v>
      </c>
      <c r="K439" s="5">
        <f>481 / 86400</f>
        <v>5.5671296296296293E-3</v>
      </c>
      <c r="L439" s="5">
        <f>272 / 86400</f>
        <v>3.1481481481481482E-3</v>
      </c>
    </row>
    <row r="440" spans="1:12" x14ac:dyDescent="0.25">
      <c r="A440" s="3">
        <v>45698.565300925926</v>
      </c>
      <c r="B440" t="s">
        <v>127</v>
      </c>
      <c r="C440" s="3">
        <v>45698.56631944445</v>
      </c>
      <c r="D440" t="s">
        <v>64</v>
      </c>
      <c r="E440" s="4">
        <v>0.13600000000000001</v>
      </c>
      <c r="F440" s="4">
        <v>407386.93800000002</v>
      </c>
      <c r="G440" s="4">
        <v>407387.07400000002</v>
      </c>
      <c r="H440" s="5">
        <f>19 / 86400</f>
        <v>2.199074074074074E-4</v>
      </c>
      <c r="I440" t="s">
        <v>59</v>
      </c>
      <c r="J440" t="s">
        <v>61</v>
      </c>
      <c r="K440" s="5">
        <f>88 / 86400</f>
        <v>1.0185185185185184E-3</v>
      </c>
      <c r="L440" s="5">
        <f>576 / 86400</f>
        <v>6.6666666666666671E-3</v>
      </c>
    </row>
    <row r="441" spans="1:12" x14ac:dyDescent="0.25">
      <c r="A441" s="3">
        <v>45698.57298611111</v>
      </c>
      <c r="B441" t="s">
        <v>323</v>
      </c>
      <c r="C441" s="3">
        <v>45698.590324074074</v>
      </c>
      <c r="D441" t="s">
        <v>324</v>
      </c>
      <c r="E441" s="4">
        <v>0.72599999999999998</v>
      </c>
      <c r="F441" s="4">
        <v>407387.07400000002</v>
      </c>
      <c r="G441" s="4">
        <v>407387.8</v>
      </c>
      <c r="H441" s="5">
        <f>1279 / 86400</f>
        <v>1.480324074074074E-2</v>
      </c>
      <c r="I441" t="s">
        <v>147</v>
      </c>
      <c r="J441" t="s">
        <v>132</v>
      </c>
      <c r="K441" s="5">
        <f>1498 / 86400</f>
        <v>1.7337962962962961E-2</v>
      </c>
      <c r="L441" s="5">
        <f>2921 / 86400</f>
        <v>3.380787037037037E-2</v>
      </c>
    </row>
    <row r="442" spans="1:12" x14ac:dyDescent="0.25">
      <c r="A442" s="3">
        <v>45698.624131944445</v>
      </c>
      <c r="B442" t="s">
        <v>324</v>
      </c>
      <c r="C442" s="3">
        <v>45698.63071759259</v>
      </c>
      <c r="D442" t="s">
        <v>41</v>
      </c>
      <c r="E442" s="4">
        <v>1.458</v>
      </c>
      <c r="F442" s="4">
        <v>407387.8</v>
      </c>
      <c r="G442" s="4">
        <v>407389.25799999997</v>
      </c>
      <c r="H442" s="5">
        <f>79 / 86400</f>
        <v>9.1435185185185185E-4</v>
      </c>
      <c r="I442" t="s">
        <v>25</v>
      </c>
      <c r="J442" t="s">
        <v>138</v>
      </c>
      <c r="K442" s="5">
        <f>569 / 86400</f>
        <v>6.5856481481481478E-3</v>
      </c>
      <c r="L442" s="5">
        <f>6411 / 86400</f>
        <v>7.4201388888888886E-2</v>
      </c>
    </row>
    <row r="443" spans="1:12" x14ac:dyDescent="0.25">
      <c r="A443" s="3">
        <v>45698.704918981486</v>
      </c>
      <c r="B443" t="s">
        <v>41</v>
      </c>
      <c r="C443" s="3">
        <v>45698.712222222224</v>
      </c>
      <c r="D443" t="s">
        <v>41</v>
      </c>
      <c r="E443" s="4">
        <v>0</v>
      </c>
      <c r="F443" s="4">
        <v>407389.25799999997</v>
      </c>
      <c r="G443" s="4">
        <v>407389.25799999997</v>
      </c>
      <c r="H443" s="5">
        <f>619 / 86400</f>
        <v>7.1643518518518514E-3</v>
      </c>
      <c r="I443" t="s">
        <v>126</v>
      </c>
      <c r="J443" t="s">
        <v>126</v>
      </c>
      <c r="K443" s="5">
        <f>630 / 86400</f>
        <v>7.2916666666666668E-3</v>
      </c>
      <c r="L443" s="5">
        <f>24863 / 86400</f>
        <v>0.2877662037037037</v>
      </c>
    </row>
    <row r="444" spans="1:12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12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 spans="1:12" s="10" customFormat="1" ht="20.100000000000001" customHeight="1" x14ac:dyDescent="0.35">
      <c r="A446" s="12" t="s">
        <v>409</v>
      </c>
      <c r="B446" s="12"/>
      <c r="C446" s="12"/>
      <c r="D446" s="12"/>
      <c r="E446" s="12"/>
      <c r="F446" s="12"/>
      <c r="G446" s="12"/>
      <c r="H446" s="12"/>
      <c r="I446" s="12"/>
      <c r="J446" s="12"/>
    </row>
    <row r="447" spans="1:12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 spans="1:12" ht="30" x14ac:dyDescent="0.25">
      <c r="A448" s="2" t="s">
        <v>5</v>
      </c>
      <c r="B448" s="2" t="s">
        <v>6</v>
      </c>
      <c r="C448" s="2" t="s">
        <v>7</v>
      </c>
      <c r="D448" s="2" t="s">
        <v>8</v>
      </c>
      <c r="E448" s="2" t="s">
        <v>9</v>
      </c>
      <c r="F448" s="2" t="s">
        <v>10</v>
      </c>
      <c r="G448" s="2" t="s">
        <v>11</v>
      </c>
      <c r="H448" s="2" t="s">
        <v>12</v>
      </c>
      <c r="I448" s="2" t="s">
        <v>13</v>
      </c>
      <c r="J448" s="2" t="s">
        <v>14</v>
      </c>
      <c r="K448" s="2" t="s">
        <v>15</v>
      </c>
      <c r="L448" s="2" t="s">
        <v>16</v>
      </c>
    </row>
    <row r="449" spans="1:12" x14ac:dyDescent="0.25">
      <c r="A449" s="3">
        <v>45698.29409722222</v>
      </c>
      <c r="B449" t="s">
        <v>44</v>
      </c>
      <c r="C449" s="3">
        <v>45698.303206018521</v>
      </c>
      <c r="D449" t="s">
        <v>160</v>
      </c>
      <c r="E449" s="4">
        <v>1.702</v>
      </c>
      <c r="F449" s="4">
        <v>437015.12400000001</v>
      </c>
      <c r="G449" s="4">
        <v>437016.826</v>
      </c>
      <c r="H449" s="5">
        <f>359 / 86400</f>
        <v>4.1550925925925922E-3</v>
      </c>
      <c r="I449" t="s">
        <v>141</v>
      </c>
      <c r="J449" t="s">
        <v>168</v>
      </c>
      <c r="K449" s="5">
        <f>786 / 86400</f>
        <v>9.0972222222222218E-3</v>
      </c>
      <c r="L449" s="5">
        <f>28083 / 86400</f>
        <v>0.32503472222222224</v>
      </c>
    </row>
    <row r="450" spans="1:12" x14ac:dyDescent="0.25">
      <c r="A450" s="3">
        <v>45698.334143518514</v>
      </c>
      <c r="B450" t="s">
        <v>160</v>
      </c>
      <c r="C450" s="3">
        <v>45698.565057870372</v>
      </c>
      <c r="D450" t="s">
        <v>45</v>
      </c>
      <c r="E450" s="4">
        <v>101.015</v>
      </c>
      <c r="F450" s="4">
        <v>437016.826</v>
      </c>
      <c r="G450" s="4">
        <v>437117.84100000001</v>
      </c>
      <c r="H450" s="5">
        <f>5439 / 86400</f>
        <v>6.295138888888889E-2</v>
      </c>
      <c r="I450" t="s">
        <v>27</v>
      </c>
      <c r="J450" t="s">
        <v>25</v>
      </c>
      <c r="K450" s="5">
        <f>19951 / 86400</f>
        <v>0.23091435185185186</v>
      </c>
      <c r="L450" s="5">
        <f>37578 / 86400</f>
        <v>0.43493055555555554</v>
      </c>
    </row>
    <row r="451" spans="1:12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 spans="1:12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 spans="1:12" s="10" customFormat="1" ht="20.100000000000001" customHeight="1" x14ac:dyDescent="0.35">
      <c r="A453" s="12" t="s">
        <v>410</v>
      </c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2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 spans="1:12" ht="30" x14ac:dyDescent="0.25">
      <c r="A455" s="2" t="s">
        <v>5</v>
      </c>
      <c r="B455" s="2" t="s">
        <v>6</v>
      </c>
      <c r="C455" s="2" t="s">
        <v>7</v>
      </c>
      <c r="D455" s="2" t="s">
        <v>8</v>
      </c>
      <c r="E455" s="2" t="s">
        <v>9</v>
      </c>
      <c r="F455" s="2" t="s">
        <v>10</v>
      </c>
      <c r="G455" s="2" t="s">
        <v>11</v>
      </c>
      <c r="H455" s="2" t="s">
        <v>12</v>
      </c>
      <c r="I455" s="2" t="s">
        <v>13</v>
      </c>
      <c r="J455" s="2" t="s">
        <v>14</v>
      </c>
      <c r="K455" s="2" t="s">
        <v>15</v>
      </c>
      <c r="L455" s="2" t="s">
        <v>16</v>
      </c>
    </row>
    <row r="456" spans="1:12" x14ac:dyDescent="0.25">
      <c r="A456" s="3">
        <v>45698.129571759258</v>
      </c>
      <c r="B456" t="s">
        <v>20</v>
      </c>
      <c r="C456" s="3">
        <v>45698.135763888888</v>
      </c>
      <c r="D456" t="s">
        <v>64</v>
      </c>
      <c r="E456" s="4">
        <v>0.71099999999999997</v>
      </c>
      <c r="F456" s="4">
        <v>53683.267999999996</v>
      </c>
      <c r="G456" s="4">
        <v>53683.978999999999</v>
      </c>
      <c r="H456" s="5">
        <f>399 / 86400</f>
        <v>4.6180555555555558E-3</v>
      </c>
      <c r="I456" t="s">
        <v>203</v>
      </c>
      <c r="J456" t="s">
        <v>125</v>
      </c>
      <c r="K456" s="5">
        <f>534 / 86400</f>
        <v>6.1805555555555555E-3</v>
      </c>
      <c r="L456" s="5">
        <f>11260 / 86400</f>
        <v>0.13032407407407406</v>
      </c>
    </row>
    <row r="457" spans="1:12" x14ac:dyDescent="0.25">
      <c r="A457" s="3">
        <v>45698.136516203704</v>
      </c>
      <c r="B457" t="s">
        <v>64</v>
      </c>
      <c r="C457" s="3">
        <v>45698.211342592593</v>
      </c>
      <c r="D457" t="s">
        <v>278</v>
      </c>
      <c r="E457" s="4">
        <v>52.872999999999998</v>
      </c>
      <c r="F457" s="4">
        <v>53683.978999999999</v>
      </c>
      <c r="G457" s="4">
        <v>53736.851999999999</v>
      </c>
      <c r="H457" s="5">
        <f>1380 / 86400</f>
        <v>1.5972222222222221E-2</v>
      </c>
      <c r="I457" t="s">
        <v>46</v>
      </c>
      <c r="J457" t="s">
        <v>193</v>
      </c>
      <c r="K457" s="5">
        <f>6465 / 86400</f>
        <v>7.4826388888888887E-2</v>
      </c>
      <c r="L457" s="5">
        <f>190 / 86400</f>
        <v>2.1990740740740742E-3</v>
      </c>
    </row>
    <row r="458" spans="1:12" x14ac:dyDescent="0.25">
      <c r="A458" s="3">
        <v>45698.213541666672</v>
      </c>
      <c r="B458" t="s">
        <v>278</v>
      </c>
      <c r="C458" s="3">
        <v>45698.302858796298</v>
      </c>
      <c r="D458" t="s">
        <v>170</v>
      </c>
      <c r="E458" s="4">
        <v>52.883000000000003</v>
      </c>
      <c r="F458" s="4">
        <v>53736.851999999999</v>
      </c>
      <c r="G458" s="4">
        <v>53789.735000000001</v>
      </c>
      <c r="H458" s="5">
        <f>1519 / 86400</f>
        <v>1.758101851851852E-2</v>
      </c>
      <c r="I458" t="s">
        <v>24</v>
      </c>
      <c r="J458" t="s">
        <v>171</v>
      </c>
      <c r="K458" s="5">
        <f>7717 / 86400</f>
        <v>8.9317129629629635E-2</v>
      </c>
      <c r="L458" s="5">
        <f>643 / 86400</f>
        <v>7.4421296296296293E-3</v>
      </c>
    </row>
    <row r="459" spans="1:12" x14ac:dyDescent="0.25">
      <c r="A459" s="3">
        <v>45698.310300925921</v>
      </c>
      <c r="B459" t="s">
        <v>170</v>
      </c>
      <c r="C459" s="3">
        <v>45698.312118055561</v>
      </c>
      <c r="D459" t="s">
        <v>137</v>
      </c>
      <c r="E459" s="4">
        <v>0.44600000000000001</v>
      </c>
      <c r="F459" s="4">
        <v>53789.735000000001</v>
      </c>
      <c r="G459" s="4">
        <v>53790.180999999997</v>
      </c>
      <c r="H459" s="5">
        <f>0 / 86400</f>
        <v>0</v>
      </c>
      <c r="I459" t="s">
        <v>171</v>
      </c>
      <c r="J459" t="s">
        <v>129</v>
      </c>
      <c r="K459" s="5">
        <f>157 / 86400</f>
        <v>1.8171296296296297E-3</v>
      </c>
      <c r="L459" s="5">
        <f>694 / 86400</f>
        <v>8.0324074074074082E-3</v>
      </c>
    </row>
    <row r="460" spans="1:12" x14ac:dyDescent="0.25">
      <c r="A460" s="3">
        <v>45698.320150462961</v>
      </c>
      <c r="B460" t="s">
        <v>137</v>
      </c>
      <c r="C460" s="3">
        <v>45698.323912037042</v>
      </c>
      <c r="D460" t="s">
        <v>123</v>
      </c>
      <c r="E460" s="4">
        <v>1.3240000000000001</v>
      </c>
      <c r="F460" s="4">
        <v>53790.180999999997</v>
      </c>
      <c r="G460" s="4">
        <v>53791.504999999997</v>
      </c>
      <c r="H460" s="5">
        <f>0 / 86400</f>
        <v>0</v>
      </c>
      <c r="I460" t="s">
        <v>193</v>
      </c>
      <c r="J460" t="s">
        <v>57</v>
      </c>
      <c r="K460" s="5">
        <f>324 / 86400</f>
        <v>3.7499999999999999E-3</v>
      </c>
      <c r="L460" s="5">
        <f>4 / 86400</f>
        <v>4.6296296296296294E-5</v>
      </c>
    </row>
    <row r="461" spans="1:12" x14ac:dyDescent="0.25">
      <c r="A461" s="3">
        <v>45698.323958333334</v>
      </c>
      <c r="B461" t="s">
        <v>123</v>
      </c>
      <c r="C461" s="3">
        <v>45698.32413194445</v>
      </c>
      <c r="D461" t="s">
        <v>123</v>
      </c>
      <c r="E461" s="4">
        <v>5.0000000000000001E-3</v>
      </c>
      <c r="F461" s="4">
        <v>53791.504999999997</v>
      </c>
      <c r="G461" s="4">
        <v>53791.51</v>
      </c>
      <c r="H461" s="5">
        <f>0 / 86400</f>
        <v>0</v>
      </c>
      <c r="I461" t="s">
        <v>62</v>
      </c>
      <c r="J461" t="s">
        <v>62</v>
      </c>
      <c r="K461" s="5">
        <f>15 / 86400</f>
        <v>1.7361111111111112E-4</v>
      </c>
      <c r="L461" s="5">
        <f>432 / 86400</f>
        <v>5.0000000000000001E-3</v>
      </c>
    </row>
    <row r="462" spans="1:12" x14ac:dyDescent="0.25">
      <c r="A462" s="3">
        <v>45698.32913194444</v>
      </c>
      <c r="B462" t="s">
        <v>123</v>
      </c>
      <c r="C462" s="3">
        <v>45698.329814814817</v>
      </c>
      <c r="D462" t="s">
        <v>123</v>
      </c>
      <c r="E462" s="4">
        <v>7.8E-2</v>
      </c>
      <c r="F462" s="4">
        <v>53791.51</v>
      </c>
      <c r="G462" s="4">
        <v>53791.588000000003</v>
      </c>
      <c r="H462" s="5">
        <f>0 / 86400</f>
        <v>0</v>
      </c>
      <c r="I462" t="s">
        <v>138</v>
      </c>
      <c r="J462" t="s">
        <v>125</v>
      </c>
      <c r="K462" s="5">
        <f>58 / 86400</f>
        <v>6.7129629629629625E-4</v>
      </c>
      <c r="L462" s="5">
        <f>69 / 86400</f>
        <v>7.9861111111111116E-4</v>
      </c>
    </row>
    <row r="463" spans="1:12" x14ac:dyDescent="0.25">
      <c r="A463" s="3">
        <v>45698.330613425926</v>
      </c>
      <c r="B463" t="s">
        <v>123</v>
      </c>
      <c r="C463" s="3">
        <v>45698.332280092596</v>
      </c>
      <c r="D463" t="s">
        <v>123</v>
      </c>
      <c r="E463" s="4">
        <v>9.7000000000000003E-2</v>
      </c>
      <c r="F463" s="4">
        <v>53791.588000000003</v>
      </c>
      <c r="G463" s="4">
        <v>53791.684999999998</v>
      </c>
      <c r="H463" s="5">
        <f>20 / 86400</f>
        <v>2.3148148148148149E-4</v>
      </c>
      <c r="I463" t="s">
        <v>125</v>
      </c>
      <c r="J463" t="s">
        <v>132</v>
      </c>
      <c r="K463" s="5">
        <f>143 / 86400</f>
        <v>1.6550925925925926E-3</v>
      </c>
      <c r="L463" s="5">
        <f>2211 / 86400</f>
        <v>2.5590277777777778E-2</v>
      </c>
    </row>
    <row r="464" spans="1:12" x14ac:dyDescent="0.25">
      <c r="A464" s="3">
        <v>45698.357870370368</v>
      </c>
      <c r="B464" t="s">
        <v>123</v>
      </c>
      <c r="C464" s="3">
        <v>45698.359270833331</v>
      </c>
      <c r="D464" t="s">
        <v>64</v>
      </c>
      <c r="E464" s="4">
        <v>0.16700000000000001</v>
      </c>
      <c r="F464" s="4">
        <v>53791.684999999998</v>
      </c>
      <c r="G464" s="4">
        <v>53791.851999999999</v>
      </c>
      <c r="H464" s="5">
        <f>20 / 86400</f>
        <v>2.3148148148148149E-4</v>
      </c>
      <c r="I464" t="s">
        <v>89</v>
      </c>
      <c r="J464" t="s">
        <v>125</v>
      </c>
      <c r="K464" s="5">
        <f>120 / 86400</f>
        <v>1.3888888888888889E-3</v>
      </c>
      <c r="L464" s="5">
        <f>59 / 86400</f>
        <v>6.8287037037037036E-4</v>
      </c>
    </row>
    <row r="465" spans="1:12" x14ac:dyDescent="0.25">
      <c r="A465" s="3">
        <v>45698.359953703708</v>
      </c>
      <c r="B465" t="s">
        <v>64</v>
      </c>
      <c r="C465" s="3">
        <v>45698.360983796301</v>
      </c>
      <c r="D465" t="s">
        <v>123</v>
      </c>
      <c r="E465" s="4">
        <v>0.17399999999999999</v>
      </c>
      <c r="F465" s="4">
        <v>53791.851999999999</v>
      </c>
      <c r="G465" s="4">
        <v>53792.025999999998</v>
      </c>
      <c r="H465" s="5">
        <f>0 / 86400</f>
        <v>0</v>
      </c>
      <c r="I465" t="s">
        <v>97</v>
      </c>
      <c r="J465" t="s">
        <v>89</v>
      </c>
      <c r="K465" s="5">
        <f>89 / 86400</f>
        <v>1.0300925925925926E-3</v>
      </c>
      <c r="L465" s="5">
        <f>19 / 86400</f>
        <v>2.199074074074074E-4</v>
      </c>
    </row>
    <row r="466" spans="1:12" x14ac:dyDescent="0.25">
      <c r="A466" s="3">
        <v>45698.361203703702</v>
      </c>
      <c r="B466" t="s">
        <v>123</v>
      </c>
      <c r="C466" s="3">
        <v>45698.361400462964</v>
      </c>
      <c r="D466" t="s">
        <v>123</v>
      </c>
      <c r="E466" s="4">
        <v>7.0000000000000001E-3</v>
      </c>
      <c r="F466" s="4">
        <v>53792.025999999998</v>
      </c>
      <c r="G466" s="4">
        <v>53792.033000000003</v>
      </c>
      <c r="H466" s="5">
        <f>0 / 86400</f>
        <v>0</v>
      </c>
      <c r="I466" t="s">
        <v>125</v>
      </c>
      <c r="J466" t="s">
        <v>132</v>
      </c>
      <c r="K466" s="5">
        <f>16 / 86400</f>
        <v>1.8518518518518518E-4</v>
      </c>
      <c r="L466" s="5">
        <f>4475 / 86400</f>
        <v>5.1793981481481483E-2</v>
      </c>
    </row>
    <row r="467" spans="1:12" x14ac:dyDescent="0.25">
      <c r="A467" s="3">
        <v>45698.413194444445</v>
      </c>
      <c r="B467" t="s">
        <v>123</v>
      </c>
      <c r="C467" s="3">
        <v>45698.416608796295</v>
      </c>
      <c r="D467" t="s">
        <v>325</v>
      </c>
      <c r="E467" s="4">
        <v>0.42199999999999999</v>
      </c>
      <c r="F467" s="4">
        <v>53792.033000000003</v>
      </c>
      <c r="G467" s="4">
        <v>53792.455000000002</v>
      </c>
      <c r="H467" s="5">
        <f>139 / 86400</f>
        <v>1.6087962962962963E-3</v>
      </c>
      <c r="I467" t="s">
        <v>22</v>
      </c>
      <c r="J467" t="s">
        <v>125</v>
      </c>
      <c r="K467" s="5">
        <f>295 / 86400</f>
        <v>3.414351851851852E-3</v>
      </c>
      <c r="L467" s="5">
        <f>61 / 86400</f>
        <v>7.0601851851851847E-4</v>
      </c>
    </row>
    <row r="468" spans="1:12" x14ac:dyDescent="0.25">
      <c r="A468" s="3">
        <v>45698.417314814811</v>
      </c>
      <c r="B468" t="s">
        <v>325</v>
      </c>
      <c r="C468" s="3">
        <v>45698.419328703705</v>
      </c>
      <c r="D468" t="s">
        <v>127</v>
      </c>
      <c r="E468" s="4">
        <v>0.318</v>
      </c>
      <c r="F468" s="4">
        <v>53792.455000000002</v>
      </c>
      <c r="G468" s="4">
        <v>53792.773000000001</v>
      </c>
      <c r="H468" s="5">
        <f>80 / 86400</f>
        <v>9.2592592592592596E-4</v>
      </c>
      <c r="I468" t="s">
        <v>193</v>
      </c>
      <c r="J468" t="s">
        <v>89</v>
      </c>
      <c r="K468" s="5">
        <f>173 / 86400</f>
        <v>2.0023148148148148E-3</v>
      </c>
      <c r="L468" s="5">
        <f>49 / 86400</f>
        <v>5.6712962962962967E-4</v>
      </c>
    </row>
    <row r="469" spans="1:12" x14ac:dyDescent="0.25">
      <c r="A469" s="3">
        <v>45698.419895833329</v>
      </c>
      <c r="B469" t="s">
        <v>127</v>
      </c>
      <c r="C469" s="3">
        <v>45698.423078703709</v>
      </c>
      <c r="D469" t="s">
        <v>92</v>
      </c>
      <c r="E469" s="4">
        <v>0.65500000000000003</v>
      </c>
      <c r="F469" s="4">
        <v>53792.773000000001</v>
      </c>
      <c r="G469" s="4">
        <v>53793.428</v>
      </c>
      <c r="H469" s="5">
        <f>139 / 86400</f>
        <v>1.6087962962962963E-3</v>
      </c>
      <c r="I469" t="s">
        <v>234</v>
      </c>
      <c r="J469" t="s">
        <v>138</v>
      </c>
      <c r="K469" s="5">
        <f>275 / 86400</f>
        <v>3.1828703703703702E-3</v>
      </c>
      <c r="L469" s="5">
        <f>234 / 86400</f>
        <v>2.7083333333333334E-3</v>
      </c>
    </row>
    <row r="470" spans="1:12" x14ac:dyDescent="0.25">
      <c r="A470" s="3">
        <v>45698.425787037035</v>
      </c>
      <c r="B470" t="s">
        <v>92</v>
      </c>
      <c r="C470" s="3">
        <v>45698.429560185185</v>
      </c>
      <c r="D470" t="s">
        <v>92</v>
      </c>
      <c r="E470" s="4">
        <v>0.121</v>
      </c>
      <c r="F470" s="4">
        <v>53793.428</v>
      </c>
      <c r="G470" s="4">
        <v>53793.548999999999</v>
      </c>
      <c r="H470" s="5">
        <f>200 / 86400</f>
        <v>2.3148148148148147E-3</v>
      </c>
      <c r="I470" t="s">
        <v>89</v>
      </c>
      <c r="J470" t="s">
        <v>62</v>
      </c>
      <c r="K470" s="5">
        <f>326 / 86400</f>
        <v>3.7731481481481483E-3</v>
      </c>
      <c r="L470" s="5">
        <f>20462 / 86400</f>
        <v>0.23682870370370371</v>
      </c>
    </row>
    <row r="471" spans="1:12" x14ac:dyDescent="0.25">
      <c r="A471" s="3">
        <v>45698.666388888887</v>
      </c>
      <c r="B471" t="s">
        <v>92</v>
      </c>
      <c r="C471" s="3">
        <v>45698.675162037034</v>
      </c>
      <c r="D471" t="s">
        <v>20</v>
      </c>
      <c r="E471" s="4">
        <v>1.5740000000000001</v>
      </c>
      <c r="F471" s="4">
        <v>53793.548999999999</v>
      </c>
      <c r="G471" s="4">
        <v>53795.123</v>
      </c>
      <c r="H471" s="5">
        <f>359 / 86400</f>
        <v>4.1550925925925922E-3</v>
      </c>
      <c r="I471" t="s">
        <v>229</v>
      </c>
      <c r="J471" t="s">
        <v>89</v>
      </c>
      <c r="K471" s="5">
        <f>757 / 86400</f>
        <v>8.7615740740740744E-3</v>
      </c>
      <c r="L471" s="5">
        <f>1429 / 86400</f>
        <v>1.653935185185185E-2</v>
      </c>
    </row>
    <row r="472" spans="1:12" x14ac:dyDescent="0.25">
      <c r="A472" s="3">
        <v>45698.691701388889</v>
      </c>
      <c r="B472" t="s">
        <v>20</v>
      </c>
      <c r="C472" s="3">
        <v>45698.692777777775</v>
      </c>
      <c r="D472" t="s">
        <v>20</v>
      </c>
      <c r="E472" s="4">
        <v>2.3E-2</v>
      </c>
      <c r="F472" s="4">
        <v>53795.123</v>
      </c>
      <c r="G472" s="4">
        <v>53795.146000000001</v>
      </c>
      <c r="H472" s="5">
        <f>39 / 86400</f>
        <v>4.5138888888888887E-4</v>
      </c>
      <c r="I472" t="s">
        <v>125</v>
      </c>
      <c r="J472" t="s">
        <v>62</v>
      </c>
      <c r="K472" s="5">
        <f>93 / 86400</f>
        <v>1.0763888888888889E-3</v>
      </c>
      <c r="L472" s="5">
        <f>10280 / 86400</f>
        <v>0.11898148148148148</v>
      </c>
    </row>
    <row r="473" spans="1:12" x14ac:dyDescent="0.25">
      <c r="A473" s="3">
        <v>45698.811759259261</v>
      </c>
      <c r="B473" t="s">
        <v>20</v>
      </c>
      <c r="C473" s="3">
        <v>45698.813981481479</v>
      </c>
      <c r="D473" t="s">
        <v>326</v>
      </c>
      <c r="E473" s="4">
        <v>2.8000000000000001E-2</v>
      </c>
      <c r="F473" s="4">
        <v>53795.146000000001</v>
      </c>
      <c r="G473" s="4">
        <v>53795.173999999999</v>
      </c>
      <c r="H473" s="5">
        <f>139 / 86400</f>
        <v>1.6087962962962963E-3</v>
      </c>
      <c r="I473" t="s">
        <v>169</v>
      </c>
      <c r="J473" t="s">
        <v>62</v>
      </c>
      <c r="K473" s="5">
        <f>192 / 86400</f>
        <v>2.2222222222222222E-3</v>
      </c>
      <c r="L473" s="5">
        <f>8090 / 86400</f>
        <v>9.3634259259259264E-2</v>
      </c>
    </row>
    <row r="474" spans="1:12" x14ac:dyDescent="0.25">
      <c r="A474" s="3">
        <v>45698.90761574074</v>
      </c>
      <c r="B474" t="s">
        <v>326</v>
      </c>
      <c r="C474" s="3">
        <v>45698.908067129625</v>
      </c>
      <c r="D474" t="s">
        <v>20</v>
      </c>
      <c r="E474" s="4">
        <v>3.5000000000000003E-2</v>
      </c>
      <c r="F474" s="4">
        <v>53795.173999999999</v>
      </c>
      <c r="G474" s="4">
        <v>53795.209000000003</v>
      </c>
      <c r="H474" s="5">
        <f>19 / 86400</f>
        <v>2.199074074074074E-4</v>
      </c>
      <c r="I474" t="s">
        <v>126</v>
      </c>
      <c r="J474" t="s">
        <v>169</v>
      </c>
      <c r="K474" s="5">
        <f>39 / 86400</f>
        <v>4.5138888888888887E-4</v>
      </c>
      <c r="L474" s="5">
        <f>7942 / 86400</f>
        <v>9.1921296296296293E-2</v>
      </c>
    </row>
    <row r="475" spans="1:12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 spans="1:12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 spans="1:12" s="10" customFormat="1" ht="20.100000000000001" customHeight="1" x14ac:dyDescent="0.35">
      <c r="A477" s="12" t="s">
        <v>411</v>
      </c>
      <c r="B477" s="12"/>
      <c r="C477" s="12"/>
      <c r="D477" s="12"/>
      <c r="E477" s="12"/>
      <c r="F477" s="12"/>
      <c r="G477" s="12"/>
      <c r="H477" s="12"/>
      <c r="I477" s="12"/>
      <c r="J477" s="12"/>
    </row>
    <row r="478" spans="1:12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 spans="1:12" ht="30" x14ac:dyDescent="0.25">
      <c r="A479" s="2" t="s">
        <v>5</v>
      </c>
      <c r="B479" s="2" t="s">
        <v>6</v>
      </c>
      <c r="C479" s="2" t="s">
        <v>7</v>
      </c>
      <c r="D479" s="2" t="s">
        <v>8</v>
      </c>
      <c r="E479" s="2" t="s">
        <v>9</v>
      </c>
      <c r="F479" s="2" t="s">
        <v>10</v>
      </c>
      <c r="G479" s="2" t="s">
        <v>11</v>
      </c>
      <c r="H479" s="2" t="s">
        <v>12</v>
      </c>
      <c r="I479" s="2" t="s">
        <v>13</v>
      </c>
      <c r="J479" s="2" t="s">
        <v>14</v>
      </c>
      <c r="K479" s="2" t="s">
        <v>15</v>
      </c>
      <c r="L479" s="2" t="s">
        <v>16</v>
      </c>
    </row>
    <row r="480" spans="1:12" x14ac:dyDescent="0.25">
      <c r="A480" s="3">
        <v>45698.159733796296</v>
      </c>
      <c r="B480" t="s">
        <v>48</v>
      </c>
      <c r="C480" s="3">
        <v>45698.165682870371</v>
      </c>
      <c r="D480" t="s">
        <v>327</v>
      </c>
      <c r="E480" s="4">
        <v>0.35299999999999998</v>
      </c>
      <c r="F480" s="4">
        <v>215437.68700000001</v>
      </c>
      <c r="G480" s="4">
        <v>215438.04</v>
      </c>
      <c r="H480" s="5">
        <f>399 / 86400</f>
        <v>4.6180555555555558E-3</v>
      </c>
      <c r="I480" t="s">
        <v>33</v>
      </c>
      <c r="J480" t="s">
        <v>132</v>
      </c>
      <c r="K480" s="5">
        <f>513 / 86400</f>
        <v>5.9375000000000001E-3</v>
      </c>
      <c r="L480" s="5">
        <f>13806 / 86400</f>
        <v>0.15979166666666667</v>
      </c>
    </row>
    <row r="481" spans="1:12" x14ac:dyDescent="0.25">
      <c r="A481" s="3">
        <v>45698.16574074074</v>
      </c>
      <c r="B481" t="s">
        <v>327</v>
      </c>
      <c r="C481" s="3">
        <v>45698.165798611109</v>
      </c>
      <c r="D481" t="s">
        <v>327</v>
      </c>
      <c r="E481" s="4">
        <v>0</v>
      </c>
      <c r="F481" s="4">
        <v>215438.04</v>
      </c>
      <c r="G481" s="4">
        <v>215438.04</v>
      </c>
      <c r="H481" s="5">
        <f>0 / 86400</f>
        <v>0</v>
      </c>
      <c r="I481" t="s">
        <v>126</v>
      </c>
      <c r="J481" t="s">
        <v>126</v>
      </c>
      <c r="K481" s="5">
        <f>5 / 86400</f>
        <v>5.7870370370370373E-5</v>
      </c>
      <c r="L481" s="5">
        <f>1272 / 86400</f>
        <v>1.4722222222222222E-2</v>
      </c>
    </row>
    <row r="482" spans="1:12" x14ac:dyDescent="0.25">
      <c r="A482" s="3">
        <v>45698.180520833332</v>
      </c>
      <c r="B482" t="s">
        <v>327</v>
      </c>
      <c r="C482" s="3">
        <v>45698.267939814818</v>
      </c>
      <c r="D482" t="s">
        <v>115</v>
      </c>
      <c r="E482" s="4">
        <v>43.84</v>
      </c>
      <c r="F482" s="4">
        <v>215438.04</v>
      </c>
      <c r="G482" s="4">
        <v>215481.88</v>
      </c>
      <c r="H482" s="5">
        <f>2641 / 86400</f>
        <v>3.0567129629629628E-2</v>
      </c>
      <c r="I482" t="s">
        <v>30</v>
      </c>
      <c r="J482" t="s">
        <v>136</v>
      </c>
      <c r="K482" s="5">
        <f>7552 / 86400</f>
        <v>8.7407407407407406E-2</v>
      </c>
      <c r="L482" s="5">
        <f>272 / 86400</f>
        <v>3.1481481481481482E-3</v>
      </c>
    </row>
    <row r="483" spans="1:12" x14ac:dyDescent="0.25">
      <c r="A483" s="3">
        <v>45698.271087962959</v>
      </c>
      <c r="B483" t="s">
        <v>115</v>
      </c>
      <c r="C483" s="3">
        <v>45698.288599537038</v>
      </c>
      <c r="D483" t="s">
        <v>137</v>
      </c>
      <c r="E483" s="4">
        <v>6.8719999999999999</v>
      </c>
      <c r="F483" s="4">
        <v>215481.88</v>
      </c>
      <c r="G483" s="4">
        <v>215488.75200000001</v>
      </c>
      <c r="H483" s="5">
        <f>440 / 86400</f>
        <v>5.092592592592593E-3</v>
      </c>
      <c r="I483" t="s">
        <v>311</v>
      </c>
      <c r="J483" t="s">
        <v>19</v>
      </c>
      <c r="K483" s="5">
        <f>1512 / 86400</f>
        <v>1.7500000000000002E-2</v>
      </c>
      <c r="L483" s="5">
        <f>1158 / 86400</f>
        <v>1.3402777777777777E-2</v>
      </c>
    </row>
    <row r="484" spans="1:12" x14ac:dyDescent="0.25">
      <c r="A484" s="3">
        <v>45698.302002314813</v>
      </c>
      <c r="B484" t="s">
        <v>137</v>
      </c>
      <c r="C484" s="3">
        <v>45698.387465277774</v>
      </c>
      <c r="D484" t="s">
        <v>146</v>
      </c>
      <c r="E484" s="4">
        <v>41.72</v>
      </c>
      <c r="F484" s="4">
        <v>215488.75200000001</v>
      </c>
      <c r="G484" s="4">
        <v>215530.47200000001</v>
      </c>
      <c r="H484" s="5">
        <f>2140 / 86400</f>
        <v>2.476851851851852E-2</v>
      </c>
      <c r="I484" t="s">
        <v>50</v>
      </c>
      <c r="J484" t="s">
        <v>22</v>
      </c>
      <c r="K484" s="5">
        <f>7384 / 86400</f>
        <v>8.5462962962962963E-2</v>
      </c>
      <c r="L484" s="5">
        <f>12 / 86400</f>
        <v>1.3888888888888889E-4</v>
      </c>
    </row>
    <row r="485" spans="1:12" x14ac:dyDescent="0.25">
      <c r="A485" s="3">
        <v>45698.387604166666</v>
      </c>
      <c r="B485" t="s">
        <v>146</v>
      </c>
      <c r="C485" s="3">
        <v>45698.387708333335</v>
      </c>
      <c r="D485" t="s">
        <v>146</v>
      </c>
      <c r="E485" s="4">
        <v>0</v>
      </c>
      <c r="F485" s="4">
        <v>215530.47200000001</v>
      </c>
      <c r="G485" s="4">
        <v>215530.47200000001</v>
      </c>
      <c r="H485" s="5">
        <f>4 / 86400</f>
        <v>4.6296296296296294E-5</v>
      </c>
      <c r="I485" t="s">
        <v>126</v>
      </c>
      <c r="J485" t="s">
        <v>126</v>
      </c>
      <c r="K485" s="5">
        <f>9 / 86400</f>
        <v>1.0416666666666667E-4</v>
      </c>
      <c r="L485" s="5">
        <f>1046 / 86400</f>
        <v>1.2106481481481482E-2</v>
      </c>
    </row>
    <row r="486" spans="1:12" x14ac:dyDescent="0.25">
      <c r="A486" s="3">
        <v>45698.399814814809</v>
      </c>
      <c r="B486" t="s">
        <v>146</v>
      </c>
      <c r="C486" s="3">
        <v>45698.490636574075</v>
      </c>
      <c r="D486" t="s">
        <v>123</v>
      </c>
      <c r="E486" s="4">
        <v>40.587000000000003</v>
      </c>
      <c r="F486" s="4">
        <v>215530.47200000001</v>
      </c>
      <c r="G486" s="4">
        <v>215571.05900000001</v>
      </c>
      <c r="H486" s="5">
        <f>2317 / 86400</f>
        <v>2.6817129629629628E-2</v>
      </c>
      <c r="I486" t="s">
        <v>38</v>
      </c>
      <c r="J486" t="s">
        <v>33</v>
      </c>
      <c r="K486" s="5">
        <f>7847 / 86400</f>
        <v>9.0821759259259255E-2</v>
      </c>
      <c r="L486" s="5">
        <f>1048 / 86400</f>
        <v>1.2129629629629629E-2</v>
      </c>
    </row>
    <row r="487" spans="1:12" x14ac:dyDescent="0.25">
      <c r="A487" s="3">
        <v>45698.502766203703</v>
      </c>
      <c r="B487" t="s">
        <v>123</v>
      </c>
      <c r="C487" s="3">
        <v>45698.504780092597</v>
      </c>
      <c r="D487" t="s">
        <v>49</v>
      </c>
      <c r="E487" s="4">
        <v>0.85499999999999998</v>
      </c>
      <c r="F487" s="4">
        <v>215571.05900000001</v>
      </c>
      <c r="G487" s="4">
        <v>215571.91399999999</v>
      </c>
      <c r="H487" s="5">
        <f>0 / 86400</f>
        <v>0</v>
      </c>
      <c r="I487" t="s">
        <v>148</v>
      </c>
      <c r="J487" t="s">
        <v>25</v>
      </c>
      <c r="K487" s="5">
        <f>174 / 86400</f>
        <v>2.0138888888888888E-3</v>
      </c>
      <c r="L487" s="5">
        <f>1368 / 86400</f>
        <v>1.5833333333333335E-2</v>
      </c>
    </row>
    <row r="488" spans="1:12" x14ac:dyDescent="0.25">
      <c r="A488" s="3">
        <v>45698.520613425921</v>
      </c>
      <c r="B488" t="s">
        <v>49</v>
      </c>
      <c r="C488" s="3">
        <v>45698.520682870367</v>
      </c>
      <c r="D488" t="s">
        <v>49</v>
      </c>
      <c r="E488" s="4">
        <v>0</v>
      </c>
      <c r="F488" s="4">
        <v>215571.91399999999</v>
      </c>
      <c r="G488" s="4">
        <v>215571.91399999999</v>
      </c>
      <c r="H488" s="5">
        <f>0 / 86400</f>
        <v>0</v>
      </c>
      <c r="I488" t="s">
        <v>126</v>
      </c>
      <c r="J488" t="s">
        <v>126</v>
      </c>
      <c r="K488" s="5">
        <f>6 / 86400</f>
        <v>6.9444444444444444E-5</v>
      </c>
      <c r="L488" s="5">
        <f>1515 / 86400</f>
        <v>1.7534722222222222E-2</v>
      </c>
    </row>
    <row r="489" spans="1:12" x14ac:dyDescent="0.25">
      <c r="A489" s="3">
        <v>45698.538217592592</v>
      </c>
      <c r="B489" t="s">
        <v>49</v>
      </c>
      <c r="C489" s="3">
        <v>45698.538298611107</v>
      </c>
      <c r="D489" t="s">
        <v>49</v>
      </c>
      <c r="E489" s="4">
        <v>0</v>
      </c>
      <c r="F489" s="4">
        <v>215571.91399999999</v>
      </c>
      <c r="G489" s="4">
        <v>215571.91399999999</v>
      </c>
      <c r="H489" s="5">
        <f>0 / 86400</f>
        <v>0</v>
      </c>
      <c r="I489" t="s">
        <v>126</v>
      </c>
      <c r="J489" t="s">
        <v>126</v>
      </c>
      <c r="K489" s="5">
        <f>7 / 86400</f>
        <v>8.1018518518518516E-5</v>
      </c>
      <c r="L489" s="5">
        <f>1608 / 86400</f>
        <v>1.861111111111111E-2</v>
      </c>
    </row>
    <row r="490" spans="1:12" x14ac:dyDescent="0.25">
      <c r="A490" s="3">
        <v>45698.556909722218</v>
      </c>
      <c r="B490" t="s">
        <v>49</v>
      </c>
      <c r="C490" s="3">
        <v>45698.557037037041</v>
      </c>
      <c r="D490" t="s">
        <v>49</v>
      </c>
      <c r="E490" s="4">
        <v>0</v>
      </c>
      <c r="F490" s="4">
        <v>215571.91399999999</v>
      </c>
      <c r="G490" s="4">
        <v>215571.91399999999</v>
      </c>
      <c r="H490" s="5">
        <f>0 / 86400</f>
        <v>0</v>
      </c>
      <c r="I490" t="s">
        <v>126</v>
      </c>
      <c r="J490" t="s">
        <v>126</v>
      </c>
      <c r="K490" s="5">
        <f>10 / 86400</f>
        <v>1.1574074074074075E-4</v>
      </c>
      <c r="L490" s="5">
        <f>2120 / 86400</f>
        <v>2.4537037037037038E-2</v>
      </c>
    </row>
    <row r="491" spans="1:12" x14ac:dyDescent="0.25">
      <c r="A491" s="3">
        <v>45698.581574074073</v>
      </c>
      <c r="B491" t="s">
        <v>49</v>
      </c>
      <c r="C491" s="3">
        <v>45698.581770833334</v>
      </c>
      <c r="D491" t="s">
        <v>49</v>
      </c>
      <c r="E491" s="4">
        <v>0</v>
      </c>
      <c r="F491" s="4">
        <v>215571.91399999999</v>
      </c>
      <c r="G491" s="4">
        <v>215571.91399999999</v>
      </c>
      <c r="H491" s="5">
        <f>0 / 86400</f>
        <v>0</v>
      </c>
      <c r="I491" t="s">
        <v>126</v>
      </c>
      <c r="J491" t="s">
        <v>126</v>
      </c>
      <c r="K491" s="5">
        <f>16 / 86400</f>
        <v>1.8518518518518518E-4</v>
      </c>
      <c r="L491" s="5">
        <f>4170 / 86400</f>
        <v>4.8263888888888891E-2</v>
      </c>
    </row>
    <row r="492" spans="1:12" x14ac:dyDescent="0.25">
      <c r="A492" s="3">
        <v>45698.63003472222</v>
      </c>
      <c r="B492" t="s">
        <v>49</v>
      </c>
      <c r="C492" s="3">
        <v>45698.634224537032</v>
      </c>
      <c r="D492" t="s">
        <v>157</v>
      </c>
      <c r="E492" s="4">
        <v>0.73899999999999999</v>
      </c>
      <c r="F492" s="4">
        <v>215571.91399999999</v>
      </c>
      <c r="G492" s="4">
        <v>215572.65299999999</v>
      </c>
      <c r="H492" s="5">
        <f>139 / 86400</f>
        <v>1.6087962962962963E-3</v>
      </c>
      <c r="I492" t="s">
        <v>47</v>
      </c>
      <c r="J492" t="s">
        <v>89</v>
      </c>
      <c r="K492" s="5">
        <f>361 / 86400</f>
        <v>4.178240740740741E-3</v>
      </c>
      <c r="L492" s="5">
        <f>212 / 86400</f>
        <v>2.4537037037037036E-3</v>
      </c>
    </row>
    <row r="493" spans="1:12" x14ac:dyDescent="0.25">
      <c r="A493" s="3">
        <v>45698.636678240742</v>
      </c>
      <c r="B493" t="s">
        <v>157</v>
      </c>
      <c r="C493" s="3">
        <v>45698.638101851851</v>
      </c>
      <c r="D493" t="s">
        <v>328</v>
      </c>
      <c r="E493" s="4">
        <v>4.3999999999999997E-2</v>
      </c>
      <c r="F493" s="4">
        <v>215572.65299999999</v>
      </c>
      <c r="G493" s="4">
        <v>215572.69699999999</v>
      </c>
      <c r="H493" s="5">
        <f>100 / 86400</f>
        <v>1.1574074074074073E-3</v>
      </c>
      <c r="I493" t="s">
        <v>89</v>
      </c>
      <c r="J493" t="s">
        <v>62</v>
      </c>
      <c r="K493" s="5">
        <f>122 / 86400</f>
        <v>1.4120370370370369E-3</v>
      </c>
      <c r="L493" s="5">
        <f>218 / 86400</f>
        <v>2.5231481481481481E-3</v>
      </c>
    </row>
    <row r="494" spans="1:12" x14ac:dyDescent="0.25">
      <c r="A494" s="3">
        <v>45698.640625</v>
      </c>
      <c r="B494" t="s">
        <v>328</v>
      </c>
      <c r="C494" s="3">
        <v>45698.643414351856</v>
      </c>
      <c r="D494" t="s">
        <v>142</v>
      </c>
      <c r="E494" s="4">
        <v>3.0000000000000001E-3</v>
      </c>
      <c r="F494" s="4">
        <v>215572.69699999999</v>
      </c>
      <c r="G494" s="4">
        <v>215572.7</v>
      </c>
      <c r="H494" s="5">
        <f>239 / 86400</f>
        <v>2.7662037037037039E-3</v>
      </c>
      <c r="I494" t="s">
        <v>126</v>
      </c>
      <c r="J494" t="s">
        <v>126</v>
      </c>
      <c r="K494" s="5">
        <f>241 / 86400</f>
        <v>2.7893518518518519E-3</v>
      </c>
      <c r="L494" s="5">
        <f>524 / 86400</f>
        <v>6.0648148148148145E-3</v>
      </c>
    </row>
    <row r="495" spans="1:12" x14ac:dyDescent="0.25">
      <c r="A495" s="3">
        <v>45698.649479166663</v>
      </c>
      <c r="B495" t="s">
        <v>142</v>
      </c>
      <c r="C495" s="3">
        <v>45698.649722222224</v>
      </c>
      <c r="D495" t="s">
        <v>142</v>
      </c>
      <c r="E495" s="4">
        <v>3.0000000000000001E-3</v>
      </c>
      <c r="F495" s="4">
        <v>215572.7</v>
      </c>
      <c r="G495" s="4">
        <v>215572.70300000001</v>
      </c>
      <c r="H495" s="5">
        <f>19 / 86400</f>
        <v>2.199074074074074E-4</v>
      </c>
      <c r="I495" t="s">
        <v>126</v>
      </c>
      <c r="J495" t="s">
        <v>62</v>
      </c>
      <c r="K495" s="5">
        <f>20 / 86400</f>
        <v>2.3148148148148149E-4</v>
      </c>
      <c r="L495" s="5">
        <f>166 / 86400</f>
        <v>1.9212962962962964E-3</v>
      </c>
    </row>
    <row r="496" spans="1:12" x14ac:dyDescent="0.25">
      <c r="A496" s="3">
        <v>45698.651643518519</v>
      </c>
      <c r="B496" t="s">
        <v>142</v>
      </c>
      <c r="C496" s="3">
        <v>45698.653240740736</v>
      </c>
      <c r="D496" t="s">
        <v>142</v>
      </c>
      <c r="E496" s="4">
        <v>0</v>
      </c>
      <c r="F496" s="4">
        <v>215572.70300000001</v>
      </c>
      <c r="G496" s="4">
        <v>215572.70300000001</v>
      </c>
      <c r="H496" s="5">
        <f>119 / 86400</f>
        <v>1.3773148148148147E-3</v>
      </c>
      <c r="I496" t="s">
        <v>126</v>
      </c>
      <c r="J496" t="s">
        <v>126</v>
      </c>
      <c r="K496" s="5">
        <f>138 / 86400</f>
        <v>1.5972222222222223E-3</v>
      </c>
      <c r="L496" s="5">
        <f>103 / 86400</f>
        <v>1.1921296296296296E-3</v>
      </c>
    </row>
    <row r="497" spans="1:12" x14ac:dyDescent="0.25">
      <c r="A497" s="3">
        <v>45698.654432870375</v>
      </c>
      <c r="B497" t="s">
        <v>142</v>
      </c>
      <c r="C497" s="3">
        <v>45698.934259259258</v>
      </c>
      <c r="D497" t="s">
        <v>64</v>
      </c>
      <c r="E497" s="4">
        <v>100.979</v>
      </c>
      <c r="F497" s="4">
        <v>215572.70300000001</v>
      </c>
      <c r="G497" s="4">
        <v>215673.682</v>
      </c>
      <c r="H497" s="5">
        <f>9169 / 86400</f>
        <v>0.10612268518518518</v>
      </c>
      <c r="I497" t="s">
        <v>32</v>
      </c>
      <c r="J497" t="s">
        <v>57</v>
      </c>
      <c r="K497" s="5">
        <f>24176 / 86400</f>
        <v>0.27981481481481479</v>
      </c>
      <c r="L497" s="5">
        <f>715 / 86400</f>
        <v>8.2754629629629636E-3</v>
      </c>
    </row>
    <row r="498" spans="1:12" x14ac:dyDescent="0.25">
      <c r="A498" s="3">
        <v>45698.94253472222</v>
      </c>
      <c r="B498" t="s">
        <v>64</v>
      </c>
      <c r="C498" s="3">
        <v>45698.944861111115</v>
      </c>
      <c r="D498" t="s">
        <v>49</v>
      </c>
      <c r="E498" s="4">
        <v>0.63300000000000001</v>
      </c>
      <c r="F498" s="4">
        <v>215673.682</v>
      </c>
      <c r="G498" s="4">
        <v>215674.315</v>
      </c>
      <c r="H498" s="5">
        <f>20 / 86400</f>
        <v>2.3148148148148149E-4</v>
      </c>
      <c r="I498" t="s">
        <v>33</v>
      </c>
      <c r="J498" t="s">
        <v>59</v>
      </c>
      <c r="K498" s="5">
        <f>201 / 86400</f>
        <v>2.3263888888888887E-3</v>
      </c>
      <c r="L498" s="5">
        <f>421 / 86400</f>
        <v>4.8726851851851848E-3</v>
      </c>
    </row>
    <row r="499" spans="1:12" x14ac:dyDescent="0.25">
      <c r="A499" s="3">
        <v>45698.949733796297</v>
      </c>
      <c r="B499" t="s">
        <v>49</v>
      </c>
      <c r="C499" s="3">
        <v>45698.951574074075</v>
      </c>
      <c r="D499" t="s">
        <v>49</v>
      </c>
      <c r="E499" s="4">
        <v>8.3000000000000004E-2</v>
      </c>
      <c r="F499" s="4">
        <v>215674.315</v>
      </c>
      <c r="G499" s="4">
        <v>215674.39799999999</v>
      </c>
      <c r="H499" s="5">
        <f>80 / 86400</f>
        <v>9.2592592592592596E-4</v>
      </c>
      <c r="I499" t="s">
        <v>168</v>
      </c>
      <c r="J499" t="s">
        <v>132</v>
      </c>
      <c r="K499" s="5">
        <f>159 / 86400</f>
        <v>1.8402777777777777E-3</v>
      </c>
      <c r="L499" s="5">
        <f>12 / 86400</f>
        <v>1.3888888888888889E-4</v>
      </c>
    </row>
    <row r="500" spans="1:12" x14ac:dyDescent="0.25">
      <c r="A500" s="3">
        <v>45698.951712962968</v>
      </c>
      <c r="B500" t="s">
        <v>49</v>
      </c>
      <c r="C500" s="3">
        <v>45698.951782407406</v>
      </c>
      <c r="D500" t="s">
        <v>49</v>
      </c>
      <c r="E500" s="4">
        <v>0</v>
      </c>
      <c r="F500" s="4">
        <v>215674.39799999999</v>
      </c>
      <c r="G500" s="4">
        <v>215674.39799999999</v>
      </c>
      <c r="H500" s="5">
        <f>0 / 86400</f>
        <v>0</v>
      </c>
      <c r="I500" t="s">
        <v>126</v>
      </c>
      <c r="J500" t="s">
        <v>126</v>
      </c>
      <c r="K500" s="5">
        <f>6 / 86400</f>
        <v>6.9444444444444444E-5</v>
      </c>
      <c r="L500" s="5">
        <f>448 / 86400</f>
        <v>5.185185185185185E-3</v>
      </c>
    </row>
    <row r="501" spans="1:12" x14ac:dyDescent="0.25">
      <c r="A501" s="3">
        <v>45698.956967592589</v>
      </c>
      <c r="B501" t="s">
        <v>49</v>
      </c>
      <c r="C501" s="3">
        <v>45698.956979166665</v>
      </c>
      <c r="D501" t="s">
        <v>49</v>
      </c>
      <c r="E501" s="4">
        <v>0</v>
      </c>
      <c r="F501" s="4">
        <v>215674.39799999999</v>
      </c>
      <c r="G501" s="4">
        <v>215674.39799999999</v>
      </c>
      <c r="H501" s="5">
        <f>0 / 86400</f>
        <v>0</v>
      </c>
      <c r="I501" t="s">
        <v>126</v>
      </c>
      <c r="J501" t="s">
        <v>126</v>
      </c>
      <c r="K501" s="5">
        <f>0 / 86400</f>
        <v>0</v>
      </c>
      <c r="L501" s="5">
        <f>3716 / 86400</f>
        <v>4.3009259259259261E-2</v>
      </c>
    </row>
    <row r="502" spans="1:12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 spans="1:12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 spans="1:12" s="10" customFormat="1" ht="20.100000000000001" customHeight="1" x14ac:dyDescent="0.35">
      <c r="A504" s="12" t="s">
        <v>412</v>
      </c>
      <c r="B504" s="12"/>
      <c r="C504" s="12"/>
      <c r="D504" s="12"/>
      <c r="E504" s="12"/>
      <c r="F504" s="12"/>
      <c r="G504" s="12"/>
      <c r="H504" s="12"/>
      <c r="I504" s="12"/>
      <c r="J504" s="12"/>
    </row>
    <row r="505" spans="1:12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 spans="1:12" ht="30" x14ac:dyDescent="0.25">
      <c r="A506" s="2" t="s">
        <v>5</v>
      </c>
      <c r="B506" s="2" t="s">
        <v>6</v>
      </c>
      <c r="C506" s="2" t="s">
        <v>7</v>
      </c>
      <c r="D506" s="2" t="s">
        <v>8</v>
      </c>
      <c r="E506" s="2" t="s">
        <v>9</v>
      </c>
      <c r="F506" s="2" t="s">
        <v>10</v>
      </c>
      <c r="G506" s="2" t="s">
        <v>11</v>
      </c>
      <c r="H506" s="2" t="s">
        <v>12</v>
      </c>
      <c r="I506" s="2" t="s">
        <v>13</v>
      </c>
      <c r="J506" s="2" t="s">
        <v>14</v>
      </c>
      <c r="K506" s="2" t="s">
        <v>15</v>
      </c>
      <c r="L506" s="2" t="s">
        <v>16</v>
      </c>
    </row>
    <row r="507" spans="1:12" x14ac:dyDescent="0.25">
      <c r="A507" s="3">
        <v>45698.254756944443</v>
      </c>
      <c r="B507" t="s">
        <v>51</v>
      </c>
      <c r="C507" s="3">
        <v>45698.262013888889</v>
      </c>
      <c r="D507" t="s">
        <v>144</v>
      </c>
      <c r="E507" s="4">
        <v>1.5479999999403953</v>
      </c>
      <c r="F507" s="4">
        <v>524657.99600000004</v>
      </c>
      <c r="G507" s="4">
        <v>524659.54399999999</v>
      </c>
      <c r="H507" s="5">
        <f>219 / 86400</f>
        <v>2.5347222222222221E-3</v>
      </c>
      <c r="I507" t="s">
        <v>141</v>
      </c>
      <c r="J507" t="s">
        <v>138</v>
      </c>
      <c r="K507" s="5">
        <f>627 / 86400</f>
        <v>7.2569444444444443E-3</v>
      </c>
      <c r="L507" s="5">
        <f>23705 / 86400</f>
        <v>0.27436342592592594</v>
      </c>
    </row>
    <row r="508" spans="1:12" x14ac:dyDescent="0.25">
      <c r="A508" s="3">
        <v>45698.28162037037</v>
      </c>
      <c r="B508" t="s">
        <v>37</v>
      </c>
      <c r="C508" s="3">
        <v>45698.337974537033</v>
      </c>
      <c r="D508" t="s">
        <v>329</v>
      </c>
      <c r="E508" s="4">
        <v>21.834</v>
      </c>
      <c r="F508" s="4">
        <v>524659.54399999999</v>
      </c>
      <c r="G508" s="4">
        <v>524681.37800000003</v>
      </c>
      <c r="H508" s="5">
        <f>1480 / 86400</f>
        <v>1.712962962962963E-2</v>
      </c>
      <c r="I508" t="s">
        <v>52</v>
      </c>
      <c r="J508" t="s">
        <v>19</v>
      </c>
      <c r="K508" s="5">
        <f>4868 / 86400</f>
        <v>5.634259259259259E-2</v>
      </c>
      <c r="L508" s="5">
        <f>87 / 86400</f>
        <v>1.0069444444444444E-3</v>
      </c>
    </row>
    <row r="509" spans="1:12" x14ac:dyDescent="0.25">
      <c r="A509" s="3">
        <v>45698.33898148148</v>
      </c>
      <c r="B509" t="s">
        <v>329</v>
      </c>
      <c r="C509" s="3">
        <v>45698.523993055554</v>
      </c>
      <c r="D509" t="s">
        <v>49</v>
      </c>
      <c r="E509" s="4">
        <v>65.591999999999999</v>
      </c>
      <c r="F509" s="4">
        <v>524681.37800000003</v>
      </c>
      <c r="G509" s="4">
        <v>524746.97</v>
      </c>
      <c r="H509" s="5">
        <f>5501 / 86400</f>
        <v>6.3668981481481479E-2</v>
      </c>
      <c r="I509" t="s">
        <v>71</v>
      </c>
      <c r="J509" t="s">
        <v>57</v>
      </c>
      <c r="K509" s="5">
        <f>15985 / 86400</f>
        <v>0.18501157407407406</v>
      </c>
      <c r="L509" s="5">
        <f>1717 / 86400</f>
        <v>1.9872685185185184E-2</v>
      </c>
    </row>
    <row r="510" spans="1:12" x14ac:dyDescent="0.25">
      <c r="A510" s="3">
        <v>45698.543865740736</v>
      </c>
      <c r="B510" t="s">
        <v>49</v>
      </c>
      <c r="C510" s="3">
        <v>45698.546724537038</v>
      </c>
      <c r="D510" t="s">
        <v>123</v>
      </c>
      <c r="E510" s="4">
        <v>0.94500000005960461</v>
      </c>
      <c r="F510" s="4">
        <v>524746.97</v>
      </c>
      <c r="G510" s="4">
        <v>524747.91500000004</v>
      </c>
      <c r="H510" s="5">
        <f>0 / 86400</f>
        <v>0</v>
      </c>
      <c r="I510" t="s">
        <v>311</v>
      </c>
      <c r="J510" t="s">
        <v>31</v>
      </c>
      <c r="K510" s="5">
        <f>246 / 86400</f>
        <v>2.8472222222222223E-3</v>
      </c>
      <c r="L510" s="5">
        <f>609 / 86400</f>
        <v>7.0486111111111114E-3</v>
      </c>
    </row>
    <row r="511" spans="1:12" x14ac:dyDescent="0.25">
      <c r="A511" s="3">
        <v>45698.553773148145</v>
      </c>
      <c r="B511" t="s">
        <v>123</v>
      </c>
      <c r="C511" s="3">
        <v>45698.55469907407</v>
      </c>
      <c r="D511" t="s">
        <v>123</v>
      </c>
      <c r="E511" s="4">
        <v>2.499999988079071E-2</v>
      </c>
      <c r="F511" s="4">
        <v>524747.91500000004</v>
      </c>
      <c r="G511" s="4">
        <v>524747.93999999994</v>
      </c>
      <c r="H511" s="5">
        <f>39 / 86400</f>
        <v>4.5138888888888887E-4</v>
      </c>
      <c r="I511" t="s">
        <v>59</v>
      </c>
      <c r="J511" t="s">
        <v>62</v>
      </c>
      <c r="K511" s="5">
        <f>79 / 86400</f>
        <v>9.1435185185185185E-4</v>
      </c>
      <c r="L511" s="5">
        <f>282 / 86400</f>
        <v>3.2638888888888891E-3</v>
      </c>
    </row>
    <row r="512" spans="1:12" x14ac:dyDescent="0.25">
      <c r="A512" s="3">
        <v>45698.557962962965</v>
      </c>
      <c r="B512" t="s">
        <v>123</v>
      </c>
      <c r="C512" s="3">
        <v>45698.560092592597</v>
      </c>
      <c r="D512" t="s">
        <v>142</v>
      </c>
      <c r="E512" s="4">
        <v>0.57399999999999995</v>
      </c>
      <c r="F512" s="4">
        <v>524747.93999999994</v>
      </c>
      <c r="G512" s="4">
        <v>524748.51399999997</v>
      </c>
      <c r="H512" s="5">
        <f>20 / 86400</f>
        <v>2.3148148148148149E-4</v>
      </c>
      <c r="I512" t="s">
        <v>234</v>
      </c>
      <c r="J512" t="s">
        <v>59</v>
      </c>
      <c r="K512" s="5">
        <f>183 / 86400</f>
        <v>2.1180555555555558E-3</v>
      </c>
      <c r="L512" s="5">
        <f>201 / 86400</f>
        <v>2.3263888888888887E-3</v>
      </c>
    </row>
    <row r="513" spans="1:12" x14ac:dyDescent="0.25">
      <c r="A513" s="3">
        <v>45698.562418981484</v>
      </c>
      <c r="B513" t="s">
        <v>142</v>
      </c>
      <c r="C513" s="3">
        <v>45698.562662037039</v>
      </c>
      <c r="D513" t="s">
        <v>142</v>
      </c>
      <c r="E513" s="4">
        <v>1.5000000059604645E-2</v>
      </c>
      <c r="F513" s="4">
        <v>524748.51399999997</v>
      </c>
      <c r="G513" s="4">
        <v>524748.52899999998</v>
      </c>
      <c r="H513" s="5">
        <f>19 / 86400</f>
        <v>2.199074074074074E-4</v>
      </c>
      <c r="I513" t="s">
        <v>126</v>
      </c>
      <c r="J513" t="s">
        <v>169</v>
      </c>
      <c r="K513" s="5">
        <f>21 / 86400</f>
        <v>2.4305555555555555E-4</v>
      </c>
      <c r="L513" s="5">
        <f>234 / 86400</f>
        <v>2.7083333333333334E-3</v>
      </c>
    </row>
    <row r="514" spans="1:12" x14ac:dyDescent="0.25">
      <c r="A514" s="3">
        <v>45698.565370370372</v>
      </c>
      <c r="B514" t="s">
        <v>142</v>
      </c>
      <c r="C514" s="3">
        <v>45698.693206018521</v>
      </c>
      <c r="D514" t="s">
        <v>319</v>
      </c>
      <c r="E514" s="4">
        <v>49.587999999940394</v>
      </c>
      <c r="F514" s="4">
        <v>524748.52899999998</v>
      </c>
      <c r="G514" s="4">
        <v>524798.11699999997</v>
      </c>
      <c r="H514" s="5">
        <f>4080 / 86400</f>
        <v>4.7222222222222221E-2</v>
      </c>
      <c r="I514" t="s">
        <v>88</v>
      </c>
      <c r="J514" t="s">
        <v>19</v>
      </c>
      <c r="K514" s="5">
        <f>11045 / 86400</f>
        <v>0.12783564814814816</v>
      </c>
      <c r="L514" s="5">
        <f>1333 / 86400</f>
        <v>1.5428240740740741E-2</v>
      </c>
    </row>
    <row r="515" spans="1:12" x14ac:dyDescent="0.25">
      <c r="A515" s="3">
        <v>45698.708634259259</v>
      </c>
      <c r="B515" t="s">
        <v>319</v>
      </c>
      <c r="C515" s="3">
        <v>45698.710138888884</v>
      </c>
      <c r="D515" t="s">
        <v>330</v>
      </c>
      <c r="E515" s="4">
        <v>0.23200000011920929</v>
      </c>
      <c r="F515" s="4">
        <v>524798.11699999997</v>
      </c>
      <c r="G515" s="4">
        <v>524798.34900000005</v>
      </c>
      <c r="H515" s="5">
        <f>40 / 86400</f>
        <v>4.6296296296296298E-4</v>
      </c>
      <c r="I515" t="s">
        <v>22</v>
      </c>
      <c r="J515" t="s">
        <v>61</v>
      </c>
      <c r="K515" s="5">
        <f>130 / 86400</f>
        <v>1.5046296296296296E-3</v>
      </c>
      <c r="L515" s="5">
        <f>597 / 86400</f>
        <v>6.9097222222222225E-3</v>
      </c>
    </row>
    <row r="516" spans="1:12" x14ac:dyDescent="0.25">
      <c r="A516" s="3">
        <v>45698.717048611114</v>
      </c>
      <c r="B516" t="s">
        <v>331</v>
      </c>
      <c r="C516" s="3">
        <v>45698.835289351853</v>
      </c>
      <c r="D516" t="s">
        <v>37</v>
      </c>
      <c r="E516" s="4">
        <v>32.514999999880793</v>
      </c>
      <c r="F516" s="4">
        <v>524798.34900000005</v>
      </c>
      <c r="G516" s="4">
        <v>524830.86399999994</v>
      </c>
      <c r="H516" s="5">
        <f>3682 / 86400</f>
        <v>4.2615740740740739E-2</v>
      </c>
      <c r="I516" t="s">
        <v>40</v>
      </c>
      <c r="J516" t="s">
        <v>59</v>
      </c>
      <c r="K516" s="5">
        <f>10216 / 86400</f>
        <v>0.11824074074074074</v>
      </c>
      <c r="L516" s="5">
        <f>1466 / 86400</f>
        <v>1.6967592592592593E-2</v>
      </c>
    </row>
    <row r="517" spans="1:12" x14ac:dyDescent="0.25">
      <c r="A517" s="3">
        <v>45698.852256944447</v>
      </c>
      <c r="B517" t="s">
        <v>37</v>
      </c>
      <c r="C517" s="3">
        <v>45698.859085648146</v>
      </c>
      <c r="D517" t="s">
        <v>51</v>
      </c>
      <c r="E517" s="4">
        <v>2.1090000000596048</v>
      </c>
      <c r="F517" s="4">
        <v>524830.86399999994</v>
      </c>
      <c r="G517" s="4">
        <v>524832.973</v>
      </c>
      <c r="H517" s="5">
        <f>100 / 86400</f>
        <v>1.1574074074074073E-3</v>
      </c>
      <c r="I517" t="s">
        <v>311</v>
      </c>
      <c r="J517" t="s">
        <v>97</v>
      </c>
      <c r="K517" s="5">
        <f>590 / 86400</f>
        <v>6.828703703703704E-3</v>
      </c>
      <c r="L517" s="5">
        <f>12174 / 86400</f>
        <v>0.14090277777777777</v>
      </c>
    </row>
    <row r="518" spans="1:12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 spans="1:12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 spans="1:12" s="10" customFormat="1" ht="20.100000000000001" customHeight="1" x14ac:dyDescent="0.35">
      <c r="A520" s="12" t="s">
        <v>413</v>
      </c>
      <c r="B520" s="12"/>
      <c r="C520" s="12"/>
      <c r="D520" s="12"/>
      <c r="E520" s="12"/>
      <c r="F520" s="12"/>
      <c r="G520" s="12"/>
      <c r="H520" s="12"/>
      <c r="I520" s="12"/>
      <c r="J520" s="12"/>
    </row>
    <row r="521" spans="1:12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 spans="1:12" ht="30" x14ac:dyDescent="0.25">
      <c r="A522" s="2" t="s">
        <v>5</v>
      </c>
      <c r="B522" s="2" t="s">
        <v>6</v>
      </c>
      <c r="C522" s="2" t="s">
        <v>7</v>
      </c>
      <c r="D522" s="2" t="s">
        <v>8</v>
      </c>
      <c r="E522" s="2" t="s">
        <v>9</v>
      </c>
      <c r="F522" s="2" t="s">
        <v>10</v>
      </c>
      <c r="G522" s="2" t="s">
        <v>11</v>
      </c>
      <c r="H522" s="2" t="s">
        <v>12</v>
      </c>
      <c r="I522" s="2" t="s">
        <v>13</v>
      </c>
      <c r="J522" s="2" t="s">
        <v>14</v>
      </c>
      <c r="K522" s="2" t="s">
        <v>15</v>
      </c>
      <c r="L522" s="2" t="s">
        <v>16</v>
      </c>
    </row>
    <row r="523" spans="1:12" x14ac:dyDescent="0.25">
      <c r="A523" s="3">
        <v>45698.198657407411</v>
      </c>
      <c r="B523" t="s">
        <v>53</v>
      </c>
      <c r="C523" s="3">
        <v>45698.20716435185</v>
      </c>
      <c r="D523" t="s">
        <v>53</v>
      </c>
      <c r="E523" s="4">
        <v>5.2999999999999999E-2</v>
      </c>
      <c r="F523" s="4">
        <v>344032.73599999998</v>
      </c>
      <c r="G523" s="4">
        <v>344032.78899999999</v>
      </c>
      <c r="H523" s="5">
        <f>679 / 86400</f>
        <v>7.858796296296296E-3</v>
      </c>
      <c r="I523" t="s">
        <v>89</v>
      </c>
      <c r="J523" t="s">
        <v>126</v>
      </c>
      <c r="K523" s="5">
        <f>734 / 86400</f>
        <v>8.4953703703703701E-3</v>
      </c>
      <c r="L523" s="5">
        <f>17486 / 86400</f>
        <v>0.20238425925925926</v>
      </c>
    </row>
    <row r="524" spans="1:12" x14ac:dyDescent="0.25">
      <c r="A524" s="3">
        <v>45698.210891203707</v>
      </c>
      <c r="B524" t="s">
        <v>53</v>
      </c>
      <c r="C524" s="3">
        <v>45698.212488425925</v>
      </c>
      <c r="D524" t="s">
        <v>95</v>
      </c>
      <c r="E524" s="4">
        <v>0.75900000000000001</v>
      </c>
      <c r="F524" s="4">
        <v>344032.78899999999</v>
      </c>
      <c r="G524" s="4">
        <v>344033.54800000001</v>
      </c>
      <c r="H524" s="5">
        <f>0 / 86400</f>
        <v>0</v>
      </c>
      <c r="I524" t="s">
        <v>193</v>
      </c>
      <c r="J524" t="s">
        <v>22</v>
      </c>
      <c r="K524" s="5">
        <f>138 / 86400</f>
        <v>1.5972222222222223E-3</v>
      </c>
      <c r="L524" s="5">
        <f>37 / 86400</f>
        <v>4.2824074074074075E-4</v>
      </c>
    </row>
    <row r="525" spans="1:12" x14ac:dyDescent="0.25">
      <c r="A525" s="3">
        <v>45698.212916666671</v>
      </c>
      <c r="B525" t="s">
        <v>95</v>
      </c>
      <c r="C525" s="3">
        <v>45698.366377314815</v>
      </c>
      <c r="D525" t="s">
        <v>278</v>
      </c>
      <c r="E525" s="4">
        <v>79.92</v>
      </c>
      <c r="F525" s="4">
        <v>344033.54800000001</v>
      </c>
      <c r="G525" s="4">
        <v>344113.46799999999</v>
      </c>
      <c r="H525" s="5">
        <f>3965 / 86400</f>
        <v>4.5891203703703705E-2</v>
      </c>
      <c r="I525" t="s">
        <v>54</v>
      </c>
      <c r="J525" t="s">
        <v>147</v>
      </c>
      <c r="K525" s="5">
        <f>13259 / 86400</f>
        <v>0.15346064814814814</v>
      </c>
      <c r="L525" s="5">
        <f>872 / 86400</f>
        <v>1.0092592592592592E-2</v>
      </c>
    </row>
    <row r="526" spans="1:12" x14ac:dyDescent="0.25">
      <c r="A526" s="3">
        <v>45698.376469907409</v>
      </c>
      <c r="B526" t="s">
        <v>278</v>
      </c>
      <c r="C526" s="3">
        <v>45698.489502314813</v>
      </c>
      <c r="D526" t="s">
        <v>123</v>
      </c>
      <c r="E526" s="4">
        <v>49.82</v>
      </c>
      <c r="F526" s="4">
        <v>344113.46799999999</v>
      </c>
      <c r="G526" s="4">
        <v>344163.288</v>
      </c>
      <c r="H526" s="5">
        <f>3120 / 86400</f>
        <v>3.6111111111111108E-2</v>
      </c>
      <c r="I526" t="s">
        <v>124</v>
      </c>
      <c r="J526" t="s">
        <v>25</v>
      </c>
      <c r="K526" s="5">
        <f>9766 / 86400</f>
        <v>0.1130324074074074</v>
      </c>
      <c r="L526" s="5">
        <f>61 / 86400</f>
        <v>7.0601851851851847E-4</v>
      </c>
    </row>
    <row r="527" spans="1:12" x14ac:dyDescent="0.25">
      <c r="A527" s="3">
        <v>45698.490208333329</v>
      </c>
      <c r="B527" t="s">
        <v>123</v>
      </c>
      <c r="C527" s="3">
        <v>45698.49255787037</v>
      </c>
      <c r="D527" t="s">
        <v>164</v>
      </c>
      <c r="E527" s="4">
        <v>0.64700000000000002</v>
      </c>
      <c r="F527" s="4">
        <v>344163.288</v>
      </c>
      <c r="G527" s="4">
        <v>344163.935</v>
      </c>
      <c r="H527" s="5">
        <f>59 / 86400</f>
        <v>6.8287037037037036E-4</v>
      </c>
      <c r="I527" t="s">
        <v>202</v>
      </c>
      <c r="J527" t="s">
        <v>102</v>
      </c>
      <c r="K527" s="5">
        <f>202 / 86400</f>
        <v>2.3379629629629631E-3</v>
      </c>
      <c r="L527" s="5">
        <f>3150 / 86400</f>
        <v>3.6458333333333336E-2</v>
      </c>
    </row>
    <row r="528" spans="1:12" x14ac:dyDescent="0.25">
      <c r="A528" s="3">
        <v>45698.529016203705</v>
      </c>
      <c r="B528" t="s">
        <v>164</v>
      </c>
      <c r="C528" s="3">
        <v>45698.531597222223</v>
      </c>
      <c r="D528" t="s">
        <v>137</v>
      </c>
      <c r="E528" s="4">
        <v>0.70199999999999996</v>
      </c>
      <c r="F528" s="4">
        <v>344163.935</v>
      </c>
      <c r="G528" s="4">
        <v>344164.63699999999</v>
      </c>
      <c r="H528" s="5">
        <f>39 / 86400</f>
        <v>4.5138888888888887E-4</v>
      </c>
      <c r="I528" t="s">
        <v>134</v>
      </c>
      <c r="J528" t="s">
        <v>59</v>
      </c>
      <c r="K528" s="5">
        <f>222 / 86400</f>
        <v>2.5694444444444445E-3</v>
      </c>
      <c r="L528" s="5">
        <f>264 / 86400</f>
        <v>3.0555555555555557E-3</v>
      </c>
    </row>
    <row r="529" spans="1:12" x14ac:dyDescent="0.25">
      <c r="A529" s="3">
        <v>45698.534652777773</v>
      </c>
      <c r="B529" t="s">
        <v>137</v>
      </c>
      <c r="C529" s="3">
        <v>45698.652789351851</v>
      </c>
      <c r="D529" t="s">
        <v>278</v>
      </c>
      <c r="E529" s="4">
        <v>50.927</v>
      </c>
      <c r="F529" s="4">
        <v>344164.63699999999</v>
      </c>
      <c r="G529" s="4">
        <v>344215.56400000001</v>
      </c>
      <c r="H529" s="5">
        <f>3381 / 86400</f>
        <v>3.9131944444444441E-2</v>
      </c>
      <c r="I529" t="s">
        <v>96</v>
      </c>
      <c r="J529" t="s">
        <v>25</v>
      </c>
      <c r="K529" s="5">
        <f>10206 / 86400</f>
        <v>0.11812499999999999</v>
      </c>
      <c r="L529" s="5">
        <f>255 / 86400</f>
        <v>2.9513888888888888E-3</v>
      </c>
    </row>
    <row r="530" spans="1:12" x14ac:dyDescent="0.25">
      <c r="A530" s="3">
        <v>45698.655740740738</v>
      </c>
      <c r="B530" t="s">
        <v>278</v>
      </c>
      <c r="C530" s="3">
        <v>45698.764293981483</v>
      </c>
      <c r="D530" t="s">
        <v>245</v>
      </c>
      <c r="E530" s="4">
        <v>36.168999999999997</v>
      </c>
      <c r="F530" s="4">
        <v>344215.56400000001</v>
      </c>
      <c r="G530" s="4">
        <v>344251.73300000001</v>
      </c>
      <c r="H530" s="5">
        <f>3440 / 86400</f>
        <v>3.9814814814814817E-2</v>
      </c>
      <c r="I530" t="s">
        <v>332</v>
      </c>
      <c r="J530" t="s">
        <v>31</v>
      </c>
      <c r="K530" s="5">
        <f>9379 / 86400</f>
        <v>0.10855324074074074</v>
      </c>
      <c r="L530" s="5">
        <f>500 / 86400</f>
        <v>5.7870370370370367E-3</v>
      </c>
    </row>
    <row r="531" spans="1:12" x14ac:dyDescent="0.25">
      <c r="A531" s="3">
        <v>45698.77008101852</v>
      </c>
      <c r="B531" t="s">
        <v>245</v>
      </c>
      <c r="C531" s="3">
        <v>45698.800833333335</v>
      </c>
      <c r="D531" t="s">
        <v>53</v>
      </c>
      <c r="E531" s="4">
        <v>17.567</v>
      </c>
      <c r="F531" s="4">
        <v>344251.73300000001</v>
      </c>
      <c r="G531" s="4">
        <v>344269.3</v>
      </c>
      <c r="H531" s="5">
        <f>719 / 86400</f>
        <v>8.3217592592592596E-3</v>
      </c>
      <c r="I531" t="s">
        <v>114</v>
      </c>
      <c r="J531" t="s">
        <v>36</v>
      </c>
      <c r="K531" s="5">
        <f>2656 / 86400</f>
        <v>3.0740740740740742E-2</v>
      </c>
      <c r="L531" s="5">
        <f>412 / 86400</f>
        <v>4.7685185185185183E-3</v>
      </c>
    </row>
    <row r="532" spans="1:12" x14ac:dyDescent="0.25">
      <c r="A532" s="3">
        <v>45698.805601851855</v>
      </c>
      <c r="B532" t="s">
        <v>53</v>
      </c>
      <c r="C532" s="3">
        <v>45698.806423611109</v>
      </c>
      <c r="D532" t="s">
        <v>53</v>
      </c>
      <c r="E532" s="4">
        <v>8.0000000000000002E-3</v>
      </c>
      <c r="F532" s="4">
        <v>344269.3</v>
      </c>
      <c r="G532" s="4">
        <v>344269.30800000002</v>
      </c>
      <c r="H532" s="5">
        <f>20 / 86400</f>
        <v>2.3148148148148149E-4</v>
      </c>
      <c r="I532" t="s">
        <v>132</v>
      </c>
      <c r="J532" t="s">
        <v>126</v>
      </c>
      <c r="K532" s="5">
        <f>71 / 86400</f>
        <v>8.2175925925925927E-4</v>
      </c>
      <c r="L532" s="5">
        <f>16724 / 86400</f>
        <v>0.19356481481481483</v>
      </c>
    </row>
    <row r="533" spans="1:12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 spans="1:12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 spans="1:12" s="10" customFormat="1" ht="20.100000000000001" customHeight="1" x14ac:dyDescent="0.35">
      <c r="A535" s="12" t="s">
        <v>414</v>
      </c>
      <c r="B535" s="12"/>
      <c r="C535" s="12"/>
      <c r="D535" s="12"/>
      <c r="E535" s="12"/>
      <c r="F535" s="12"/>
      <c r="G535" s="12"/>
      <c r="H535" s="12"/>
      <c r="I535" s="12"/>
      <c r="J535" s="12"/>
    </row>
    <row r="536" spans="1:12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 spans="1:12" ht="30" x14ac:dyDescent="0.25">
      <c r="A537" s="2" t="s">
        <v>5</v>
      </c>
      <c r="B537" s="2" t="s">
        <v>6</v>
      </c>
      <c r="C537" s="2" t="s">
        <v>7</v>
      </c>
      <c r="D537" s="2" t="s">
        <v>8</v>
      </c>
      <c r="E537" s="2" t="s">
        <v>9</v>
      </c>
      <c r="F537" s="2" t="s">
        <v>10</v>
      </c>
      <c r="G537" s="2" t="s">
        <v>11</v>
      </c>
      <c r="H537" s="2" t="s">
        <v>12</v>
      </c>
      <c r="I537" s="2" t="s">
        <v>13</v>
      </c>
      <c r="J537" s="2" t="s">
        <v>14</v>
      </c>
      <c r="K537" s="2" t="s">
        <v>15</v>
      </c>
      <c r="L537" s="2" t="s">
        <v>16</v>
      </c>
    </row>
    <row r="538" spans="1:12" x14ac:dyDescent="0.25">
      <c r="A538" s="3">
        <v>45698.252847222218</v>
      </c>
      <c r="B538" t="s">
        <v>55</v>
      </c>
      <c r="C538" s="3">
        <v>45698.255324074074</v>
      </c>
      <c r="D538" t="s">
        <v>333</v>
      </c>
      <c r="E538" s="4">
        <v>0.34300000000000003</v>
      </c>
      <c r="F538" s="4">
        <v>425519.09299999999</v>
      </c>
      <c r="G538" s="4">
        <v>425519.43599999999</v>
      </c>
      <c r="H538" s="5">
        <f>139 / 86400</f>
        <v>1.6087962962962963E-3</v>
      </c>
      <c r="I538" t="s">
        <v>28</v>
      </c>
      <c r="J538" t="s">
        <v>61</v>
      </c>
      <c r="K538" s="5">
        <f>214 / 86400</f>
        <v>2.476851851851852E-3</v>
      </c>
      <c r="L538" s="5">
        <f>22081 / 86400</f>
        <v>0.25556712962962963</v>
      </c>
    </row>
    <row r="539" spans="1:12" x14ac:dyDescent="0.25">
      <c r="A539" s="3">
        <v>45698.258043981477</v>
      </c>
      <c r="B539" t="s">
        <v>333</v>
      </c>
      <c r="C539" s="3">
        <v>45698.271655092598</v>
      </c>
      <c r="D539" t="s">
        <v>34</v>
      </c>
      <c r="E539" s="4">
        <v>6.7709999999999999</v>
      </c>
      <c r="F539" s="4">
        <v>425519.43599999999</v>
      </c>
      <c r="G539" s="4">
        <v>425526.20699999999</v>
      </c>
      <c r="H539" s="5">
        <f>279 / 86400</f>
        <v>3.2291666666666666E-3</v>
      </c>
      <c r="I539" t="s">
        <v>189</v>
      </c>
      <c r="J539" t="s">
        <v>136</v>
      </c>
      <c r="K539" s="5">
        <f>1176 / 86400</f>
        <v>1.361111111111111E-2</v>
      </c>
      <c r="L539" s="5">
        <f>117 / 86400</f>
        <v>1.3541666666666667E-3</v>
      </c>
    </row>
    <row r="540" spans="1:12" x14ac:dyDescent="0.25">
      <c r="A540" s="3">
        <v>45698.273009259261</v>
      </c>
      <c r="B540" t="s">
        <v>34</v>
      </c>
      <c r="C540" s="3">
        <v>45698.341261574074</v>
      </c>
      <c r="D540" t="s">
        <v>123</v>
      </c>
      <c r="E540" s="4">
        <v>39.228999999999999</v>
      </c>
      <c r="F540" s="4">
        <v>425526.20699999999</v>
      </c>
      <c r="G540" s="4">
        <v>425565.43599999999</v>
      </c>
      <c r="H540" s="5">
        <f>919 / 86400</f>
        <v>1.0636574074074074E-2</v>
      </c>
      <c r="I540" t="s">
        <v>154</v>
      </c>
      <c r="J540" t="s">
        <v>36</v>
      </c>
      <c r="K540" s="5">
        <f>5896 / 86400</f>
        <v>6.8240740740740741E-2</v>
      </c>
      <c r="L540" s="5">
        <f>2081 / 86400</f>
        <v>2.4085648148148148E-2</v>
      </c>
    </row>
    <row r="541" spans="1:12" x14ac:dyDescent="0.25">
      <c r="A541" s="3">
        <v>45698.365347222221</v>
      </c>
      <c r="B541" t="s">
        <v>123</v>
      </c>
      <c r="C541" s="3">
        <v>45698.370092592595</v>
      </c>
      <c r="D541" t="s">
        <v>137</v>
      </c>
      <c r="E541" s="4">
        <v>1.3</v>
      </c>
      <c r="F541" s="4">
        <v>425565.43599999999</v>
      </c>
      <c r="G541" s="4">
        <v>425566.73599999998</v>
      </c>
      <c r="H541" s="5">
        <f>100 / 86400</f>
        <v>1.1574074074074073E-3</v>
      </c>
      <c r="I541" t="s">
        <v>36</v>
      </c>
      <c r="J541" t="s">
        <v>59</v>
      </c>
      <c r="K541" s="5">
        <f>410 / 86400</f>
        <v>4.7453703703703703E-3</v>
      </c>
      <c r="L541" s="5">
        <f>1629 / 86400</f>
        <v>1.8854166666666668E-2</v>
      </c>
    </row>
    <row r="542" spans="1:12" x14ac:dyDescent="0.25">
      <c r="A542" s="3">
        <v>45698.38894675926</v>
      </c>
      <c r="B542" t="s">
        <v>137</v>
      </c>
      <c r="C542" s="3">
        <v>45698.400370370371</v>
      </c>
      <c r="D542" t="s">
        <v>44</v>
      </c>
      <c r="E542" s="4">
        <v>2.3479999999999999</v>
      </c>
      <c r="F542" s="4">
        <v>425566.73599999998</v>
      </c>
      <c r="G542" s="4">
        <v>425569.08399999997</v>
      </c>
      <c r="H542" s="5">
        <f>420 / 86400</f>
        <v>4.8611111111111112E-3</v>
      </c>
      <c r="I542" t="s">
        <v>158</v>
      </c>
      <c r="J542" t="s">
        <v>138</v>
      </c>
      <c r="K542" s="5">
        <f>986 / 86400</f>
        <v>1.1412037037037037E-2</v>
      </c>
      <c r="L542" s="5">
        <f>974 / 86400</f>
        <v>1.1273148148148148E-2</v>
      </c>
    </row>
    <row r="543" spans="1:12" x14ac:dyDescent="0.25">
      <c r="A543" s="3">
        <v>45698.411643518513</v>
      </c>
      <c r="B543" t="s">
        <v>44</v>
      </c>
      <c r="C543" s="3">
        <v>45698.53743055556</v>
      </c>
      <c r="D543" t="s">
        <v>334</v>
      </c>
      <c r="E543" s="4">
        <v>51.177</v>
      </c>
      <c r="F543" s="4">
        <v>425569.08399999997</v>
      </c>
      <c r="G543" s="4">
        <v>425620.261</v>
      </c>
      <c r="H543" s="5">
        <f>3441 / 86400</f>
        <v>3.982638888888889E-2</v>
      </c>
      <c r="I543" t="s">
        <v>173</v>
      </c>
      <c r="J543" t="s">
        <v>28</v>
      </c>
      <c r="K543" s="5">
        <f>10868 / 86400</f>
        <v>0.12578703703703703</v>
      </c>
      <c r="L543" s="5">
        <f>389 / 86400</f>
        <v>4.5023148148148149E-3</v>
      </c>
    </row>
    <row r="544" spans="1:12" x14ac:dyDescent="0.25">
      <c r="A544" s="3">
        <v>45698.541932870372</v>
      </c>
      <c r="B544" t="s">
        <v>334</v>
      </c>
      <c r="C544" s="3">
        <v>45698.675104166672</v>
      </c>
      <c r="D544" t="s">
        <v>123</v>
      </c>
      <c r="E544" s="4">
        <v>51.018000000000001</v>
      </c>
      <c r="F544" s="4">
        <v>425620.261</v>
      </c>
      <c r="G544" s="4">
        <v>425671.27899999998</v>
      </c>
      <c r="H544" s="5">
        <f>3820 / 86400</f>
        <v>4.4212962962962961E-2</v>
      </c>
      <c r="I544" t="s">
        <v>173</v>
      </c>
      <c r="J544" t="s">
        <v>19</v>
      </c>
      <c r="K544" s="5">
        <f>11505 / 86400</f>
        <v>0.13315972222222222</v>
      </c>
      <c r="L544" s="5">
        <f>655 / 86400</f>
        <v>7.5810185185185182E-3</v>
      </c>
    </row>
    <row r="545" spans="1:12" x14ac:dyDescent="0.25">
      <c r="A545" s="3">
        <v>45698.68268518518</v>
      </c>
      <c r="B545" t="s">
        <v>123</v>
      </c>
      <c r="C545" s="3">
        <v>45698.683541666665</v>
      </c>
      <c r="D545" t="s">
        <v>123</v>
      </c>
      <c r="E545" s="4">
        <v>3.1E-2</v>
      </c>
      <c r="F545" s="4">
        <v>425671.27899999998</v>
      </c>
      <c r="G545" s="4">
        <v>425671.31</v>
      </c>
      <c r="H545" s="5">
        <f>40 / 86400</f>
        <v>4.6296296296296298E-4</v>
      </c>
      <c r="I545" t="s">
        <v>89</v>
      </c>
      <c r="J545" t="s">
        <v>132</v>
      </c>
      <c r="K545" s="5">
        <f>74 / 86400</f>
        <v>8.564814814814815E-4</v>
      </c>
      <c r="L545" s="5">
        <f>3189 / 86400</f>
        <v>3.6909722222222219E-2</v>
      </c>
    </row>
    <row r="546" spans="1:12" x14ac:dyDescent="0.25">
      <c r="A546" s="3">
        <v>45698.720451388886</v>
      </c>
      <c r="B546" t="s">
        <v>123</v>
      </c>
      <c r="C546" s="3">
        <v>45698.720578703702</v>
      </c>
      <c r="D546" t="s">
        <v>123</v>
      </c>
      <c r="E546" s="4">
        <v>0</v>
      </c>
      <c r="F546" s="4">
        <v>425671.31</v>
      </c>
      <c r="G546" s="4">
        <v>425671.31</v>
      </c>
      <c r="H546" s="5">
        <f>0 / 86400</f>
        <v>0</v>
      </c>
      <c r="I546" t="s">
        <v>126</v>
      </c>
      <c r="J546" t="s">
        <v>126</v>
      </c>
      <c r="K546" s="5">
        <f>11 / 86400</f>
        <v>1.273148148148148E-4</v>
      </c>
      <c r="L546" s="5">
        <f>916 / 86400</f>
        <v>1.0601851851851852E-2</v>
      </c>
    </row>
    <row r="547" spans="1:12" x14ac:dyDescent="0.25">
      <c r="A547" s="3">
        <v>45698.731180555551</v>
      </c>
      <c r="B547" t="s">
        <v>123</v>
      </c>
      <c r="C547" s="3">
        <v>45698.731562500005</v>
      </c>
      <c r="D547" t="s">
        <v>123</v>
      </c>
      <c r="E547" s="4">
        <v>0</v>
      </c>
      <c r="F547" s="4">
        <v>425671.31</v>
      </c>
      <c r="G547" s="4">
        <v>425671.31</v>
      </c>
      <c r="H547" s="5">
        <f>19 / 86400</f>
        <v>2.199074074074074E-4</v>
      </c>
      <c r="I547" t="s">
        <v>126</v>
      </c>
      <c r="J547" t="s">
        <v>126</v>
      </c>
      <c r="K547" s="5">
        <f>32 / 86400</f>
        <v>3.7037037037037035E-4</v>
      </c>
      <c r="L547" s="5">
        <f>72 / 86400</f>
        <v>8.3333333333333339E-4</v>
      </c>
    </row>
    <row r="548" spans="1:12" x14ac:dyDescent="0.25">
      <c r="A548" s="3">
        <v>45698.732395833329</v>
      </c>
      <c r="B548" t="s">
        <v>123</v>
      </c>
      <c r="C548" s="3">
        <v>45698.732534722221</v>
      </c>
      <c r="D548" t="s">
        <v>123</v>
      </c>
      <c r="E548" s="4">
        <v>0</v>
      </c>
      <c r="F548" s="4">
        <v>425671.31</v>
      </c>
      <c r="G548" s="4">
        <v>425671.31</v>
      </c>
      <c r="H548" s="5">
        <f>0 / 86400</f>
        <v>0</v>
      </c>
      <c r="I548" t="s">
        <v>126</v>
      </c>
      <c r="J548" t="s">
        <v>126</v>
      </c>
      <c r="K548" s="5">
        <f>12 / 86400</f>
        <v>1.3888888888888889E-4</v>
      </c>
      <c r="L548" s="5">
        <f>76 / 86400</f>
        <v>8.7962962962962962E-4</v>
      </c>
    </row>
    <row r="549" spans="1:12" x14ac:dyDescent="0.25">
      <c r="A549" s="3">
        <v>45698.733414351853</v>
      </c>
      <c r="B549" t="s">
        <v>123</v>
      </c>
      <c r="C549" s="3">
        <v>45698.813611111109</v>
      </c>
      <c r="D549" t="s">
        <v>335</v>
      </c>
      <c r="E549" s="4">
        <v>37.118000000000002</v>
      </c>
      <c r="F549" s="4">
        <v>425671.31</v>
      </c>
      <c r="G549" s="4">
        <v>425708.42800000001</v>
      </c>
      <c r="H549" s="5">
        <f>1459 / 86400</f>
        <v>1.6886574074074075E-2</v>
      </c>
      <c r="I549" t="s">
        <v>56</v>
      </c>
      <c r="J549" t="s">
        <v>33</v>
      </c>
      <c r="K549" s="5">
        <f>6929 / 86400</f>
        <v>8.0196759259259259E-2</v>
      </c>
      <c r="L549" s="5">
        <f>291 / 86400</f>
        <v>3.3680555555555556E-3</v>
      </c>
    </row>
    <row r="550" spans="1:12" x14ac:dyDescent="0.25">
      <c r="A550" s="3">
        <v>45698.816979166666</v>
      </c>
      <c r="B550" t="s">
        <v>335</v>
      </c>
      <c r="C550" s="3">
        <v>45698.820497685185</v>
      </c>
      <c r="D550" t="s">
        <v>55</v>
      </c>
      <c r="E550" s="4">
        <v>0.29299999999999998</v>
      </c>
      <c r="F550" s="4">
        <v>425708.42800000001</v>
      </c>
      <c r="G550" s="4">
        <v>425708.72100000002</v>
      </c>
      <c r="H550" s="5">
        <f>140 / 86400</f>
        <v>1.6203703703703703E-3</v>
      </c>
      <c r="I550" t="s">
        <v>59</v>
      </c>
      <c r="J550" t="s">
        <v>169</v>
      </c>
      <c r="K550" s="5">
        <f>303 / 86400</f>
        <v>3.5069444444444445E-3</v>
      </c>
      <c r="L550" s="5">
        <f>936 / 86400</f>
        <v>1.0833333333333334E-2</v>
      </c>
    </row>
    <row r="551" spans="1:12" x14ac:dyDescent="0.25">
      <c r="A551" s="3">
        <v>45698.831331018519</v>
      </c>
      <c r="B551" t="s">
        <v>55</v>
      </c>
      <c r="C551" s="3">
        <v>45698.832546296297</v>
      </c>
      <c r="D551" t="s">
        <v>55</v>
      </c>
      <c r="E551" s="4">
        <v>1.7999999999999999E-2</v>
      </c>
      <c r="F551" s="4">
        <v>425708.72100000002</v>
      </c>
      <c r="G551" s="4">
        <v>425708.739</v>
      </c>
      <c r="H551" s="5">
        <f>80 / 86400</f>
        <v>9.2592592592592596E-4</v>
      </c>
      <c r="I551" t="s">
        <v>62</v>
      </c>
      <c r="J551" t="s">
        <v>62</v>
      </c>
      <c r="K551" s="5">
        <f>104 / 86400</f>
        <v>1.2037037037037038E-3</v>
      </c>
      <c r="L551" s="5">
        <f>14467 / 86400</f>
        <v>0.16744212962962962</v>
      </c>
    </row>
    <row r="552" spans="1:12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 spans="1:12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 spans="1:12" s="10" customFormat="1" ht="20.100000000000001" customHeight="1" x14ac:dyDescent="0.35">
      <c r="A554" s="12" t="s">
        <v>415</v>
      </c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2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 spans="1:12" ht="30" x14ac:dyDescent="0.25">
      <c r="A556" s="2" t="s">
        <v>5</v>
      </c>
      <c r="B556" s="2" t="s">
        <v>6</v>
      </c>
      <c r="C556" s="2" t="s">
        <v>7</v>
      </c>
      <c r="D556" s="2" t="s">
        <v>8</v>
      </c>
      <c r="E556" s="2" t="s">
        <v>9</v>
      </c>
      <c r="F556" s="2" t="s">
        <v>10</v>
      </c>
      <c r="G556" s="2" t="s">
        <v>11</v>
      </c>
      <c r="H556" s="2" t="s">
        <v>12</v>
      </c>
      <c r="I556" s="2" t="s">
        <v>13</v>
      </c>
      <c r="J556" s="2" t="s">
        <v>14</v>
      </c>
      <c r="K556" s="2" t="s">
        <v>15</v>
      </c>
      <c r="L556" s="2" t="s">
        <v>16</v>
      </c>
    </row>
    <row r="557" spans="1:12" x14ac:dyDescent="0.25">
      <c r="A557" s="3">
        <v>45698.233391203699</v>
      </c>
      <c r="B557" t="s">
        <v>29</v>
      </c>
      <c r="C557" s="3">
        <v>45698.297175925924</v>
      </c>
      <c r="D557" t="s">
        <v>336</v>
      </c>
      <c r="E557" s="4">
        <v>24.975999999999999</v>
      </c>
      <c r="F557" s="4">
        <v>12295.587</v>
      </c>
      <c r="G557" s="4">
        <v>12320.563</v>
      </c>
      <c r="H557" s="5">
        <f>1799 / 86400</f>
        <v>2.0821759259259259E-2</v>
      </c>
      <c r="I557" t="s">
        <v>155</v>
      </c>
      <c r="J557" t="s">
        <v>19</v>
      </c>
      <c r="K557" s="5">
        <f>5511 / 86400</f>
        <v>6.3784722222222229E-2</v>
      </c>
      <c r="L557" s="5">
        <f>20308 / 86400</f>
        <v>0.23504629629629631</v>
      </c>
    </row>
    <row r="558" spans="1:12" x14ac:dyDescent="0.25">
      <c r="A558" s="3">
        <v>45698.298831018517</v>
      </c>
      <c r="B558" t="s">
        <v>336</v>
      </c>
      <c r="C558" s="3">
        <v>45698.316793981481</v>
      </c>
      <c r="D558" t="s">
        <v>65</v>
      </c>
      <c r="E558" s="4">
        <v>5.6520000000000001</v>
      </c>
      <c r="F558" s="4">
        <v>12320.563</v>
      </c>
      <c r="G558" s="4">
        <v>12326.215</v>
      </c>
      <c r="H558" s="5">
        <f>780 / 86400</f>
        <v>9.0277777777777769E-3</v>
      </c>
      <c r="I558" t="s">
        <v>199</v>
      </c>
      <c r="J558" t="s">
        <v>97</v>
      </c>
      <c r="K558" s="5">
        <f>1552 / 86400</f>
        <v>1.7962962962962962E-2</v>
      </c>
      <c r="L558" s="5">
        <f>56 / 86400</f>
        <v>6.4814814814814813E-4</v>
      </c>
    </row>
    <row r="559" spans="1:12" x14ac:dyDescent="0.25">
      <c r="A559" s="3">
        <v>45698.317442129628</v>
      </c>
      <c r="B559" t="s">
        <v>65</v>
      </c>
      <c r="C559" s="3">
        <v>45698.430578703701</v>
      </c>
      <c r="D559" t="s">
        <v>123</v>
      </c>
      <c r="E559" s="4">
        <v>49.552</v>
      </c>
      <c r="F559" s="4">
        <v>12326.215</v>
      </c>
      <c r="G559" s="4">
        <v>12375.767</v>
      </c>
      <c r="H559" s="5">
        <f>3420 / 86400</f>
        <v>3.9583333333333331E-2</v>
      </c>
      <c r="I559" t="s">
        <v>32</v>
      </c>
      <c r="J559" t="s">
        <v>25</v>
      </c>
      <c r="K559" s="5">
        <f>9774 / 86400</f>
        <v>0.113125</v>
      </c>
      <c r="L559" s="5">
        <f>88 / 86400</f>
        <v>1.0185185185185184E-3</v>
      </c>
    </row>
    <row r="560" spans="1:12" x14ac:dyDescent="0.25">
      <c r="A560" s="3">
        <v>45698.431597222225</v>
      </c>
      <c r="B560" t="s">
        <v>123</v>
      </c>
      <c r="C560" s="3">
        <v>45698.433449074073</v>
      </c>
      <c r="D560" t="s">
        <v>320</v>
      </c>
      <c r="E560" s="4">
        <v>0.66600000000000004</v>
      </c>
      <c r="F560" s="4">
        <v>12375.767</v>
      </c>
      <c r="G560" s="4">
        <v>12376.433000000001</v>
      </c>
      <c r="H560" s="5">
        <f>19 / 86400</f>
        <v>2.199074074074074E-4</v>
      </c>
      <c r="I560" t="s">
        <v>193</v>
      </c>
      <c r="J560" t="s">
        <v>57</v>
      </c>
      <c r="K560" s="5">
        <f>159 / 86400</f>
        <v>1.8402777777777777E-3</v>
      </c>
      <c r="L560" s="5">
        <f>1293 / 86400</f>
        <v>1.4965277777777777E-2</v>
      </c>
    </row>
    <row r="561" spans="1:12" x14ac:dyDescent="0.25">
      <c r="A561" s="3">
        <v>45698.448414351849</v>
      </c>
      <c r="B561" t="s">
        <v>320</v>
      </c>
      <c r="C561" s="3">
        <v>45698.451828703706</v>
      </c>
      <c r="D561" t="s">
        <v>137</v>
      </c>
      <c r="E561" s="4">
        <v>1.04</v>
      </c>
      <c r="F561" s="4">
        <v>12376.433000000001</v>
      </c>
      <c r="G561" s="4">
        <v>12377.473</v>
      </c>
      <c r="H561" s="5">
        <f>19 / 86400</f>
        <v>2.199074074074074E-4</v>
      </c>
      <c r="I561" t="s">
        <v>136</v>
      </c>
      <c r="J561" t="s">
        <v>97</v>
      </c>
      <c r="K561" s="5">
        <f>294 / 86400</f>
        <v>3.4027777777777776E-3</v>
      </c>
      <c r="L561" s="5">
        <f>967 / 86400</f>
        <v>1.119212962962963E-2</v>
      </c>
    </row>
    <row r="562" spans="1:12" x14ac:dyDescent="0.25">
      <c r="A562" s="3">
        <v>45698.463020833333</v>
      </c>
      <c r="B562" t="s">
        <v>137</v>
      </c>
      <c r="C562" s="3">
        <v>45698.637222222227</v>
      </c>
      <c r="D562" t="s">
        <v>278</v>
      </c>
      <c r="E562" s="4">
        <v>61.03</v>
      </c>
      <c r="F562" s="4">
        <v>12377.473</v>
      </c>
      <c r="G562" s="4">
        <v>12438.503000000001</v>
      </c>
      <c r="H562" s="5">
        <f>6712 / 86400</f>
        <v>7.768518518518519E-2</v>
      </c>
      <c r="I562" t="s">
        <v>78</v>
      </c>
      <c r="J562" t="s">
        <v>57</v>
      </c>
      <c r="K562" s="5">
        <f>15051 / 86400</f>
        <v>0.17420138888888889</v>
      </c>
      <c r="L562" s="5">
        <f>759 / 86400</f>
        <v>8.7847222222222215E-3</v>
      </c>
    </row>
    <row r="563" spans="1:12" x14ac:dyDescent="0.25">
      <c r="A563" s="3">
        <v>45698.646006944444</v>
      </c>
      <c r="B563" t="s">
        <v>319</v>
      </c>
      <c r="C563" s="3">
        <v>45698.747881944444</v>
      </c>
      <c r="D563" t="s">
        <v>144</v>
      </c>
      <c r="E563" s="4">
        <v>31.687999999999999</v>
      </c>
      <c r="F563" s="4">
        <v>12438.503000000001</v>
      </c>
      <c r="G563" s="4">
        <v>12470.191000000001</v>
      </c>
      <c r="H563" s="5">
        <f>3919 / 86400</f>
        <v>4.5358796296296293E-2</v>
      </c>
      <c r="I563" t="s">
        <v>173</v>
      </c>
      <c r="J563" t="s">
        <v>97</v>
      </c>
      <c r="K563" s="5">
        <f>8801 / 86400</f>
        <v>0.10186342592592593</v>
      </c>
      <c r="L563" s="5">
        <f>62 / 86400</f>
        <v>7.1759259259259259E-4</v>
      </c>
    </row>
    <row r="564" spans="1:12" x14ac:dyDescent="0.25">
      <c r="A564" s="3">
        <v>45698.748599537037</v>
      </c>
      <c r="B564" t="s">
        <v>144</v>
      </c>
      <c r="C564" s="3">
        <v>45698.749027777776</v>
      </c>
      <c r="D564" t="s">
        <v>337</v>
      </c>
      <c r="E564" s="4">
        <v>7.1999999999999995E-2</v>
      </c>
      <c r="F564" s="4">
        <v>12470.191000000001</v>
      </c>
      <c r="G564" s="4">
        <v>12470.263000000001</v>
      </c>
      <c r="H564" s="5">
        <f>0 / 86400</f>
        <v>0</v>
      </c>
      <c r="I564" t="s">
        <v>59</v>
      </c>
      <c r="J564" t="s">
        <v>89</v>
      </c>
      <c r="K564" s="5">
        <f>37 / 86400</f>
        <v>4.2824074074074075E-4</v>
      </c>
      <c r="L564" s="5">
        <f>154 / 86400</f>
        <v>1.7824074074074075E-3</v>
      </c>
    </row>
    <row r="565" spans="1:12" x14ac:dyDescent="0.25">
      <c r="A565" s="3">
        <v>45698.750810185185</v>
      </c>
      <c r="B565" t="s">
        <v>337</v>
      </c>
      <c r="C565" s="3">
        <v>45698.770555555559</v>
      </c>
      <c r="D565" t="s">
        <v>338</v>
      </c>
      <c r="E565" s="4">
        <v>7.899</v>
      </c>
      <c r="F565" s="4">
        <v>12470.263000000001</v>
      </c>
      <c r="G565" s="4">
        <v>12478.162</v>
      </c>
      <c r="H565" s="5">
        <f>360 / 86400</f>
        <v>4.1666666666666666E-3</v>
      </c>
      <c r="I565" t="s">
        <v>202</v>
      </c>
      <c r="J565" t="s">
        <v>28</v>
      </c>
      <c r="K565" s="5">
        <f>1706 / 86400</f>
        <v>1.9745370370370371E-2</v>
      </c>
      <c r="L565" s="5">
        <f>403 / 86400</f>
        <v>4.6643518518518518E-3</v>
      </c>
    </row>
    <row r="566" spans="1:12" x14ac:dyDescent="0.25">
      <c r="A566" s="3">
        <v>45698.775219907402</v>
      </c>
      <c r="B566" t="s">
        <v>338</v>
      </c>
      <c r="C566" s="3">
        <v>45698.777766203704</v>
      </c>
      <c r="D566" t="s">
        <v>29</v>
      </c>
      <c r="E566" s="4">
        <v>0.42099999999999999</v>
      </c>
      <c r="F566" s="4">
        <v>12478.162</v>
      </c>
      <c r="G566" s="4">
        <v>12478.583000000001</v>
      </c>
      <c r="H566" s="5">
        <f>100 / 86400</f>
        <v>1.1574074074074073E-3</v>
      </c>
      <c r="I566" t="s">
        <v>33</v>
      </c>
      <c r="J566" t="s">
        <v>89</v>
      </c>
      <c r="K566" s="5">
        <f>219 / 86400</f>
        <v>2.5347222222222221E-3</v>
      </c>
      <c r="L566" s="5">
        <f>19200 / 86400</f>
        <v>0.22222222222222221</v>
      </c>
    </row>
    <row r="567" spans="1:12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 spans="1:12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 spans="1:12" s="10" customFormat="1" ht="20.100000000000001" customHeight="1" x14ac:dyDescent="0.35">
      <c r="A569" s="12" t="s">
        <v>416</v>
      </c>
      <c r="B569" s="12"/>
      <c r="C569" s="12"/>
      <c r="D569" s="12"/>
      <c r="E569" s="12"/>
      <c r="F569" s="12"/>
      <c r="G569" s="12"/>
      <c r="H569" s="12"/>
      <c r="I569" s="12"/>
      <c r="J569" s="12"/>
    </row>
    <row r="570" spans="1:12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 spans="1:12" ht="30" x14ac:dyDescent="0.25">
      <c r="A571" s="2" t="s">
        <v>5</v>
      </c>
      <c r="B571" s="2" t="s">
        <v>6</v>
      </c>
      <c r="C571" s="2" t="s">
        <v>7</v>
      </c>
      <c r="D571" s="2" t="s">
        <v>8</v>
      </c>
      <c r="E571" s="2" t="s">
        <v>9</v>
      </c>
      <c r="F571" s="2" t="s">
        <v>10</v>
      </c>
      <c r="G571" s="2" t="s">
        <v>11</v>
      </c>
      <c r="H571" s="2" t="s">
        <v>12</v>
      </c>
      <c r="I571" s="2" t="s">
        <v>13</v>
      </c>
      <c r="J571" s="2" t="s">
        <v>14</v>
      </c>
      <c r="K571" s="2" t="s">
        <v>15</v>
      </c>
      <c r="L571" s="2" t="s">
        <v>16</v>
      </c>
    </row>
    <row r="572" spans="1:12" x14ac:dyDescent="0.25">
      <c r="A572" s="3">
        <v>45698.241446759261</v>
      </c>
      <c r="B572" t="s">
        <v>58</v>
      </c>
      <c r="C572" s="3">
        <v>45698.253946759258</v>
      </c>
      <c r="D572" t="s">
        <v>144</v>
      </c>
      <c r="E572" s="4">
        <v>3.4540000000000002</v>
      </c>
      <c r="F572" s="4">
        <v>138137.64199999999</v>
      </c>
      <c r="G572" s="4">
        <v>138141.09599999999</v>
      </c>
      <c r="H572" s="5">
        <f>479 / 86400</f>
        <v>5.5439814814814813E-3</v>
      </c>
      <c r="I572" t="s">
        <v>85</v>
      </c>
      <c r="J572" t="s">
        <v>102</v>
      </c>
      <c r="K572" s="5">
        <f>1080 / 86400</f>
        <v>1.2500000000000001E-2</v>
      </c>
      <c r="L572" s="5">
        <f>21081 / 86400</f>
        <v>0.24399305555555556</v>
      </c>
    </row>
    <row r="573" spans="1:12" x14ac:dyDescent="0.25">
      <c r="A573" s="3">
        <v>45698.256493055553</v>
      </c>
      <c r="B573" t="s">
        <v>144</v>
      </c>
      <c r="C573" s="3">
        <v>45698.257118055553</v>
      </c>
      <c r="D573" t="s">
        <v>144</v>
      </c>
      <c r="E573" s="4">
        <v>9.5000000000000001E-2</v>
      </c>
      <c r="F573" s="4">
        <v>138141.09599999999</v>
      </c>
      <c r="G573" s="4">
        <v>138141.19099999999</v>
      </c>
      <c r="H573" s="5">
        <f>0 / 86400</f>
        <v>0</v>
      </c>
      <c r="I573" t="s">
        <v>59</v>
      </c>
      <c r="J573" t="s">
        <v>61</v>
      </c>
      <c r="K573" s="5">
        <f>54 / 86400</f>
        <v>6.2500000000000001E-4</v>
      </c>
      <c r="L573" s="5">
        <f>237 / 86400</f>
        <v>2.7430555555555554E-3</v>
      </c>
    </row>
    <row r="574" spans="1:12" x14ac:dyDescent="0.25">
      <c r="A574" s="3">
        <v>45698.25986111111</v>
      </c>
      <c r="B574" t="s">
        <v>144</v>
      </c>
      <c r="C574" s="3">
        <v>45698.34856481482</v>
      </c>
      <c r="D574" t="s">
        <v>339</v>
      </c>
      <c r="E574" s="4">
        <v>31.498999999999999</v>
      </c>
      <c r="F574" s="4">
        <v>138141.19099999999</v>
      </c>
      <c r="G574" s="4">
        <v>138172.69</v>
      </c>
      <c r="H574" s="5">
        <f>2480 / 86400</f>
        <v>2.8703703703703703E-2</v>
      </c>
      <c r="I574" t="s">
        <v>124</v>
      </c>
      <c r="J574" t="s">
        <v>57</v>
      </c>
      <c r="K574" s="5">
        <f>7664 / 86400</f>
        <v>8.8703703703703701E-2</v>
      </c>
      <c r="L574" s="5">
        <f>784 / 86400</f>
        <v>9.0740740740740747E-3</v>
      </c>
    </row>
    <row r="575" spans="1:12" x14ac:dyDescent="0.25">
      <c r="A575" s="3">
        <v>45698.357638888891</v>
      </c>
      <c r="B575" t="s">
        <v>339</v>
      </c>
      <c r="C575" s="3">
        <v>45698.480115740742</v>
      </c>
      <c r="D575" t="s">
        <v>49</v>
      </c>
      <c r="E575" s="4">
        <v>50.470999999999997</v>
      </c>
      <c r="F575" s="4">
        <v>138172.69</v>
      </c>
      <c r="G575" s="4">
        <v>138223.16099999999</v>
      </c>
      <c r="H575" s="5">
        <f>3040 / 86400</f>
        <v>3.5185185185185187E-2</v>
      </c>
      <c r="I575" t="s">
        <v>332</v>
      </c>
      <c r="J575" t="s">
        <v>28</v>
      </c>
      <c r="K575" s="5">
        <f>10582 / 86400</f>
        <v>0.12247685185185185</v>
      </c>
      <c r="L575" s="5">
        <f>2376 / 86400</f>
        <v>2.75E-2</v>
      </c>
    </row>
    <row r="576" spans="1:12" x14ac:dyDescent="0.25">
      <c r="A576" s="3">
        <v>45698.507615740746</v>
      </c>
      <c r="B576" t="s">
        <v>49</v>
      </c>
      <c r="C576" s="3">
        <v>45698.510775462964</v>
      </c>
      <c r="D576" t="s">
        <v>135</v>
      </c>
      <c r="E576" s="4">
        <v>0.80500000000000005</v>
      </c>
      <c r="F576" s="4">
        <v>138223.16099999999</v>
      </c>
      <c r="G576" s="4">
        <v>138223.96599999999</v>
      </c>
      <c r="H576" s="5">
        <f>20 / 86400</f>
        <v>2.3148148148148149E-4</v>
      </c>
      <c r="I576" t="s">
        <v>136</v>
      </c>
      <c r="J576" t="s">
        <v>59</v>
      </c>
      <c r="K576" s="5">
        <f>273 / 86400</f>
        <v>3.1597222222222222E-3</v>
      </c>
      <c r="L576" s="5">
        <f>1499 / 86400</f>
        <v>1.7349537037037038E-2</v>
      </c>
    </row>
    <row r="577" spans="1:12" x14ac:dyDescent="0.25">
      <c r="A577" s="3">
        <v>45698.528124999997</v>
      </c>
      <c r="B577" t="s">
        <v>135</v>
      </c>
      <c r="C577" s="3">
        <v>45698.529363425929</v>
      </c>
      <c r="D577" t="s">
        <v>137</v>
      </c>
      <c r="E577" s="4">
        <v>2.7E-2</v>
      </c>
      <c r="F577" s="4">
        <v>138223.96599999999</v>
      </c>
      <c r="G577" s="4">
        <v>138223.99299999999</v>
      </c>
      <c r="H577" s="5">
        <f>79 / 86400</f>
        <v>9.1435185185185185E-4</v>
      </c>
      <c r="I577" t="s">
        <v>168</v>
      </c>
      <c r="J577" t="s">
        <v>62</v>
      </c>
      <c r="K577" s="5">
        <f>106 / 86400</f>
        <v>1.2268518518518518E-3</v>
      </c>
      <c r="L577" s="5">
        <f>935 / 86400</f>
        <v>1.0821759259259258E-2</v>
      </c>
    </row>
    <row r="578" spans="1:12" x14ac:dyDescent="0.25">
      <c r="A578" s="3">
        <v>45698.540185185186</v>
      </c>
      <c r="B578" t="s">
        <v>137</v>
      </c>
      <c r="C578" s="3">
        <v>45698.545104166667</v>
      </c>
      <c r="D578" t="s">
        <v>123</v>
      </c>
      <c r="E578" s="4">
        <v>1.3460000000000001</v>
      </c>
      <c r="F578" s="4">
        <v>138223.99299999999</v>
      </c>
      <c r="G578" s="4">
        <v>138225.33900000001</v>
      </c>
      <c r="H578" s="5">
        <f>119 / 86400</f>
        <v>1.3773148148148147E-3</v>
      </c>
      <c r="I578" t="s">
        <v>149</v>
      </c>
      <c r="J578" t="s">
        <v>59</v>
      </c>
      <c r="K578" s="5">
        <f>424 / 86400</f>
        <v>4.9074074074074072E-3</v>
      </c>
      <c r="L578" s="5">
        <f>168 / 86400</f>
        <v>1.9444444444444444E-3</v>
      </c>
    </row>
    <row r="579" spans="1:12" x14ac:dyDescent="0.25">
      <c r="A579" s="3">
        <v>45698.547048611115</v>
      </c>
      <c r="B579" t="s">
        <v>123</v>
      </c>
      <c r="C579" s="3">
        <v>45698.812395833331</v>
      </c>
      <c r="D579" t="s">
        <v>79</v>
      </c>
      <c r="E579" s="4">
        <v>107.815</v>
      </c>
      <c r="F579" s="4">
        <v>138225.33900000001</v>
      </c>
      <c r="G579" s="4">
        <v>138333.15400000001</v>
      </c>
      <c r="H579" s="5">
        <f>7760 / 86400</f>
        <v>8.981481481481482E-2</v>
      </c>
      <c r="I579" t="s">
        <v>24</v>
      </c>
      <c r="J579" t="s">
        <v>28</v>
      </c>
      <c r="K579" s="5">
        <f>22925 / 86400</f>
        <v>0.26533564814814814</v>
      </c>
      <c r="L579" s="5">
        <f>263 / 86400</f>
        <v>3.0439814814814813E-3</v>
      </c>
    </row>
    <row r="580" spans="1:12" x14ac:dyDescent="0.25">
      <c r="A580" s="3">
        <v>45698.815439814818</v>
      </c>
      <c r="B580" t="s">
        <v>79</v>
      </c>
      <c r="C580" s="3">
        <v>45698.815995370373</v>
      </c>
      <c r="D580" t="s">
        <v>79</v>
      </c>
      <c r="E580" s="4">
        <v>7.1999999999999995E-2</v>
      </c>
      <c r="F580" s="4">
        <v>138333.15400000001</v>
      </c>
      <c r="G580" s="4">
        <v>138333.226</v>
      </c>
      <c r="H580" s="5">
        <f>0 / 86400</f>
        <v>0</v>
      </c>
      <c r="I580" t="s">
        <v>89</v>
      </c>
      <c r="J580" t="s">
        <v>61</v>
      </c>
      <c r="K580" s="5">
        <f>47 / 86400</f>
        <v>5.4398148148148144E-4</v>
      </c>
      <c r="L580" s="5">
        <f>242 / 86400</f>
        <v>2.8009259259259259E-3</v>
      </c>
    </row>
    <row r="581" spans="1:12" x14ac:dyDescent="0.25">
      <c r="A581" s="3">
        <v>45698.818796296298</v>
      </c>
      <c r="B581" t="s">
        <v>192</v>
      </c>
      <c r="C581" s="3">
        <v>45698.832314814819</v>
      </c>
      <c r="D581" t="s">
        <v>58</v>
      </c>
      <c r="E581" s="4">
        <v>5.242</v>
      </c>
      <c r="F581" s="4">
        <v>138333.226</v>
      </c>
      <c r="G581" s="4">
        <v>138338.46799999999</v>
      </c>
      <c r="H581" s="5">
        <f>280 / 86400</f>
        <v>3.2407407407407406E-3</v>
      </c>
      <c r="I581" t="s">
        <v>189</v>
      </c>
      <c r="J581" t="s">
        <v>19</v>
      </c>
      <c r="K581" s="5">
        <f>1168 / 86400</f>
        <v>1.3518518518518518E-2</v>
      </c>
      <c r="L581" s="5">
        <f>120 / 86400</f>
        <v>1.3888888888888889E-3</v>
      </c>
    </row>
    <row r="582" spans="1:12" x14ac:dyDescent="0.25">
      <c r="A582" s="3">
        <v>45698.833703703705</v>
      </c>
      <c r="B582" t="s">
        <v>58</v>
      </c>
      <c r="C582" s="3">
        <v>45698.834988425922</v>
      </c>
      <c r="D582" t="s">
        <v>58</v>
      </c>
      <c r="E582" s="4">
        <v>2.8000000000000001E-2</v>
      </c>
      <c r="F582" s="4">
        <v>138338.46799999999</v>
      </c>
      <c r="G582" s="4">
        <v>138338.49600000001</v>
      </c>
      <c r="H582" s="5">
        <f>79 / 86400</f>
        <v>9.1435185185185185E-4</v>
      </c>
      <c r="I582" t="s">
        <v>89</v>
      </c>
      <c r="J582" t="s">
        <v>62</v>
      </c>
      <c r="K582" s="5">
        <f>110 / 86400</f>
        <v>1.2731481481481483E-3</v>
      </c>
      <c r="L582" s="5">
        <f>14256 / 86400</f>
        <v>0.16500000000000001</v>
      </c>
    </row>
    <row r="583" spans="1:12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 spans="1:12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 spans="1:12" s="10" customFormat="1" ht="20.100000000000001" customHeight="1" x14ac:dyDescent="0.35">
      <c r="A585" s="12" t="s">
        <v>407</v>
      </c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2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 spans="1:12" ht="30" x14ac:dyDescent="0.25">
      <c r="A587" s="2" t="s">
        <v>5</v>
      </c>
      <c r="B587" s="2" t="s">
        <v>6</v>
      </c>
      <c r="C587" s="2" t="s">
        <v>7</v>
      </c>
      <c r="D587" s="2" t="s">
        <v>8</v>
      </c>
      <c r="E587" s="2" t="s">
        <v>9</v>
      </c>
      <c r="F587" s="2" t="s">
        <v>10</v>
      </c>
      <c r="G587" s="2" t="s">
        <v>11</v>
      </c>
      <c r="H587" s="2" t="s">
        <v>12</v>
      </c>
      <c r="I587" s="2" t="s">
        <v>13</v>
      </c>
      <c r="J587" s="2" t="s">
        <v>14</v>
      </c>
      <c r="K587" s="2" t="s">
        <v>15</v>
      </c>
      <c r="L587" s="2" t="s">
        <v>16</v>
      </c>
    </row>
    <row r="588" spans="1:12" x14ac:dyDescent="0.25">
      <c r="A588" s="3">
        <v>45698.234444444446</v>
      </c>
      <c r="B588" t="s">
        <v>29</v>
      </c>
      <c r="C588" s="3">
        <v>45698.239351851851</v>
      </c>
      <c r="D588" t="s">
        <v>29</v>
      </c>
      <c r="E588" s="4">
        <v>0</v>
      </c>
      <c r="F588" s="4">
        <v>5063.8180000000002</v>
      </c>
      <c r="G588" s="4">
        <v>5063.8180000000002</v>
      </c>
      <c r="H588" s="5">
        <f>420 / 86400</f>
        <v>4.8611111111111112E-3</v>
      </c>
      <c r="I588" t="s">
        <v>126</v>
      </c>
      <c r="J588" t="s">
        <v>126</v>
      </c>
      <c r="K588" s="5">
        <f>423 / 86400</f>
        <v>4.8958333333333336E-3</v>
      </c>
      <c r="L588" s="5">
        <f>20664 / 86400</f>
        <v>0.23916666666666667</v>
      </c>
    </row>
    <row r="589" spans="1:12" x14ac:dyDescent="0.25">
      <c r="A589" s="3">
        <v>45698.244074074071</v>
      </c>
      <c r="B589" t="s">
        <v>29</v>
      </c>
      <c r="C589" s="3">
        <v>45698.244618055556</v>
      </c>
      <c r="D589" t="s">
        <v>29</v>
      </c>
      <c r="E589" s="4">
        <v>0</v>
      </c>
      <c r="F589" s="4">
        <v>5063.8180000000002</v>
      </c>
      <c r="G589" s="4">
        <v>5063.8180000000002</v>
      </c>
      <c r="H589" s="5">
        <f>39 / 86400</f>
        <v>4.5138888888888887E-4</v>
      </c>
      <c r="I589" t="s">
        <v>126</v>
      </c>
      <c r="J589" t="s">
        <v>126</v>
      </c>
      <c r="K589" s="5">
        <f>47 / 86400</f>
        <v>5.4398148148148144E-4</v>
      </c>
      <c r="L589" s="5">
        <f>3756 / 86400</f>
        <v>4.3472222222222225E-2</v>
      </c>
    </row>
    <row r="590" spans="1:12" x14ac:dyDescent="0.25">
      <c r="A590" s="3">
        <v>45698.288090277776</v>
      </c>
      <c r="B590" t="s">
        <v>29</v>
      </c>
      <c r="C590" s="3">
        <v>45698.536932870367</v>
      </c>
      <c r="D590" t="s">
        <v>123</v>
      </c>
      <c r="E590" s="4">
        <v>83.968999999999994</v>
      </c>
      <c r="F590" s="4">
        <v>5063.8180000000002</v>
      </c>
      <c r="G590" s="4">
        <v>5147.7870000000003</v>
      </c>
      <c r="H590" s="5">
        <f>9946 / 86400</f>
        <v>0.11511574074074074</v>
      </c>
      <c r="I590" t="s">
        <v>24</v>
      </c>
      <c r="J590" t="s">
        <v>31</v>
      </c>
      <c r="K590" s="5">
        <f>21499 / 86400</f>
        <v>0.24883101851851852</v>
      </c>
      <c r="L590" s="5">
        <f>671 / 86400</f>
        <v>7.766203703703704E-3</v>
      </c>
    </row>
    <row r="591" spans="1:12" x14ac:dyDescent="0.25">
      <c r="A591" s="3">
        <v>45698.544699074075</v>
      </c>
      <c r="B591" t="s">
        <v>123</v>
      </c>
      <c r="C591" s="3">
        <v>45698.549988425926</v>
      </c>
      <c r="D591" t="s">
        <v>137</v>
      </c>
      <c r="E591" s="4">
        <v>1.3959999999999999</v>
      </c>
      <c r="F591" s="4">
        <v>5147.7870000000003</v>
      </c>
      <c r="G591" s="4">
        <v>5149.183</v>
      </c>
      <c r="H591" s="5">
        <f>59 / 86400</f>
        <v>6.8287037037037036E-4</v>
      </c>
      <c r="I591" t="s">
        <v>28</v>
      </c>
      <c r="J591" t="s">
        <v>59</v>
      </c>
      <c r="K591" s="5">
        <f>456 / 86400</f>
        <v>5.2777777777777779E-3</v>
      </c>
      <c r="L591" s="5">
        <f>660 / 86400</f>
        <v>7.6388888888888886E-3</v>
      </c>
    </row>
    <row r="592" spans="1:12" x14ac:dyDescent="0.25">
      <c r="A592" s="3">
        <v>45698.557627314818</v>
      </c>
      <c r="B592" t="s">
        <v>137</v>
      </c>
      <c r="C592" s="3">
        <v>45698.559548611112</v>
      </c>
      <c r="D592" t="s">
        <v>164</v>
      </c>
      <c r="E592" s="4">
        <v>0.627</v>
      </c>
      <c r="F592" s="4">
        <v>5149.183</v>
      </c>
      <c r="G592" s="4">
        <v>5149.8100000000004</v>
      </c>
      <c r="H592" s="5">
        <f>0 / 86400</f>
        <v>0</v>
      </c>
      <c r="I592" t="s">
        <v>33</v>
      </c>
      <c r="J592" t="s">
        <v>31</v>
      </c>
      <c r="K592" s="5">
        <f>165 / 86400</f>
        <v>1.9097222222222222E-3</v>
      </c>
      <c r="L592" s="5">
        <f>3482 / 86400</f>
        <v>4.0300925925925928E-2</v>
      </c>
    </row>
    <row r="593" spans="1:12" x14ac:dyDescent="0.25">
      <c r="A593" s="3">
        <v>45698.599849537037</v>
      </c>
      <c r="B593" t="s">
        <v>164</v>
      </c>
      <c r="C593" s="3">
        <v>45698.948067129633</v>
      </c>
      <c r="D593" t="s">
        <v>23</v>
      </c>
      <c r="E593" s="4">
        <v>82.685000000000002</v>
      </c>
      <c r="F593" s="4">
        <v>5149.8100000000004</v>
      </c>
      <c r="G593" s="4">
        <v>5232.4949999999999</v>
      </c>
      <c r="H593" s="5">
        <f>19367 / 86400</f>
        <v>0.22415509259259259</v>
      </c>
      <c r="I593" t="s">
        <v>38</v>
      </c>
      <c r="J593" t="s">
        <v>129</v>
      </c>
      <c r="K593" s="5">
        <f>30086 / 86400</f>
        <v>0.34821759259259261</v>
      </c>
      <c r="L593" s="5">
        <f>665 / 86400</f>
        <v>7.6967592592592591E-3</v>
      </c>
    </row>
    <row r="594" spans="1:12" x14ac:dyDescent="0.25">
      <c r="A594" s="3">
        <v>45698.955763888887</v>
      </c>
      <c r="B594" t="s">
        <v>23</v>
      </c>
      <c r="C594" s="3">
        <v>45698.960451388892</v>
      </c>
      <c r="D594" t="s">
        <v>29</v>
      </c>
      <c r="E594" s="4">
        <v>0.44400000000000001</v>
      </c>
      <c r="F594" s="4">
        <v>5232.4949999999999</v>
      </c>
      <c r="G594" s="4">
        <v>5232.9390000000003</v>
      </c>
      <c r="H594" s="5">
        <f>219 / 86400</f>
        <v>2.5347222222222221E-3</v>
      </c>
      <c r="I594" t="s">
        <v>22</v>
      </c>
      <c r="J594" t="s">
        <v>43</v>
      </c>
      <c r="K594" s="5">
        <f>405 / 86400</f>
        <v>4.6874999999999998E-3</v>
      </c>
      <c r="L594" s="5">
        <f>3416 / 86400</f>
        <v>3.9537037037037037E-2</v>
      </c>
    </row>
    <row r="595" spans="1:12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 spans="1:12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 spans="1:12" s="10" customFormat="1" ht="20.100000000000001" customHeight="1" x14ac:dyDescent="0.35">
      <c r="A597" s="12" t="s">
        <v>408</v>
      </c>
      <c r="B597" s="12"/>
      <c r="C597" s="12"/>
      <c r="D597" s="12"/>
      <c r="E597" s="12"/>
      <c r="F597" s="12"/>
      <c r="G597" s="12"/>
      <c r="H597" s="12"/>
      <c r="I597" s="12"/>
      <c r="J597" s="12"/>
    </row>
    <row r="598" spans="1:12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 spans="1:12" ht="30" x14ac:dyDescent="0.25">
      <c r="A599" s="2" t="s">
        <v>5</v>
      </c>
      <c r="B599" s="2" t="s">
        <v>6</v>
      </c>
      <c r="C599" s="2" t="s">
        <v>7</v>
      </c>
      <c r="D599" s="2" t="s">
        <v>8</v>
      </c>
      <c r="E599" s="2" t="s">
        <v>9</v>
      </c>
      <c r="F599" s="2" t="s">
        <v>10</v>
      </c>
      <c r="G599" s="2" t="s">
        <v>11</v>
      </c>
      <c r="H599" s="2" t="s">
        <v>12</v>
      </c>
      <c r="I599" s="2" t="s">
        <v>13</v>
      </c>
      <c r="J599" s="2" t="s">
        <v>14</v>
      </c>
      <c r="K599" s="2" t="s">
        <v>15</v>
      </c>
      <c r="L599" s="2" t="s">
        <v>16</v>
      </c>
    </row>
    <row r="600" spans="1:12" x14ac:dyDescent="0.25">
      <c r="A600" s="3">
        <v>45698.208356481482</v>
      </c>
      <c r="B600" t="s">
        <v>37</v>
      </c>
      <c r="C600" s="3">
        <v>45698.415011574078</v>
      </c>
      <c r="D600" t="s">
        <v>44</v>
      </c>
      <c r="E600" s="4">
        <v>81.375</v>
      </c>
      <c r="F600" s="4">
        <v>386367.72700000001</v>
      </c>
      <c r="G600" s="4">
        <v>386449.10200000001</v>
      </c>
      <c r="H600" s="5">
        <f>5959 / 86400</f>
        <v>6.896990740740741E-2</v>
      </c>
      <c r="I600" t="s">
        <v>188</v>
      </c>
      <c r="J600" t="s">
        <v>19</v>
      </c>
      <c r="K600" s="5">
        <f>17855 / 86400</f>
        <v>0.2066550925925926</v>
      </c>
      <c r="L600" s="5">
        <f>19768 / 86400</f>
        <v>0.2287962962962963</v>
      </c>
    </row>
    <row r="601" spans="1:12" x14ac:dyDescent="0.25">
      <c r="A601" s="3">
        <v>45698.43545138889</v>
      </c>
      <c r="B601" t="s">
        <v>44</v>
      </c>
      <c r="C601" s="3">
        <v>45698.436354166668</v>
      </c>
      <c r="D601" t="s">
        <v>44</v>
      </c>
      <c r="E601" s="4">
        <v>0.10299999999999999</v>
      </c>
      <c r="F601" s="4">
        <v>386449.10200000001</v>
      </c>
      <c r="G601" s="4">
        <v>386449.20500000002</v>
      </c>
      <c r="H601" s="5">
        <f>20 / 86400</f>
        <v>2.3148148148148149E-4</v>
      </c>
      <c r="I601" t="s">
        <v>129</v>
      </c>
      <c r="J601" t="s">
        <v>125</v>
      </c>
      <c r="K601" s="5">
        <f>78 / 86400</f>
        <v>9.0277777777777774E-4</v>
      </c>
      <c r="L601" s="5">
        <f>831 / 86400</f>
        <v>9.618055555555555E-3</v>
      </c>
    </row>
    <row r="602" spans="1:12" x14ac:dyDescent="0.25">
      <c r="A602" s="3">
        <v>45698.445972222224</v>
      </c>
      <c r="B602" t="s">
        <v>44</v>
      </c>
      <c r="C602" s="3">
        <v>45698.449745370366</v>
      </c>
      <c r="D602" t="s">
        <v>137</v>
      </c>
      <c r="E602" s="4">
        <v>1.125</v>
      </c>
      <c r="F602" s="4">
        <v>386449.20500000002</v>
      </c>
      <c r="G602" s="4">
        <v>386450.33</v>
      </c>
      <c r="H602" s="5">
        <f>40 / 86400</f>
        <v>4.6296296296296298E-4</v>
      </c>
      <c r="I602" t="s">
        <v>185</v>
      </c>
      <c r="J602" t="s">
        <v>102</v>
      </c>
      <c r="K602" s="5">
        <f>326 / 86400</f>
        <v>3.7731481481481483E-3</v>
      </c>
      <c r="L602" s="5">
        <f>341 / 86400</f>
        <v>3.9467592592592592E-3</v>
      </c>
    </row>
    <row r="603" spans="1:12" x14ac:dyDescent="0.25">
      <c r="A603" s="3">
        <v>45698.453692129631</v>
      </c>
      <c r="B603" t="s">
        <v>137</v>
      </c>
      <c r="C603" s="3">
        <v>45698.454259259262</v>
      </c>
      <c r="D603" t="s">
        <v>135</v>
      </c>
      <c r="E603" s="4">
        <v>0.108</v>
      </c>
      <c r="F603" s="4">
        <v>386450.33</v>
      </c>
      <c r="G603" s="4">
        <v>386450.43800000002</v>
      </c>
      <c r="H603" s="5">
        <f>0 / 86400</f>
        <v>0</v>
      </c>
      <c r="I603" t="s">
        <v>59</v>
      </c>
      <c r="J603" t="s">
        <v>168</v>
      </c>
      <c r="K603" s="5">
        <f>49 / 86400</f>
        <v>5.6712962962962967E-4</v>
      </c>
      <c r="L603" s="5">
        <f>933 / 86400</f>
        <v>1.0798611111111111E-2</v>
      </c>
    </row>
    <row r="604" spans="1:12" x14ac:dyDescent="0.25">
      <c r="A604" s="3">
        <v>45698.465057870373</v>
      </c>
      <c r="B604" t="s">
        <v>135</v>
      </c>
      <c r="C604" s="3">
        <v>45698.554097222222</v>
      </c>
      <c r="D604" t="s">
        <v>340</v>
      </c>
      <c r="E604" s="4">
        <v>42.454000000000001</v>
      </c>
      <c r="F604" s="4">
        <v>386450.43800000002</v>
      </c>
      <c r="G604" s="4">
        <v>386492.89199999999</v>
      </c>
      <c r="H604" s="5">
        <f>2259 / 86400</f>
        <v>2.6145833333333333E-2</v>
      </c>
      <c r="I604" t="s">
        <v>60</v>
      </c>
      <c r="J604" t="s">
        <v>22</v>
      </c>
      <c r="K604" s="5">
        <f>7692 / 86400</f>
        <v>8.9027777777777775E-2</v>
      </c>
      <c r="L604" s="5">
        <f>76 / 86400</f>
        <v>8.7962962962962962E-4</v>
      </c>
    </row>
    <row r="605" spans="1:12" x14ac:dyDescent="0.25">
      <c r="A605" s="3">
        <v>45698.554976851854</v>
      </c>
      <c r="B605" t="s">
        <v>340</v>
      </c>
      <c r="C605" s="3">
        <v>45698.656585648147</v>
      </c>
      <c r="D605" t="s">
        <v>164</v>
      </c>
      <c r="E605" s="4">
        <v>42.238999999999997</v>
      </c>
      <c r="F605" s="4">
        <v>386492.89199999999</v>
      </c>
      <c r="G605" s="4">
        <v>386535.13099999999</v>
      </c>
      <c r="H605" s="5">
        <f>2559 / 86400</f>
        <v>2.9618055555555557E-2</v>
      </c>
      <c r="I605" t="s">
        <v>167</v>
      </c>
      <c r="J605" t="s">
        <v>28</v>
      </c>
      <c r="K605" s="5">
        <f>8778 / 86400</f>
        <v>0.10159722222222223</v>
      </c>
      <c r="L605" s="5">
        <f>847 / 86400</f>
        <v>9.8032407407407408E-3</v>
      </c>
    </row>
    <row r="606" spans="1:12" x14ac:dyDescent="0.25">
      <c r="A606" s="3">
        <v>45698.666388888887</v>
      </c>
      <c r="B606" t="s">
        <v>164</v>
      </c>
      <c r="C606" s="3">
        <v>45698.770983796298</v>
      </c>
      <c r="D606" t="s">
        <v>37</v>
      </c>
      <c r="E606" s="4">
        <v>48.841999999999999</v>
      </c>
      <c r="F606" s="4">
        <v>386535.13099999999</v>
      </c>
      <c r="G606" s="4">
        <v>386583.973</v>
      </c>
      <c r="H606" s="5">
        <f>2720 / 86400</f>
        <v>3.1481481481481478E-2</v>
      </c>
      <c r="I606" t="s">
        <v>188</v>
      </c>
      <c r="J606" t="s">
        <v>33</v>
      </c>
      <c r="K606" s="5">
        <f>9037 / 86400</f>
        <v>0.10459490740740741</v>
      </c>
      <c r="L606" s="5">
        <f>479 / 86400</f>
        <v>5.5439814814814813E-3</v>
      </c>
    </row>
    <row r="607" spans="1:12" x14ac:dyDescent="0.25">
      <c r="A607" s="3">
        <v>45698.77652777778</v>
      </c>
      <c r="B607" t="s">
        <v>37</v>
      </c>
      <c r="C607" s="3">
        <v>45698.782013888893</v>
      </c>
      <c r="D607" t="s">
        <v>37</v>
      </c>
      <c r="E607" s="4">
        <v>1.3759999999999999</v>
      </c>
      <c r="F607" s="4">
        <v>386583.973</v>
      </c>
      <c r="G607" s="4">
        <v>386585.34899999999</v>
      </c>
      <c r="H607" s="5">
        <f>260 / 86400</f>
        <v>3.0092592592592593E-3</v>
      </c>
      <c r="I607" t="s">
        <v>148</v>
      </c>
      <c r="J607" t="s">
        <v>129</v>
      </c>
      <c r="K607" s="5">
        <f>473 / 86400</f>
        <v>5.4745370370370373E-3</v>
      </c>
      <c r="L607" s="5">
        <f>1383 / 86400</f>
        <v>1.6006944444444445E-2</v>
      </c>
    </row>
    <row r="608" spans="1:12" x14ac:dyDescent="0.25">
      <c r="A608" s="3">
        <v>45698.798020833332</v>
      </c>
      <c r="B608" t="s">
        <v>37</v>
      </c>
      <c r="C608" s="3">
        <v>45698.798159722224</v>
      </c>
      <c r="D608" t="s">
        <v>37</v>
      </c>
      <c r="E608" s="4">
        <v>0</v>
      </c>
      <c r="F608" s="4">
        <v>386585.34899999999</v>
      </c>
      <c r="G608" s="4">
        <v>386585.34899999999</v>
      </c>
      <c r="H608" s="5">
        <f t="shared" ref="H608:H617" si="4">0 / 86400</f>
        <v>0</v>
      </c>
      <c r="I608" t="s">
        <v>126</v>
      </c>
      <c r="J608" t="s">
        <v>126</v>
      </c>
      <c r="K608" s="5">
        <f>11 / 86400</f>
        <v>1.273148148148148E-4</v>
      </c>
      <c r="L608" s="5">
        <f>2 / 86400</f>
        <v>2.3148148148148147E-5</v>
      </c>
    </row>
    <row r="609" spans="1:12" x14ac:dyDescent="0.25">
      <c r="A609" s="3">
        <v>45698.798182870371</v>
      </c>
      <c r="B609" t="s">
        <v>37</v>
      </c>
      <c r="C609" s="3">
        <v>45698.798206018517</v>
      </c>
      <c r="D609" t="s">
        <v>37</v>
      </c>
      <c r="E609" s="4">
        <v>0</v>
      </c>
      <c r="F609" s="4">
        <v>386585.34899999999</v>
      </c>
      <c r="G609" s="4">
        <v>386585.34899999999</v>
      </c>
      <c r="H609" s="5">
        <f t="shared" si="4"/>
        <v>0</v>
      </c>
      <c r="I609" t="s">
        <v>126</v>
      </c>
      <c r="J609" t="s">
        <v>126</v>
      </c>
      <c r="K609" s="5">
        <f>2 / 86400</f>
        <v>2.3148148148148147E-5</v>
      </c>
      <c r="L609" s="5">
        <f>2 / 86400</f>
        <v>2.3148148148148147E-5</v>
      </c>
    </row>
    <row r="610" spans="1:12" x14ac:dyDescent="0.25">
      <c r="A610" s="3">
        <v>45698.79822916667</v>
      </c>
      <c r="B610" t="s">
        <v>37</v>
      </c>
      <c r="C610" s="3">
        <v>45698.798252314809</v>
      </c>
      <c r="D610" t="s">
        <v>37</v>
      </c>
      <c r="E610" s="4">
        <v>0</v>
      </c>
      <c r="F610" s="4">
        <v>386585.34899999999</v>
      </c>
      <c r="G610" s="4">
        <v>386585.34899999999</v>
      </c>
      <c r="H610" s="5">
        <f t="shared" si="4"/>
        <v>0</v>
      </c>
      <c r="I610" t="s">
        <v>126</v>
      </c>
      <c r="J610" t="s">
        <v>126</v>
      </c>
      <c r="K610" s="5">
        <f>2 / 86400</f>
        <v>2.3148148148148147E-5</v>
      </c>
      <c r="L610" s="5">
        <f>9 / 86400</f>
        <v>1.0416666666666667E-4</v>
      </c>
    </row>
    <row r="611" spans="1:12" x14ac:dyDescent="0.25">
      <c r="A611" s="3">
        <v>45698.798356481479</v>
      </c>
      <c r="B611" t="s">
        <v>37</v>
      </c>
      <c r="C611" s="3">
        <v>45698.798414351855</v>
      </c>
      <c r="D611" t="s">
        <v>37</v>
      </c>
      <c r="E611" s="4">
        <v>0</v>
      </c>
      <c r="F611" s="4">
        <v>386585.34899999999</v>
      </c>
      <c r="G611" s="4">
        <v>386585.34899999999</v>
      </c>
      <c r="H611" s="5">
        <f t="shared" si="4"/>
        <v>0</v>
      </c>
      <c r="I611" t="s">
        <v>126</v>
      </c>
      <c r="J611" t="s">
        <v>126</v>
      </c>
      <c r="K611" s="5">
        <f>4 / 86400</f>
        <v>4.6296296296296294E-5</v>
      </c>
      <c r="L611" s="5">
        <f>9 / 86400</f>
        <v>1.0416666666666667E-4</v>
      </c>
    </row>
    <row r="612" spans="1:12" x14ac:dyDescent="0.25">
      <c r="A612" s="3">
        <v>45698.798518518517</v>
      </c>
      <c r="B612" t="s">
        <v>37</v>
      </c>
      <c r="C612" s="3">
        <v>45698.79855324074</v>
      </c>
      <c r="D612" t="s">
        <v>37</v>
      </c>
      <c r="E612" s="4">
        <v>0</v>
      </c>
      <c r="F612" s="4">
        <v>386585.34899999999</v>
      </c>
      <c r="G612" s="4">
        <v>386585.34899999999</v>
      </c>
      <c r="H612" s="5">
        <f t="shared" si="4"/>
        <v>0</v>
      </c>
      <c r="I612" t="s">
        <v>126</v>
      </c>
      <c r="J612" t="s">
        <v>126</v>
      </c>
      <c r="K612" s="5">
        <f>3 / 86400</f>
        <v>3.4722222222222222E-5</v>
      </c>
      <c r="L612" s="5">
        <f>2 / 86400</f>
        <v>2.3148148148148147E-5</v>
      </c>
    </row>
    <row r="613" spans="1:12" x14ac:dyDescent="0.25">
      <c r="A613" s="3">
        <v>45698.798576388886</v>
      </c>
      <c r="B613" t="s">
        <v>37</v>
      </c>
      <c r="C613" s="3">
        <v>45698.798587962963</v>
      </c>
      <c r="D613" t="s">
        <v>37</v>
      </c>
      <c r="E613" s="4">
        <v>0</v>
      </c>
      <c r="F613" s="4">
        <v>386585.34899999999</v>
      </c>
      <c r="G613" s="4">
        <v>386585.34899999999</v>
      </c>
      <c r="H613" s="5">
        <f t="shared" si="4"/>
        <v>0</v>
      </c>
      <c r="I613" t="s">
        <v>126</v>
      </c>
      <c r="J613" t="s">
        <v>126</v>
      </c>
      <c r="K613" s="5">
        <f>1 / 86400</f>
        <v>1.1574074074074073E-5</v>
      </c>
      <c r="L613" s="5">
        <f>14 / 86400</f>
        <v>1.6203703703703703E-4</v>
      </c>
    </row>
    <row r="614" spans="1:12" x14ac:dyDescent="0.25">
      <c r="A614" s="3">
        <v>45698.798750000002</v>
      </c>
      <c r="B614" t="s">
        <v>37</v>
      </c>
      <c r="C614" s="3">
        <v>45698.798773148148</v>
      </c>
      <c r="D614" t="s">
        <v>37</v>
      </c>
      <c r="E614" s="4">
        <v>0</v>
      </c>
      <c r="F614" s="4">
        <v>386585.34899999999</v>
      </c>
      <c r="G614" s="4">
        <v>386585.34899999999</v>
      </c>
      <c r="H614" s="5">
        <f t="shared" si="4"/>
        <v>0</v>
      </c>
      <c r="I614" t="s">
        <v>126</v>
      </c>
      <c r="J614" t="s">
        <v>126</v>
      </c>
      <c r="K614" s="5">
        <f>1 / 86400</f>
        <v>1.1574074074074073E-5</v>
      </c>
      <c r="L614" s="5">
        <f>2 / 86400</f>
        <v>2.3148148148148147E-5</v>
      </c>
    </row>
    <row r="615" spans="1:12" x14ac:dyDescent="0.25">
      <c r="A615" s="3">
        <v>45698.798796296294</v>
      </c>
      <c r="B615" t="s">
        <v>37</v>
      </c>
      <c r="C615" s="3">
        <v>45698.798831018517</v>
      </c>
      <c r="D615" t="s">
        <v>37</v>
      </c>
      <c r="E615" s="4">
        <v>0</v>
      </c>
      <c r="F615" s="4">
        <v>386585.34899999999</v>
      </c>
      <c r="G615" s="4">
        <v>386585.34899999999</v>
      </c>
      <c r="H615" s="5">
        <f t="shared" si="4"/>
        <v>0</v>
      </c>
      <c r="I615" t="s">
        <v>126</v>
      </c>
      <c r="J615" t="s">
        <v>126</v>
      </c>
      <c r="K615" s="5">
        <f>3 / 86400</f>
        <v>3.4722222222222222E-5</v>
      </c>
      <c r="L615" s="5">
        <f>2 / 86400</f>
        <v>2.3148148148148147E-5</v>
      </c>
    </row>
    <row r="616" spans="1:12" x14ac:dyDescent="0.25">
      <c r="A616" s="3">
        <v>45698.798854166671</v>
      </c>
      <c r="B616" t="s">
        <v>37</v>
      </c>
      <c r="C616" s="3">
        <v>45698.79886574074</v>
      </c>
      <c r="D616" t="s">
        <v>37</v>
      </c>
      <c r="E616" s="4">
        <v>0</v>
      </c>
      <c r="F616" s="4">
        <v>386585.34899999999</v>
      </c>
      <c r="G616" s="4">
        <v>386585.34899999999</v>
      </c>
      <c r="H616" s="5">
        <f t="shared" si="4"/>
        <v>0</v>
      </c>
      <c r="I616" t="s">
        <v>126</v>
      </c>
      <c r="J616" t="s">
        <v>126</v>
      </c>
      <c r="K616" s="5">
        <f>1 / 86400</f>
        <v>1.1574074074074073E-5</v>
      </c>
      <c r="L616" s="5">
        <f>10 / 86400</f>
        <v>1.1574074074074075E-4</v>
      </c>
    </row>
    <row r="617" spans="1:12" x14ac:dyDescent="0.25">
      <c r="A617" s="3">
        <v>45698.798981481479</v>
      </c>
      <c r="B617" t="s">
        <v>37</v>
      </c>
      <c r="C617" s="3">
        <v>45698.799039351856</v>
      </c>
      <c r="D617" t="s">
        <v>37</v>
      </c>
      <c r="E617" s="4">
        <v>0</v>
      </c>
      <c r="F617" s="4">
        <v>386585.34899999999</v>
      </c>
      <c r="G617" s="4">
        <v>386585.34899999999</v>
      </c>
      <c r="H617" s="5">
        <f t="shared" si="4"/>
        <v>0</v>
      </c>
      <c r="I617" t="s">
        <v>126</v>
      </c>
      <c r="J617" t="s">
        <v>126</v>
      </c>
      <c r="K617" s="5">
        <f>4 / 86400</f>
        <v>4.6296296296296294E-5</v>
      </c>
      <c r="L617" s="5">
        <f>17362 / 86400</f>
        <v>0.20094907407407409</v>
      </c>
    </row>
    <row r="618" spans="1:12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 spans="1:12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 spans="1:12" s="10" customFormat="1" ht="20.100000000000001" customHeight="1" x14ac:dyDescent="0.35">
      <c r="A620" s="12" t="s">
        <v>409</v>
      </c>
      <c r="B620" s="12"/>
      <c r="C620" s="12"/>
      <c r="D620" s="12"/>
      <c r="E620" s="12"/>
      <c r="F620" s="12"/>
      <c r="G620" s="12"/>
      <c r="H620" s="12"/>
      <c r="I620" s="12"/>
      <c r="J620" s="12"/>
    </row>
    <row r="621" spans="1:12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 spans="1:12" ht="30" x14ac:dyDescent="0.25">
      <c r="A622" s="2" t="s">
        <v>5</v>
      </c>
      <c r="B622" s="2" t="s">
        <v>6</v>
      </c>
      <c r="C622" s="2" t="s">
        <v>7</v>
      </c>
      <c r="D622" s="2" t="s">
        <v>8</v>
      </c>
      <c r="E622" s="2" t="s">
        <v>9</v>
      </c>
      <c r="F622" s="2" t="s">
        <v>10</v>
      </c>
      <c r="G622" s="2" t="s">
        <v>11</v>
      </c>
      <c r="H622" s="2" t="s">
        <v>12</v>
      </c>
      <c r="I622" s="2" t="s">
        <v>13</v>
      </c>
      <c r="J622" s="2" t="s">
        <v>14</v>
      </c>
      <c r="K622" s="2" t="s">
        <v>15</v>
      </c>
      <c r="L622" s="2" t="s">
        <v>16</v>
      </c>
    </row>
    <row r="623" spans="1:12" x14ac:dyDescent="0.25">
      <c r="A623" s="3">
        <v>45698.973460648151</v>
      </c>
      <c r="B623" t="s">
        <v>37</v>
      </c>
      <c r="C623" s="3">
        <v>45698.975312499999</v>
      </c>
      <c r="D623" t="s">
        <v>37</v>
      </c>
      <c r="E623" s="4">
        <v>6.4000000000000001E-2</v>
      </c>
      <c r="F623" s="4">
        <v>392325.69</v>
      </c>
      <c r="G623" s="4">
        <v>392325.75400000002</v>
      </c>
      <c r="H623" s="5">
        <f>60 / 86400</f>
        <v>6.9444444444444447E-4</v>
      </c>
      <c r="I623" t="s">
        <v>61</v>
      </c>
      <c r="J623" t="s">
        <v>62</v>
      </c>
      <c r="K623" s="5">
        <f>160 / 86400</f>
        <v>1.8518518518518519E-3</v>
      </c>
      <c r="L623" s="5">
        <f>86239 / 86400</f>
        <v>0.99813657407407408</v>
      </c>
    </row>
    <row r="624" spans="1:12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 spans="1:12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 spans="1:12" s="10" customFormat="1" ht="20.100000000000001" customHeight="1" x14ac:dyDescent="0.35">
      <c r="A626" s="12" t="s">
        <v>410</v>
      </c>
      <c r="B626" s="12"/>
      <c r="C626" s="12"/>
      <c r="D626" s="12"/>
      <c r="E626" s="12"/>
      <c r="F626" s="12"/>
      <c r="G626" s="12"/>
      <c r="H626" s="12"/>
      <c r="I626" s="12"/>
      <c r="J626" s="12"/>
    </row>
    <row r="627" spans="1:12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 spans="1:12" ht="30" x14ac:dyDescent="0.25">
      <c r="A628" s="2" t="s">
        <v>5</v>
      </c>
      <c r="B628" s="2" t="s">
        <v>6</v>
      </c>
      <c r="C628" s="2" t="s">
        <v>7</v>
      </c>
      <c r="D628" s="2" t="s">
        <v>8</v>
      </c>
      <c r="E628" s="2" t="s">
        <v>9</v>
      </c>
      <c r="F628" s="2" t="s">
        <v>10</v>
      </c>
      <c r="G628" s="2" t="s">
        <v>11</v>
      </c>
      <c r="H628" s="2" t="s">
        <v>12</v>
      </c>
      <c r="I628" s="2" t="s">
        <v>13</v>
      </c>
      <c r="J628" s="2" t="s">
        <v>14</v>
      </c>
      <c r="K628" s="2" t="s">
        <v>15</v>
      </c>
      <c r="L628" s="2" t="s">
        <v>16</v>
      </c>
    </row>
    <row r="629" spans="1:12" x14ac:dyDescent="0.25">
      <c r="A629" s="3">
        <v>45698.147152777776</v>
      </c>
      <c r="B629" t="s">
        <v>63</v>
      </c>
      <c r="C629" s="3">
        <v>45698.304212962961</v>
      </c>
      <c r="D629" t="s">
        <v>135</v>
      </c>
      <c r="E629" s="4">
        <v>81.522999999999996</v>
      </c>
      <c r="F629" s="4">
        <v>522527.31</v>
      </c>
      <c r="G629" s="4">
        <v>522608.83299999998</v>
      </c>
      <c r="H629" s="5">
        <f>3579 / 86400</f>
        <v>4.1423611111111112E-2</v>
      </c>
      <c r="I629" t="s">
        <v>24</v>
      </c>
      <c r="J629" t="s">
        <v>147</v>
      </c>
      <c r="K629" s="5">
        <f>13569 / 86400</f>
        <v>0.15704861111111112</v>
      </c>
      <c r="L629" s="5">
        <f>13914 / 86400</f>
        <v>0.16104166666666667</v>
      </c>
    </row>
    <row r="630" spans="1:12" x14ac:dyDescent="0.25">
      <c r="A630" s="3">
        <v>45698.318101851852</v>
      </c>
      <c r="B630" t="s">
        <v>135</v>
      </c>
      <c r="C630" s="3">
        <v>45698.572604166664</v>
      </c>
      <c r="D630" t="s">
        <v>123</v>
      </c>
      <c r="E630" s="4">
        <v>101.45399999999999</v>
      </c>
      <c r="F630" s="4">
        <v>522608.83299999998</v>
      </c>
      <c r="G630" s="4">
        <v>522710.28700000001</v>
      </c>
      <c r="H630" s="5">
        <f>7153 / 86400</f>
        <v>8.278935185185185E-2</v>
      </c>
      <c r="I630" t="s">
        <v>27</v>
      </c>
      <c r="J630" t="s">
        <v>28</v>
      </c>
      <c r="K630" s="5">
        <f>21988 / 86400</f>
        <v>0.25449074074074074</v>
      </c>
      <c r="L630" s="5">
        <f>594 / 86400</f>
        <v>6.875E-3</v>
      </c>
    </row>
    <row r="631" spans="1:12" x14ac:dyDescent="0.25">
      <c r="A631" s="3">
        <v>45698.57947916667</v>
      </c>
      <c r="B631" t="s">
        <v>123</v>
      </c>
      <c r="C631" s="3">
        <v>45698.583298611113</v>
      </c>
      <c r="D631" t="s">
        <v>123</v>
      </c>
      <c r="E631" s="4">
        <v>0.114</v>
      </c>
      <c r="F631" s="4">
        <v>522710.28700000001</v>
      </c>
      <c r="G631" s="4">
        <v>522710.40100000001</v>
      </c>
      <c r="H631" s="5">
        <f>259 / 86400</f>
        <v>2.9976851851851853E-3</v>
      </c>
      <c r="I631" t="s">
        <v>129</v>
      </c>
      <c r="J631" t="s">
        <v>62</v>
      </c>
      <c r="K631" s="5">
        <f>330 / 86400</f>
        <v>3.8194444444444443E-3</v>
      </c>
      <c r="L631" s="5">
        <f>2611 / 86400</f>
        <v>3.0219907407407407E-2</v>
      </c>
    </row>
    <row r="632" spans="1:12" x14ac:dyDescent="0.25">
      <c r="A632" s="3">
        <v>45698.613518518519</v>
      </c>
      <c r="B632" t="s">
        <v>123</v>
      </c>
      <c r="C632" s="3">
        <v>45698.662476851852</v>
      </c>
      <c r="D632" t="s">
        <v>23</v>
      </c>
      <c r="E632" s="4">
        <v>26.065000000000001</v>
      </c>
      <c r="F632" s="4">
        <v>522710.40100000001</v>
      </c>
      <c r="G632" s="4">
        <v>522736.46600000001</v>
      </c>
      <c r="H632" s="5">
        <f>759 / 86400</f>
        <v>8.7847222222222215E-3</v>
      </c>
      <c r="I632" t="s">
        <v>156</v>
      </c>
      <c r="J632" t="s">
        <v>147</v>
      </c>
      <c r="K632" s="5">
        <f>4229 / 86400</f>
        <v>4.8946759259259259E-2</v>
      </c>
      <c r="L632" s="5">
        <f>355 / 86400</f>
        <v>4.1087962962962962E-3</v>
      </c>
    </row>
    <row r="633" spans="1:12" x14ac:dyDescent="0.25">
      <c r="A633" s="3">
        <v>45698.666585648149</v>
      </c>
      <c r="B633" t="s">
        <v>23</v>
      </c>
      <c r="C633" s="3">
        <v>45698.671747685185</v>
      </c>
      <c r="D633" t="s">
        <v>63</v>
      </c>
      <c r="E633" s="4">
        <v>2.0019999999999998</v>
      </c>
      <c r="F633" s="4">
        <v>522736.46600000001</v>
      </c>
      <c r="G633" s="4">
        <v>522738.46799999999</v>
      </c>
      <c r="H633" s="5">
        <f>40 / 86400</f>
        <v>4.6296296296296298E-4</v>
      </c>
      <c r="I633" t="s">
        <v>229</v>
      </c>
      <c r="J633" t="s">
        <v>19</v>
      </c>
      <c r="K633" s="5">
        <f>445 / 86400</f>
        <v>5.1504629629629626E-3</v>
      </c>
      <c r="L633" s="5">
        <f>28360 / 86400</f>
        <v>0.32824074074074072</v>
      </c>
    </row>
    <row r="634" spans="1:12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 spans="1:12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 spans="1:12" s="10" customFormat="1" ht="20.100000000000001" customHeight="1" x14ac:dyDescent="0.35">
      <c r="A636" s="12" t="s">
        <v>411</v>
      </c>
      <c r="B636" s="12"/>
      <c r="C636" s="12"/>
      <c r="D636" s="12"/>
      <c r="E636" s="12"/>
      <c r="F636" s="12"/>
      <c r="G636" s="12"/>
      <c r="H636" s="12"/>
      <c r="I636" s="12"/>
      <c r="J636" s="12"/>
    </row>
    <row r="637" spans="1:12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 spans="1:12" ht="30" x14ac:dyDescent="0.25">
      <c r="A638" s="2" t="s">
        <v>5</v>
      </c>
      <c r="B638" s="2" t="s">
        <v>6</v>
      </c>
      <c r="C638" s="2" t="s">
        <v>7</v>
      </c>
      <c r="D638" s="2" t="s">
        <v>8</v>
      </c>
      <c r="E638" s="2" t="s">
        <v>9</v>
      </c>
      <c r="F638" s="2" t="s">
        <v>10</v>
      </c>
      <c r="G638" s="2" t="s">
        <v>11</v>
      </c>
      <c r="H638" s="2" t="s">
        <v>12</v>
      </c>
      <c r="I638" s="2" t="s">
        <v>13</v>
      </c>
      <c r="J638" s="2" t="s">
        <v>14</v>
      </c>
      <c r="K638" s="2" t="s">
        <v>15</v>
      </c>
      <c r="L638" s="2" t="s">
        <v>16</v>
      </c>
    </row>
    <row r="639" spans="1:12" x14ac:dyDescent="0.25">
      <c r="A639" s="3">
        <v>45698.00304398148</v>
      </c>
      <c r="B639" t="s">
        <v>64</v>
      </c>
      <c r="C639" s="3">
        <v>45698.016145833331</v>
      </c>
      <c r="D639" t="s">
        <v>341</v>
      </c>
      <c r="E639" s="4">
        <v>7.609</v>
      </c>
      <c r="F639" s="4">
        <v>411293.83100000001</v>
      </c>
      <c r="G639" s="4">
        <v>411301.44</v>
      </c>
      <c r="H639" s="5">
        <f>99 / 86400</f>
        <v>1.1458333333333333E-3</v>
      </c>
      <c r="I639" t="s">
        <v>199</v>
      </c>
      <c r="J639" t="s">
        <v>36</v>
      </c>
      <c r="K639" s="5">
        <f>1132 / 86400</f>
        <v>1.3101851851851852E-2</v>
      </c>
      <c r="L639" s="5">
        <f>34618 / 86400</f>
        <v>0.40067129629629628</v>
      </c>
    </row>
    <row r="640" spans="1:12" x14ac:dyDescent="0.25">
      <c r="A640" s="3">
        <v>45698.413773148146</v>
      </c>
      <c r="B640" t="s">
        <v>341</v>
      </c>
      <c r="C640" s="3">
        <v>45698.440324074079</v>
      </c>
      <c r="D640" t="s">
        <v>342</v>
      </c>
      <c r="E640" s="4">
        <v>9.1929999999999996</v>
      </c>
      <c r="F640" s="4">
        <v>411301.44</v>
      </c>
      <c r="G640" s="4">
        <v>411310.63299999997</v>
      </c>
      <c r="H640" s="5">
        <f>720 / 86400</f>
        <v>8.3333333333333332E-3</v>
      </c>
      <c r="I640" t="s">
        <v>199</v>
      </c>
      <c r="J640" t="s">
        <v>31</v>
      </c>
      <c r="K640" s="5">
        <f>2294 / 86400</f>
        <v>2.6550925925925926E-2</v>
      </c>
      <c r="L640" s="5">
        <f>2419 / 86400</f>
        <v>2.7997685185185184E-2</v>
      </c>
    </row>
    <row r="641" spans="1:12" x14ac:dyDescent="0.25">
      <c r="A641" s="3">
        <v>45698.468321759261</v>
      </c>
      <c r="B641" t="s">
        <v>90</v>
      </c>
      <c r="C641" s="3">
        <v>45698.471412037034</v>
      </c>
      <c r="D641" t="s">
        <v>320</v>
      </c>
      <c r="E641" s="4">
        <v>0.93600000000000005</v>
      </c>
      <c r="F641" s="4">
        <v>411310.63299999997</v>
      </c>
      <c r="G641" s="4">
        <v>411311.56900000002</v>
      </c>
      <c r="H641" s="5">
        <f>40 / 86400</f>
        <v>4.6296296296296298E-4</v>
      </c>
      <c r="I641" t="s">
        <v>185</v>
      </c>
      <c r="J641" t="s">
        <v>97</v>
      </c>
      <c r="K641" s="5">
        <f>267 / 86400</f>
        <v>3.0902777777777777E-3</v>
      </c>
      <c r="L641" s="5">
        <f>4459 / 86400</f>
        <v>5.1608796296296298E-2</v>
      </c>
    </row>
    <row r="642" spans="1:12" x14ac:dyDescent="0.25">
      <c r="A642" s="3">
        <v>45698.523020833338</v>
      </c>
      <c r="B642" t="s">
        <v>320</v>
      </c>
      <c r="C642" s="3">
        <v>45698.523055555561</v>
      </c>
      <c r="D642" t="s">
        <v>320</v>
      </c>
      <c r="E642" s="4">
        <v>0</v>
      </c>
      <c r="F642" s="4">
        <v>411311.56900000002</v>
      </c>
      <c r="G642" s="4">
        <v>411311.56900000002</v>
      </c>
      <c r="H642" s="5">
        <f>0 / 86400</f>
        <v>0</v>
      </c>
      <c r="I642" t="s">
        <v>126</v>
      </c>
      <c r="J642" t="s">
        <v>126</v>
      </c>
      <c r="K642" s="5">
        <f>2 / 86400</f>
        <v>2.3148148148148147E-5</v>
      </c>
      <c r="L642" s="5">
        <f>74 / 86400</f>
        <v>8.564814814814815E-4</v>
      </c>
    </row>
    <row r="643" spans="1:12" x14ac:dyDescent="0.25">
      <c r="A643" s="3">
        <v>45698.523912037039</v>
      </c>
      <c r="B643" t="s">
        <v>320</v>
      </c>
      <c r="C643" s="3">
        <v>45698.523935185185</v>
      </c>
      <c r="D643" t="s">
        <v>320</v>
      </c>
      <c r="E643" s="4">
        <v>0</v>
      </c>
      <c r="F643" s="4">
        <v>411311.56900000002</v>
      </c>
      <c r="G643" s="4">
        <v>411311.56900000002</v>
      </c>
      <c r="H643" s="5">
        <f>0 / 86400</f>
        <v>0</v>
      </c>
      <c r="I643" t="s">
        <v>126</v>
      </c>
      <c r="J643" t="s">
        <v>126</v>
      </c>
      <c r="K643" s="5">
        <f>2 / 86400</f>
        <v>2.3148148148148147E-5</v>
      </c>
      <c r="L643" s="5">
        <f>4 / 86400</f>
        <v>4.6296296296296294E-5</v>
      </c>
    </row>
    <row r="644" spans="1:12" x14ac:dyDescent="0.25">
      <c r="A644" s="3">
        <v>45698.523981481485</v>
      </c>
      <c r="B644" t="s">
        <v>320</v>
      </c>
      <c r="C644" s="3">
        <v>45698.528310185182</v>
      </c>
      <c r="D644" t="s">
        <v>90</v>
      </c>
      <c r="E644" s="4">
        <v>0.89900000000000002</v>
      </c>
      <c r="F644" s="4">
        <v>411311.56900000002</v>
      </c>
      <c r="G644" s="4">
        <v>411312.46799999999</v>
      </c>
      <c r="H644" s="5">
        <f>173 / 86400</f>
        <v>2.0023148148148148E-3</v>
      </c>
      <c r="I644" t="s">
        <v>143</v>
      </c>
      <c r="J644" t="s">
        <v>138</v>
      </c>
      <c r="K644" s="5">
        <f>374 / 86400</f>
        <v>4.3287037037037035E-3</v>
      </c>
      <c r="L644" s="5">
        <f>663 / 86400</f>
        <v>7.6736111111111111E-3</v>
      </c>
    </row>
    <row r="645" spans="1:12" x14ac:dyDescent="0.25">
      <c r="A645" s="3">
        <v>45698.535983796297</v>
      </c>
      <c r="B645" t="s">
        <v>90</v>
      </c>
      <c r="C645" s="3">
        <v>45698.539212962962</v>
      </c>
      <c r="D645" t="s">
        <v>64</v>
      </c>
      <c r="E645" s="4">
        <v>0.69899999999999995</v>
      </c>
      <c r="F645" s="4">
        <v>411312.46799999999</v>
      </c>
      <c r="G645" s="4">
        <v>411313.16700000002</v>
      </c>
      <c r="H645" s="5">
        <f>111 / 86400</f>
        <v>1.2847222222222223E-3</v>
      </c>
      <c r="I645" t="s">
        <v>36</v>
      </c>
      <c r="J645" t="s">
        <v>138</v>
      </c>
      <c r="K645" s="5">
        <f>279 / 86400</f>
        <v>3.2291666666666666E-3</v>
      </c>
      <c r="L645" s="5">
        <f>1947 / 86400</f>
        <v>2.2534722222222223E-2</v>
      </c>
    </row>
    <row r="646" spans="1:12" x14ac:dyDescent="0.25">
      <c r="A646" s="3">
        <v>45698.561747685184</v>
      </c>
      <c r="B646" t="s">
        <v>323</v>
      </c>
      <c r="C646" s="3">
        <v>45698.563391203701</v>
      </c>
      <c r="D646" t="s">
        <v>325</v>
      </c>
      <c r="E646" s="4">
        <v>1.6E-2</v>
      </c>
      <c r="F646" s="4">
        <v>411313.16700000002</v>
      </c>
      <c r="G646" s="4">
        <v>411313.18300000002</v>
      </c>
      <c r="H646" s="5">
        <f>119 / 86400</f>
        <v>1.3773148148148147E-3</v>
      </c>
      <c r="I646" t="s">
        <v>62</v>
      </c>
      <c r="J646" t="s">
        <v>126</v>
      </c>
      <c r="K646" s="5">
        <f>142 / 86400</f>
        <v>1.6435185185185185E-3</v>
      </c>
      <c r="L646" s="5">
        <f>2028 / 86400</f>
        <v>2.3472222222222221E-2</v>
      </c>
    </row>
    <row r="647" spans="1:12" x14ac:dyDescent="0.25">
      <c r="A647" s="3">
        <v>45698.586863425924</v>
      </c>
      <c r="B647" t="s">
        <v>325</v>
      </c>
      <c r="C647" s="3">
        <v>45698.868935185186</v>
      </c>
      <c r="D647" t="s">
        <v>164</v>
      </c>
      <c r="E647" s="4">
        <v>99.394999999999996</v>
      </c>
      <c r="F647" s="4">
        <v>411313.18300000002</v>
      </c>
      <c r="G647" s="4">
        <v>411412.57799999998</v>
      </c>
      <c r="H647" s="5">
        <f>8256 / 86400</f>
        <v>9.555555555555556E-2</v>
      </c>
      <c r="I647" t="s">
        <v>66</v>
      </c>
      <c r="J647" t="s">
        <v>57</v>
      </c>
      <c r="K647" s="5">
        <f>24371 / 86400</f>
        <v>0.28207175925925926</v>
      </c>
      <c r="L647" s="5">
        <f>1005 / 86400</f>
        <v>1.1631944444444445E-2</v>
      </c>
    </row>
    <row r="648" spans="1:12" x14ac:dyDescent="0.25">
      <c r="A648" s="3">
        <v>45698.880567129629</v>
      </c>
      <c r="B648" t="s">
        <v>164</v>
      </c>
      <c r="C648" s="3">
        <v>45698.88244212963</v>
      </c>
      <c r="D648" t="s">
        <v>123</v>
      </c>
      <c r="E648" s="4">
        <v>0.55100000000000005</v>
      </c>
      <c r="F648" s="4">
        <v>411412.57799999998</v>
      </c>
      <c r="G648" s="4">
        <v>411413.12900000002</v>
      </c>
      <c r="H648" s="5">
        <f>39 / 86400</f>
        <v>4.5138888888888887E-4</v>
      </c>
      <c r="I648" t="s">
        <v>211</v>
      </c>
      <c r="J648" t="s">
        <v>102</v>
      </c>
      <c r="K648" s="5">
        <f>162 / 86400</f>
        <v>1.8749999999999999E-3</v>
      </c>
      <c r="L648" s="5">
        <f>348 / 86400</f>
        <v>4.0277777777777777E-3</v>
      </c>
    </row>
    <row r="649" spans="1:12" x14ac:dyDescent="0.25">
      <c r="A649" s="3">
        <v>45698.886469907404</v>
      </c>
      <c r="B649" t="s">
        <v>123</v>
      </c>
      <c r="C649" s="3">
        <v>45698.99998842593</v>
      </c>
      <c r="D649" t="s">
        <v>65</v>
      </c>
      <c r="E649" s="4">
        <v>51.841999999999999</v>
      </c>
      <c r="F649" s="4">
        <v>411413.12900000002</v>
      </c>
      <c r="G649" s="4">
        <v>411464.97100000002</v>
      </c>
      <c r="H649" s="5">
        <f>2399 / 86400</f>
        <v>2.7766203703703703E-2</v>
      </c>
      <c r="I649" t="s">
        <v>205</v>
      </c>
      <c r="J649" t="s">
        <v>33</v>
      </c>
      <c r="K649" s="5">
        <f>9808 / 86400</f>
        <v>0.11351851851851852</v>
      </c>
      <c r="L649" s="5">
        <f>0 / 86400</f>
        <v>0</v>
      </c>
    </row>
    <row r="650" spans="1:12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 spans="1:12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2" s="10" customFormat="1" ht="20.100000000000001" customHeight="1" x14ac:dyDescent="0.35">
      <c r="A652" s="12" t="s">
        <v>412</v>
      </c>
      <c r="B652" s="12"/>
      <c r="C652" s="12"/>
      <c r="D652" s="12"/>
      <c r="E652" s="12"/>
      <c r="F652" s="12"/>
      <c r="G652" s="12"/>
      <c r="H652" s="12"/>
      <c r="I652" s="12"/>
      <c r="J652" s="12"/>
    </row>
    <row r="653" spans="1:12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 spans="1:12" ht="30" x14ac:dyDescent="0.25">
      <c r="A654" s="2" t="s">
        <v>5</v>
      </c>
      <c r="B654" s="2" t="s">
        <v>6</v>
      </c>
      <c r="C654" s="2" t="s">
        <v>7</v>
      </c>
      <c r="D654" s="2" t="s">
        <v>8</v>
      </c>
      <c r="E654" s="2" t="s">
        <v>9</v>
      </c>
      <c r="F654" s="2" t="s">
        <v>10</v>
      </c>
      <c r="G654" s="2" t="s">
        <v>11</v>
      </c>
      <c r="H654" s="2" t="s">
        <v>12</v>
      </c>
      <c r="I654" s="2" t="s">
        <v>13</v>
      </c>
      <c r="J654" s="2" t="s">
        <v>14</v>
      </c>
      <c r="K654" s="2" t="s">
        <v>15</v>
      </c>
      <c r="L654" s="2" t="s">
        <v>16</v>
      </c>
    </row>
    <row r="655" spans="1:12" x14ac:dyDescent="0.25">
      <c r="A655" s="3">
        <v>45698.247291666667</v>
      </c>
      <c r="B655" t="s">
        <v>67</v>
      </c>
      <c r="C655" s="3">
        <v>45698.36100694444</v>
      </c>
      <c r="D655" t="s">
        <v>343</v>
      </c>
      <c r="E655" s="4">
        <v>49.85</v>
      </c>
      <c r="F655" s="4">
        <v>402179.74300000002</v>
      </c>
      <c r="G655" s="4">
        <v>402229.59299999999</v>
      </c>
      <c r="H655" s="5">
        <f>3480 / 86400</f>
        <v>4.027777777777778E-2</v>
      </c>
      <c r="I655" t="s">
        <v>38</v>
      </c>
      <c r="J655" t="s">
        <v>25</v>
      </c>
      <c r="K655" s="5">
        <f>9824 / 86400</f>
        <v>0.11370370370370371</v>
      </c>
      <c r="L655" s="5">
        <f>26148 / 86400</f>
        <v>0.3026388888888889</v>
      </c>
    </row>
    <row r="656" spans="1:12" x14ac:dyDescent="0.25">
      <c r="A656" s="3">
        <v>45698.416354166664</v>
      </c>
      <c r="B656" t="s">
        <v>343</v>
      </c>
      <c r="C656" s="3">
        <v>45698.548958333333</v>
      </c>
      <c r="D656" t="s">
        <v>123</v>
      </c>
      <c r="E656" s="4">
        <v>50.923999999999999</v>
      </c>
      <c r="F656" s="4">
        <v>402229.59299999999</v>
      </c>
      <c r="G656" s="4">
        <v>402280.51699999999</v>
      </c>
      <c r="H656" s="5">
        <f>3580 / 86400</f>
        <v>4.1435185185185186E-2</v>
      </c>
      <c r="I656" t="s">
        <v>56</v>
      </c>
      <c r="J656" t="s">
        <v>19</v>
      </c>
      <c r="K656" s="5">
        <f>11456 / 86400</f>
        <v>0.1325925925925926</v>
      </c>
      <c r="L656" s="5">
        <f>429 / 86400</f>
        <v>4.9652777777777777E-3</v>
      </c>
    </row>
    <row r="657" spans="1:12" x14ac:dyDescent="0.25">
      <c r="A657" s="3">
        <v>45698.553923611107</v>
      </c>
      <c r="B657" t="s">
        <v>123</v>
      </c>
      <c r="C657" s="3">
        <v>45698.557662037041</v>
      </c>
      <c r="D657" t="s">
        <v>44</v>
      </c>
      <c r="E657" s="4">
        <v>0.92800000000000005</v>
      </c>
      <c r="F657" s="4">
        <v>402280.51699999999</v>
      </c>
      <c r="G657" s="4">
        <v>402281.44500000001</v>
      </c>
      <c r="H657" s="5">
        <f>79 / 86400</f>
        <v>9.1435185185185185E-4</v>
      </c>
      <c r="I657" t="s">
        <v>140</v>
      </c>
      <c r="J657" t="s">
        <v>129</v>
      </c>
      <c r="K657" s="5">
        <f>322 / 86400</f>
        <v>3.7268518518518519E-3</v>
      </c>
      <c r="L657" s="5">
        <f>1935 / 86400</f>
        <v>2.2395833333333334E-2</v>
      </c>
    </row>
    <row r="658" spans="1:12" x14ac:dyDescent="0.25">
      <c r="A658" s="3">
        <v>45698.580057870371</v>
      </c>
      <c r="B658" t="s">
        <v>44</v>
      </c>
      <c r="C658" s="3">
        <v>45698.587013888886</v>
      </c>
      <c r="D658" t="s">
        <v>137</v>
      </c>
      <c r="E658" s="4">
        <v>1.2190000000000001</v>
      </c>
      <c r="F658" s="4">
        <v>402281.44500000001</v>
      </c>
      <c r="G658" s="4">
        <v>402282.66399999999</v>
      </c>
      <c r="H658" s="5">
        <f>199 / 86400</f>
        <v>2.3032407407407407E-3</v>
      </c>
      <c r="I658" t="s">
        <v>171</v>
      </c>
      <c r="J658" t="s">
        <v>89</v>
      </c>
      <c r="K658" s="5">
        <f>600 / 86400</f>
        <v>6.9444444444444441E-3</v>
      </c>
      <c r="L658" s="5">
        <f>1601 / 86400</f>
        <v>1.8530092592592591E-2</v>
      </c>
    </row>
    <row r="659" spans="1:12" x14ac:dyDescent="0.25">
      <c r="A659" s="3">
        <v>45698.605543981481</v>
      </c>
      <c r="B659" t="s">
        <v>137</v>
      </c>
      <c r="C659" s="3">
        <v>45698.708495370374</v>
      </c>
      <c r="D659" t="s">
        <v>344</v>
      </c>
      <c r="E659" s="4">
        <v>47.209000000000003</v>
      </c>
      <c r="F659" s="4">
        <v>402282.66399999999</v>
      </c>
      <c r="G659" s="4">
        <v>402329.87300000002</v>
      </c>
      <c r="H659" s="5">
        <f>2759 / 86400</f>
        <v>3.1932870370370368E-2</v>
      </c>
      <c r="I659" t="s">
        <v>18</v>
      </c>
      <c r="J659" t="s">
        <v>33</v>
      </c>
      <c r="K659" s="5">
        <f>8894 / 86400</f>
        <v>0.10293981481481482</v>
      </c>
      <c r="L659" s="5">
        <f>416 / 86400</f>
        <v>4.8148148148148152E-3</v>
      </c>
    </row>
    <row r="660" spans="1:12" x14ac:dyDescent="0.25">
      <c r="A660" s="3">
        <v>45698.713310185187</v>
      </c>
      <c r="B660" t="s">
        <v>344</v>
      </c>
      <c r="C660" s="3">
        <v>45698.83666666667</v>
      </c>
      <c r="D660" t="s">
        <v>127</v>
      </c>
      <c r="E660" s="4">
        <v>47.578000000000003</v>
      </c>
      <c r="F660" s="4">
        <v>402329.87300000002</v>
      </c>
      <c r="G660" s="4">
        <v>402377.451</v>
      </c>
      <c r="H660" s="5">
        <f>3439 / 86400</f>
        <v>3.9803240740740743E-2</v>
      </c>
      <c r="I660" t="s">
        <v>173</v>
      </c>
      <c r="J660" t="s">
        <v>19</v>
      </c>
      <c r="K660" s="5">
        <f>10657 / 86400</f>
        <v>0.1233449074074074</v>
      </c>
      <c r="L660" s="5">
        <f>434 / 86400</f>
        <v>5.0231481481481481E-3</v>
      </c>
    </row>
    <row r="661" spans="1:12" x14ac:dyDescent="0.25">
      <c r="A661" s="3">
        <v>45698.841689814813</v>
      </c>
      <c r="B661" t="s">
        <v>127</v>
      </c>
      <c r="C661" s="3">
        <v>45698.847893518519</v>
      </c>
      <c r="D661" t="s">
        <v>139</v>
      </c>
      <c r="E661" s="4">
        <v>0.48499999999999999</v>
      </c>
      <c r="F661" s="4">
        <v>402377.451</v>
      </c>
      <c r="G661" s="4">
        <v>402377.93599999999</v>
      </c>
      <c r="H661" s="5">
        <f>340 / 86400</f>
        <v>3.9351851851851848E-3</v>
      </c>
      <c r="I661" t="s">
        <v>185</v>
      </c>
      <c r="J661" t="s">
        <v>169</v>
      </c>
      <c r="K661" s="5">
        <f>536 / 86400</f>
        <v>6.2037037037037035E-3</v>
      </c>
      <c r="L661" s="5">
        <f>929 / 86400</f>
        <v>1.0752314814814815E-2</v>
      </c>
    </row>
    <row r="662" spans="1:12" x14ac:dyDescent="0.25">
      <c r="A662" s="3">
        <v>45698.85864583333</v>
      </c>
      <c r="B662" t="s">
        <v>139</v>
      </c>
      <c r="C662" s="3">
        <v>45698.861203703702</v>
      </c>
      <c r="D662" t="s">
        <v>127</v>
      </c>
      <c r="E662" s="4">
        <v>0.53200000000000003</v>
      </c>
      <c r="F662" s="4">
        <v>402377.93599999999</v>
      </c>
      <c r="G662" s="4">
        <v>402378.46799999999</v>
      </c>
      <c r="H662" s="5">
        <f>99 / 86400</f>
        <v>1.1458333333333333E-3</v>
      </c>
      <c r="I662" t="s">
        <v>185</v>
      </c>
      <c r="J662" t="s">
        <v>138</v>
      </c>
      <c r="K662" s="5">
        <f>221 / 86400</f>
        <v>2.5578703703703705E-3</v>
      </c>
      <c r="L662" s="5">
        <f>364 / 86400</f>
        <v>4.2129629629629626E-3</v>
      </c>
    </row>
    <row r="663" spans="1:12" x14ac:dyDescent="0.25">
      <c r="A663" s="3">
        <v>45698.865416666667</v>
      </c>
      <c r="B663" t="s">
        <v>127</v>
      </c>
      <c r="C663" s="3">
        <v>45698.869374999995</v>
      </c>
      <c r="D663" t="s">
        <v>67</v>
      </c>
      <c r="E663" s="4">
        <v>0.85299999999999998</v>
      </c>
      <c r="F663" s="4">
        <v>402378.46799999999</v>
      </c>
      <c r="G663" s="4">
        <v>402379.321</v>
      </c>
      <c r="H663" s="5">
        <f>79 / 86400</f>
        <v>9.1435185185185185E-4</v>
      </c>
      <c r="I663" t="s">
        <v>47</v>
      </c>
      <c r="J663" t="s">
        <v>138</v>
      </c>
      <c r="K663" s="5">
        <f>342 / 86400</f>
        <v>3.9583333333333337E-3</v>
      </c>
      <c r="L663" s="5">
        <f>11285 / 86400</f>
        <v>0.13061342592592592</v>
      </c>
    </row>
    <row r="664" spans="1:12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 spans="1:12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 spans="1:12" s="10" customFormat="1" ht="20.100000000000001" customHeight="1" x14ac:dyDescent="0.35">
      <c r="A666" s="12" t="s">
        <v>413</v>
      </c>
      <c r="B666" s="12"/>
      <c r="C666" s="12"/>
      <c r="D666" s="12"/>
      <c r="E666" s="12"/>
      <c r="F666" s="12"/>
      <c r="G666" s="12"/>
      <c r="H666" s="12"/>
      <c r="I666" s="12"/>
      <c r="J666" s="12"/>
    </row>
    <row r="667" spans="1:12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 spans="1:12" ht="30" x14ac:dyDescent="0.25">
      <c r="A668" s="2" t="s">
        <v>5</v>
      </c>
      <c r="B668" s="2" t="s">
        <v>6</v>
      </c>
      <c r="C668" s="2" t="s">
        <v>7</v>
      </c>
      <c r="D668" s="2" t="s">
        <v>8</v>
      </c>
      <c r="E668" s="2" t="s">
        <v>9</v>
      </c>
      <c r="F668" s="2" t="s">
        <v>10</v>
      </c>
      <c r="G668" s="2" t="s">
        <v>11</v>
      </c>
      <c r="H668" s="2" t="s">
        <v>12</v>
      </c>
      <c r="I668" s="2" t="s">
        <v>13</v>
      </c>
      <c r="J668" s="2" t="s">
        <v>14</v>
      </c>
      <c r="K668" s="2" t="s">
        <v>15</v>
      </c>
      <c r="L668" s="2" t="s">
        <v>16</v>
      </c>
    </row>
    <row r="669" spans="1:12" x14ac:dyDescent="0.25">
      <c r="A669" s="3">
        <v>45698.432291666672</v>
      </c>
      <c r="B669" t="s">
        <v>68</v>
      </c>
      <c r="C669" s="3">
        <v>45698.470081018517</v>
      </c>
      <c r="D669" t="s">
        <v>305</v>
      </c>
      <c r="E669" s="4">
        <v>24.158000000000001</v>
      </c>
      <c r="F669" s="4">
        <v>407381.217</v>
      </c>
      <c r="G669" s="4">
        <v>407405.375</v>
      </c>
      <c r="H669" s="5">
        <f>700 / 86400</f>
        <v>8.1018518518518514E-3</v>
      </c>
      <c r="I669" t="s">
        <v>50</v>
      </c>
      <c r="J669" t="s">
        <v>185</v>
      </c>
      <c r="K669" s="5">
        <f>3265 / 86400</f>
        <v>3.7789351851851852E-2</v>
      </c>
      <c r="L669" s="5">
        <f>41581 / 86400</f>
        <v>0.48126157407407405</v>
      </c>
    </row>
    <row r="670" spans="1:12" x14ac:dyDescent="0.25">
      <c r="A670" s="3">
        <v>45698.519050925926</v>
      </c>
      <c r="B670" t="s">
        <v>305</v>
      </c>
      <c r="C670" s="3">
        <v>45698.528761574074</v>
      </c>
      <c r="D670" t="s">
        <v>69</v>
      </c>
      <c r="E670" s="4">
        <v>1.8859999999999999</v>
      </c>
      <c r="F670" s="4">
        <v>407405.375</v>
      </c>
      <c r="G670" s="4">
        <v>407407.261</v>
      </c>
      <c r="H670" s="5">
        <f>499 / 86400</f>
        <v>5.7754629629629631E-3</v>
      </c>
      <c r="I670" t="s">
        <v>203</v>
      </c>
      <c r="J670" t="s">
        <v>168</v>
      </c>
      <c r="K670" s="5">
        <f>838 / 86400</f>
        <v>9.6990740740740735E-3</v>
      </c>
      <c r="L670" s="5">
        <f>40714 / 86400</f>
        <v>0.47122685185185187</v>
      </c>
    </row>
    <row r="671" spans="1:12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2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2" s="10" customFormat="1" ht="20.100000000000001" customHeight="1" x14ac:dyDescent="0.35">
      <c r="A673" s="12" t="s">
        <v>414</v>
      </c>
      <c r="B673" s="12"/>
      <c r="C673" s="12"/>
      <c r="D673" s="12"/>
      <c r="E673" s="12"/>
      <c r="F673" s="12"/>
      <c r="G673" s="12"/>
      <c r="H673" s="12"/>
      <c r="I673" s="12"/>
      <c r="J673" s="12"/>
    </row>
    <row r="674" spans="1:12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 spans="1:12" ht="30" x14ac:dyDescent="0.25">
      <c r="A675" s="2" t="s">
        <v>5</v>
      </c>
      <c r="B675" s="2" t="s">
        <v>6</v>
      </c>
      <c r="C675" s="2" t="s">
        <v>7</v>
      </c>
      <c r="D675" s="2" t="s">
        <v>8</v>
      </c>
      <c r="E675" s="2" t="s">
        <v>9</v>
      </c>
      <c r="F675" s="2" t="s">
        <v>10</v>
      </c>
      <c r="G675" s="2" t="s">
        <v>11</v>
      </c>
      <c r="H675" s="2" t="s">
        <v>12</v>
      </c>
      <c r="I675" s="2" t="s">
        <v>13</v>
      </c>
      <c r="J675" s="2" t="s">
        <v>14</v>
      </c>
      <c r="K675" s="2" t="s">
        <v>15</v>
      </c>
      <c r="L675" s="2" t="s">
        <v>16</v>
      </c>
    </row>
    <row r="676" spans="1:12" x14ac:dyDescent="0.25">
      <c r="A676" s="3">
        <v>45698.288356481484</v>
      </c>
      <c r="B676" t="s">
        <v>70</v>
      </c>
      <c r="C676" s="3">
        <v>45698.383159722223</v>
      </c>
      <c r="D676" t="s">
        <v>123</v>
      </c>
      <c r="E676" s="4">
        <v>43.429000000000002</v>
      </c>
      <c r="F676" s="4">
        <v>347760.74</v>
      </c>
      <c r="G676" s="4">
        <v>347804.16899999999</v>
      </c>
      <c r="H676" s="5">
        <f>2280 / 86400</f>
        <v>2.6388888888888889E-2</v>
      </c>
      <c r="I676" t="s">
        <v>71</v>
      </c>
      <c r="J676" t="s">
        <v>33</v>
      </c>
      <c r="K676" s="5">
        <f>8191 / 86400</f>
        <v>9.4803240740740743E-2</v>
      </c>
      <c r="L676" s="5">
        <f>25080 / 86400</f>
        <v>0.2902777777777778</v>
      </c>
    </row>
    <row r="677" spans="1:12" x14ac:dyDescent="0.25">
      <c r="A677" s="3">
        <v>45698.385081018518</v>
      </c>
      <c r="B677" t="s">
        <v>123</v>
      </c>
      <c r="C677" s="3">
        <v>45698.389976851853</v>
      </c>
      <c r="D677" t="s">
        <v>137</v>
      </c>
      <c r="E677" s="4">
        <v>1.3140000000000001</v>
      </c>
      <c r="F677" s="4">
        <v>347804.16899999999</v>
      </c>
      <c r="G677" s="4">
        <v>347805.48300000001</v>
      </c>
      <c r="H677" s="5">
        <f>40 / 86400</f>
        <v>4.6296296296296298E-4</v>
      </c>
      <c r="I677" t="s">
        <v>36</v>
      </c>
      <c r="J677" t="s">
        <v>59</v>
      </c>
      <c r="K677" s="5">
        <f>423 / 86400</f>
        <v>4.8958333333333336E-3</v>
      </c>
      <c r="L677" s="5">
        <f>6491 / 86400</f>
        <v>7.5127314814814813E-2</v>
      </c>
    </row>
    <row r="678" spans="1:12" x14ac:dyDescent="0.25">
      <c r="A678" s="3">
        <v>45698.465104166666</v>
      </c>
      <c r="B678" t="s">
        <v>137</v>
      </c>
      <c r="C678" s="3">
        <v>45698.686539351853</v>
      </c>
      <c r="D678" t="s">
        <v>345</v>
      </c>
      <c r="E678" s="4">
        <v>75.103999999999999</v>
      </c>
      <c r="F678" s="4">
        <v>347805.48300000001</v>
      </c>
      <c r="G678" s="4">
        <v>347880.587</v>
      </c>
      <c r="H678" s="5">
        <f>7300 / 86400</f>
        <v>8.4490740740740741E-2</v>
      </c>
      <c r="I678" t="s">
        <v>114</v>
      </c>
      <c r="J678" t="s">
        <v>31</v>
      </c>
      <c r="K678" s="5">
        <f>19131 / 86400</f>
        <v>0.22142361111111111</v>
      </c>
      <c r="L678" s="5">
        <f>160 / 86400</f>
        <v>1.8518518518518519E-3</v>
      </c>
    </row>
    <row r="679" spans="1:12" x14ac:dyDescent="0.25">
      <c r="A679" s="3">
        <v>45698.688391203701</v>
      </c>
      <c r="B679" t="s">
        <v>345</v>
      </c>
      <c r="C679" s="3">
        <v>45698.690578703703</v>
      </c>
      <c r="D679" t="s">
        <v>70</v>
      </c>
      <c r="E679" s="4">
        <v>0.222</v>
      </c>
      <c r="F679" s="4">
        <v>347880.587</v>
      </c>
      <c r="G679" s="4">
        <v>347880.80900000001</v>
      </c>
      <c r="H679" s="5">
        <f>80 / 86400</f>
        <v>9.2592592592592596E-4</v>
      </c>
      <c r="I679" t="s">
        <v>31</v>
      </c>
      <c r="J679" t="s">
        <v>43</v>
      </c>
      <c r="K679" s="5">
        <f>188 / 86400</f>
        <v>2.1759259259259258E-3</v>
      </c>
      <c r="L679" s="5">
        <f>94 / 86400</f>
        <v>1.0879629629629629E-3</v>
      </c>
    </row>
    <row r="680" spans="1:12" x14ac:dyDescent="0.25">
      <c r="A680" s="3">
        <v>45698.691666666666</v>
      </c>
      <c r="B680" t="s">
        <v>70</v>
      </c>
      <c r="C680" s="3">
        <v>45698.692210648151</v>
      </c>
      <c r="D680" t="s">
        <v>70</v>
      </c>
      <c r="E680" s="4">
        <v>2.1999999999999999E-2</v>
      </c>
      <c r="F680" s="4">
        <v>347880.80900000001</v>
      </c>
      <c r="G680" s="4">
        <v>347880.83100000001</v>
      </c>
      <c r="H680" s="5">
        <f>20 / 86400</f>
        <v>2.3148148148148149E-4</v>
      </c>
      <c r="I680" t="s">
        <v>132</v>
      </c>
      <c r="J680" t="s">
        <v>132</v>
      </c>
      <c r="K680" s="5">
        <f>47 / 86400</f>
        <v>5.4398148148148144E-4</v>
      </c>
      <c r="L680" s="5">
        <f>26592 / 86400</f>
        <v>0.30777777777777776</v>
      </c>
    </row>
    <row r="681" spans="1:12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 spans="1:12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 spans="1:12" s="10" customFormat="1" ht="20.100000000000001" customHeight="1" x14ac:dyDescent="0.35">
      <c r="A683" s="12" t="s">
        <v>415</v>
      </c>
      <c r="B683" s="12"/>
      <c r="C683" s="12"/>
      <c r="D683" s="12"/>
      <c r="E683" s="12"/>
      <c r="F683" s="12"/>
      <c r="G683" s="12"/>
      <c r="H683" s="12"/>
      <c r="I683" s="12"/>
      <c r="J683" s="12"/>
    </row>
    <row r="684" spans="1:12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 spans="1:12" ht="30" x14ac:dyDescent="0.25">
      <c r="A685" s="2" t="s">
        <v>5</v>
      </c>
      <c r="B685" s="2" t="s">
        <v>6</v>
      </c>
      <c r="C685" s="2" t="s">
        <v>7</v>
      </c>
      <c r="D685" s="2" t="s">
        <v>8</v>
      </c>
      <c r="E685" s="2" t="s">
        <v>9</v>
      </c>
      <c r="F685" s="2" t="s">
        <v>10</v>
      </c>
      <c r="G685" s="2" t="s">
        <v>11</v>
      </c>
      <c r="H685" s="2" t="s">
        <v>12</v>
      </c>
      <c r="I685" s="2" t="s">
        <v>13</v>
      </c>
      <c r="J685" s="2" t="s">
        <v>14</v>
      </c>
      <c r="K685" s="2" t="s">
        <v>15</v>
      </c>
      <c r="L685" s="2" t="s">
        <v>16</v>
      </c>
    </row>
    <row r="686" spans="1:12" x14ac:dyDescent="0.25">
      <c r="A686" s="3">
        <v>45698.164409722223</v>
      </c>
      <c r="B686" t="s">
        <v>72</v>
      </c>
      <c r="C686" s="3">
        <v>45698.165775462963</v>
      </c>
      <c r="D686" t="s">
        <v>72</v>
      </c>
      <c r="E686" s="4">
        <v>0</v>
      </c>
      <c r="F686" s="4">
        <v>40315.976999999999</v>
      </c>
      <c r="G686" s="4">
        <v>40315.976999999999</v>
      </c>
      <c r="H686" s="5">
        <f>99 / 86400</f>
        <v>1.1458333333333333E-3</v>
      </c>
      <c r="I686" t="s">
        <v>126</v>
      </c>
      <c r="J686" t="s">
        <v>126</v>
      </c>
      <c r="K686" s="5">
        <f>118 / 86400</f>
        <v>1.3657407407407407E-3</v>
      </c>
      <c r="L686" s="5">
        <f>15197 / 86400</f>
        <v>0.1758912037037037</v>
      </c>
    </row>
    <row r="687" spans="1:12" x14ac:dyDescent="0.25">
      <c r="A687" s="3">
        <v>45698.177256944444</v>
      </c>
      <c r="B687" t="s">
        <v>72</v>
      </c>
      <c r="C687" s="3">
        <v>45698.376238425924</v>
      </c>
      <c r="D687" t="s">
        <v>137</v>
      </c>
      <c r="E687" s="4">
        <v>89.641000000000005</v>
      </c>
      <c r="F687" s="4">
        <v>40315.976999999999</v>
      </c>
      <c r="G687" s="4">
        <v>40405.618000000002</v>
      </c>
      <c r="H687" s="5">
        <f>5518 / 86400</f>
        <v>6.3865740740740737E-2</v>
      </c>
      <c r="I687" t="s">
        <v>35</v>
      </c>
      <c r="J687" t="s">
        <v>33</v>
      </c>
      <c r="K687" s="5">
        <f>17192 / 86400</f>
        <v>0.19898148148148148</v>
      </c>
      <c r="L687" s="5">
        <f>2442 / 86400</f>
        <v>2.826388888888889E-2</v>
      </c>
    </row>
    <row r="688" spans="1:12" x14ac:dyDescent="0.25">
      <c r="A688" s="3">
        <v>45698.404502314814</v>
      </c>
      <c r="B688" t="s">
        <v>137</v>
      </c>
      <c r="C688" s="3">
        <v>45698.410405092596</v>
      </c>
      <c r="D688" t="s">
        <v>127</v>
      </c>
      <c r="E688" s="4">
        <v>0.97099999999999997</v>
      </c>
      <c r="F688" s="4">
        <v>40405.618000000002</v>
      </c>
      <c r="G688" s="4">
        <v>40406.589</v>
      </c>
      <c r="H688" s="5">
        <f>280 / 86400</f>
        <v>3.2407407407407406E-3</v>
      </c>
      <c r="I688" t="s">
        <v>185</v>
      </c>
      <c r="J688" t="s">
        <v>89</v>
      </c>
      <c r="K688" s="5">
        <f>509 / 86400</f>
        <v>5.8912037037037041E-3</v>
      </c>
      <c r="L688" s="5">
        <f>159 / 86400</f>
        <v>1.8402777777777777E-3</v>
      </c>
    </row>
    <row r="689" spans="1:12" x14ac:dyDescent="0.25">
      <c r="A689" s="3">
        <v>45698.412245370375</v>
      </c>
      <c r="B689" t="s">
        <v>127</v>
      </c>
      <c r="C689" s="3">
        <v>45698.645590277782</v>
      </c>
      <c r="D689" t="s">
        <v>127</v>
      </c>
      <c r="E689" s="4">
        <v>100.14100000000001</v>
      </c>
      <c r="F689" s="4">
        <v>40406.589</v>
      </c>
      <c r="G689" s="4">
        <v>40506.730000000003</v>
      </c>
      <c r="H689" s="5">
        <f>5743 / 86400</f>
        <v>6.6469907407407408E-2</v>
      </c>
      <c r="I689" t="s">
        <v>50</v>
      </c>
      <c r="J689" t="s">
        <v>25</v>
      </c>
      <c r="K689" s="5">
        <f>20160 / 86400</f>
        <v>0.23333333333333334</v>
      </c>
      <c r="L689" s="5">
        <f>424 / 86400</f>
        <v>4.9074074074074072E-3</v>
      </c>
    </row>
    <row r="690" spans="1:12" x14ac:dyDescent="0.25">
      <c r="A690" s="3">
        <v>45698.650497685187</v>
      </c>
      <c r="B690" t="s">
        <v>123</v>
      </c>
      <c r="C690" s="3">
        <v>45698.689687499995</v>
      </c>
      <c r="D690" t="s">
        <v>72</v>
      </c>
      <c r="E690" s="4">
        <v>15.76</v>
      </c>
      <c r="F690" s="4">
        <v>40506.730000000003</v>
      </c>
      <c r="G690" s="4">
        <v>40522.49</v>
      </c>
      <c r="H690" s="5">
        <f>1100 / 86400</f>
        <v>1.2731481481481481E-2</v>
      </c>
      <c r="I690" t="s">
        <v>56</v>
      </c>
      <c r="J690" t="s">
        <v>28</v>
      </c>
      <c r="K690" s="5">
        <f>3386 / 86400</f>
        <v>3.9189814814814816E-2</v>
      </c>
      <c r="L690" s="5">
        <f>26810 / 86400</f>
        <v>0.31030092592592595</v>
      </c>
    </row>
    <row r="691" spans="1:12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 spans="1:12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 spans="1:12" s="10" customFormat="1" ht="20.100000000000001" customHeight="1" x14ac:dyDescent="0.35">
      <c r="A693" s="12" t="s">
        <v>416</v>
      </c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2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 spans="1:12" ht="30" x14ac:dyDescent="0.25">
      <c r="A695" s="2" t="s">
        <v>5</v>
      </c>
      <c r="B695" s="2" t="s">
        <v>6</v>
      </c>
      <c r="C695" s="2" t="s">
        <v>7</v>
      </c>
      <c r="D695" s="2" t="s">
        <v>8</v>
      </c>
      <c r="E695" s="2" t="s">
        <v>9</v>
      </c>
      <c r="F695" s="2" t="s">
        <v>10</v>
      </c>
      <c r="G695" s="2" t="s">
        <v>11</v>
      </c>
      <c r="H695" s="2" t="s">
        <v>12</v>
      </c>
      <c r="I695" s="2" t="s">
        <v>13</v>
      </c>
      <c r="J695" s="2" t="s">
        <v>14</v>
      </c>
      <c r="K695" s="2" t="s">
        <v>15</v>
      </c>
      <c r="L695" s="2" t="s">
        <v>16</v>
      </c>
    </row>
    <row r="696" spans="1:12" x14ac:dyDescent="0.25">
      <c r="A696" s="3">
        <v>45698.175254629634</v>
      </c>
      <c r="B696" t="s">
        <v>37</v>
      </c>
      <c r="C696" s="3">
        <v>45698.336006944446</v>
      </c>
      <c r="D696" t="s">
        <v>44</v>
      </c>
      <c r="E696" s="4">
        <v>84.171000000000006</v>
      </c>
      <c r="F696" s="4">
        <v>45557.54</v>
      </c>
      <c r="G696" s="4">
        <v>45641.711000000003</v>
      </c>
      <c r="H696" s="5">
        <f>3359 / 86400</f>
        <v>3.8877314814814816E-2</v>
      </c>
      <c r="I696" t="s">
        <v>27</v>
      </c>
      <c r="J696" t="s">
        <v>147</v>
      </c>
      <c r="K696" s="5">
        <f>13888 / 86400</f>
        <v>0.16074074074074074</v>
      </c>
      <c r="L696" s="5">
        <f>16985 / 86400</f>
        <v>0.19658564814814813</v>
      </c>
    </row>
    <row r="697" spans="1:12" x14ac:dyDescent="0.25">
      <c r="A697" s="3">
        <v>45698.357337962967</v>
      </c>
      <c r="B697" t="s">
        <v>44</v>
      </c>
      <c r="C697" s="3">
        <v>45698.360590277778</v>
      </c>
      <c r="D697" t="s">
        <v>123</v>
      </c>
      <c r="E697" s="4">
        <v>0.86699999999999999</v>
      </c>
      <c r="F697" s="4">
        <v>45641.711000000003</v>
      </c>
      <c r="G697" s="4">
        <v>45642.578000000001</v>
      </c>
      <c r="H697" s="5">
        <f>60 / 86400</f>
        <v>6.9444444444444447E-4</v>
      </c>
      <c r="I697" t="s">
        <v>206</v>
      </c>
      <c r="J697" t="s">
        <v>59</v>
      </c>
      <c r="K697" s="5">
        <f>280 / 86400</f>
        <v>3.2407407407407406E-3</v>
      </c>
      <c r="L697" s="5">
        <f>255 / 86400</f>
        <v>2.9513888888888888E-3</v>
      </c>
    </row>
    <row r="698" spans="1:12" x14ac:dyDescent="0.25">
      <c r="A698" s="3">
        <v>45698.363541666666</v>
      </c>
      <c r="B698" t="s">
        <v>123</v>
      </c>
      <c r="C698" s="3">
        <v>45698.364247685182</v>
      </c>
      <c r="D698" t="s">
        <v>123</v>
      </c>
      <c r="E698" s="4">
        <v>0.03</v>
      </c>
      <c r="F698" s="4">
        <v>45642.578000000001</v>
      </c>
      <c r="G698" s="4">
        <v>45642.608</v>
      </c>
      <c r="H698" s="5">
        <f>20 / 86400</f>
        <v>2.3148148148148149E-4</v>
      </c>
      <c r="I698" t="s">
        <v>168</v>
      </c>
      <c r="J698" t="s">
        <v>132</v>
      </c>
      <c r="K698" s="5">
        <f>60 / 86400</f>
        <v>6.9444444444444447E-4</v>
      </c>
      <c r="L698" s="5">
        <f>918 / 86400</f>
        <v>1.0625000000000001E-2</v>
      </c>
    </row>
    <row r="699" spans="1:12" x14ac:dyDescent="0.25">
      <c r="A699" s="3">
        <v>45698.374872685185</v>
      </c>
      <c r="B699" t="s">
        <v>123</v>
      </c>
      <c r="C699" s="3">
        <v>45698.375775462962</v>
      </c>
      <c r="D699" t="s">
        <v>123</v>
      </c>
      <c r="E699" s="4">
        <v>1.7000000000000001E-2</v>
      </c>
      <c r="F699" s="4">
        <v>45642.608</v>
      </c>
      <c r="G699" s="4">
        <v>45642.625</v>
      </c>
      <c r="H699" s="5">
        <f>19 / 86400</f>
        <v>2.199074074074074E-4</v>
      </c>
      <c r="I699" t="s">
        <v>169</v>
      </c>
      <c r="J699" t="s">
        <v>62</v>
      </c>
      <c r="K699" s="5">
        <f>78 / 86400</f>
        <v>9.0277777777777774E-4</v>
      </c>
      <c r="L699" s="5">
        <f>1337 / 86400</f>
        <v>1.5474537037037037E-2</v>
      </c>
    </row>
    <row r="700" spans="1:12" x14ac:dyDescent="0.25">
      <c r="A700" s="3">
        <v>45698.391250000001</v>
      </c>
      <c r="B700" t="s">
        <v>123</v>
      </c>
      <c r="C700" s="3">
        <v>45698.612233796295</v>
      </c>
      <c r="D700" t="s">
        <v>37</v>
      </c>
      <c r="E700" s="4">
        <v>89.320999999999998</v>
      </c>
      <c r="F700" s="4">
        <v>45642.625</v>
      </c>
      <c r="G700" s="4">
        <v>45731.946000000004</v>
      </c>
      <c r="H700" s="5">
        <f>6319 / 86400</f>
        <v>7.3136574074074076E-2</v>
      </c>
      <c r="I700" t="s">
        <v>124</v>
      </c>
      <c r="J700" t="s">
        <v>28</v>
      </c>
      <c r="K700" s="5">
        <f>19093 / 86400</f>
        <v>0.2209837962962963</v>
      </c>
      <c r="L700" s="5">
        <f>443 / 86400</f>
        <v>5.1273148148148146E-3</v>
      </c>
    </row>
    <row r="701" spans="1:12" x14ac:dyDescent="0.25">
      <c r="A701" s="3">
        <v>45698.617361111115</v>
      </c>
      <c r="B701" t="s">
        <v>37</v>
      </c>
      <c r="C701" s="3">
        <v>45698.62128472222</v>
      </c>
      <c r="D701" t="s">
        <v>37</v>
      </c>
      <c r="E701" s="4">
        <v>1.363</v>
      </c>
      <c r="F701" s="4">
        <v>45731.946000000004</v>
      </c>
      <c r="G701" s="4">
        <v>45733.309000000001</v>
      </c>
      <c r="H701" s="5">
        <f>99 / 86400</f>
        <v>1.1458333333333333E-3</v>
      </c>
      <c r="I701" t="s">
        <v>211</v>
      </c>
      <c r="J701" t="s">
        <v>57</v>
      </c>
      <c r="K701" s="5">
        <f>338 / 86400</f>
        <v>3.9120370370370368E-3</v>
      </c>
      <c r="L701" s="5">
        <f>861 / 86400</f>
        <v>9.9652777777777778E-3</v>
      </c>
    </row>
    <row r="702" spans="1:12" x14ac:dyDescent="0.25">
      <c r="A702" s="3">
        <v>45698.631249999999</v>
      </c>
      <c r="B702" t="s">
        <v>37</v>
      </c>
      <c r="C702" s="3">
        <v>45698.635509259257</v>
      </c>
      <c r="D702" t="s">
        <v>144</v>
      </c>
      <c r="E702" s="4">
        <v>0.25700000000000001</v>
      </c>
      <c r="F702" s="4">
        <v>45733.309000000001</v>
      </c>
      <c r="G702" s="4">
        <v>45733.565999999999</v>
      </c>
      <c r="H702" s="5">
        <f>279 / 86400</f>
        <v>3.2291666666666666E-3</v>
      </c>
      <c r="I702" t="s">
        <v>147</v>
      </c>
      <c r="J702" t="s">
        <v>169</v>
      </c>
      <c r="K702" s="5">
        <f>367 / 86400</f>
        <v>4.2476851851851851E-3</v>
      </c>
      <c r="L702" s="5">
        <f>215 / 86400</f>
        <v>2.488425925925926E-3</v>
      </c>
    </row>
    <row r="703" spans="1:12" x14ac:dyDescent="0.25">
      <c r="A703" s="3">
        <v>45698.637997685189</v>
      </c>
      <c r="B703" t="s">
        <v>144</v>
      </c>
      <c r="C703" s="3">
        <v>45698.838587962964</v>
      </c>
      <c r="D703" t="s">
        <v>239</v>
      </c>
      <c r="E703" s="4">
        <v>74.259</v>
      </c>
      <c r="F703" s="4">
        <v>45733.565999999999</v>
      </c>
      <c r="G703" s="4">
        <v>45807.824999999997</v>
      </c>
      <c r="H703" s="5">
        <f>6120 / 86400</f>
        <v>7.0833333333333331E-2</v>
      </c>
      <c r="I703" t="s">
        <v>35</v>
      </c>
      <c r="J703" t="s">
        <v>57</v>
      </c>
      <c r="K703" s="5">
        <f>17331 / 86400</f>
        <v>0.20059027777777777</v>
      </c>
      <c r="L703" s="5">
        <f>74 / 86400</f>
        <v>8.564814814814815E-4</v>
      </c>
    </row>
    <row r="704" spans="1:12" x14ac:dyDescent="0.25">
      <c r="A704" s="3">
        <v>45698.839444444442</v>
      </c>
      <c r="B704" t="s">
        <v>239</v>
      </c>
      <c r="C704" s="3">
        <v>45698.99998842593</v>
      </c>
      <c r="D704" t="s">
        <v>73</v>
      </c>
      <c r="E704" s="4">
        <v>77.239999999999995</v>
      </c>
      <c r="F704" s="4">
        <v>45807.824999999997</v>
      </c>
      <c r="G704" s="4">
        <v>45885.065000000002</v>
      </c>
      <c r="H704" s="5">
        <f>4520 / 86400</f>
        <v>5.2314814814814814E-2</v>
      </c>
      <c r="I704" t="s">
        <v>54</v>
      </c>
      <c r="J704" t="s">
        <v>22</v>
      </c>
      <c r="K704" s="5">
        <f>13871 / 86400</f>
        <v>0.16054398148148147</v>
      </c>
      <c r="L704" s="5">
        <f>0 / 86400</f>
        <v>0</v>
      </c>
    </row>
    <row r="705" spans="1:12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 spans="1:12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 spans="1:12" s="10" customFormat="1" ht="20.100000000000001" customHeight="1" x14ac:dyDescent="0.35">
      <c r="A707" s="12" t="s">
        <v>417</v>
      </c>
      <c r="B707" s="12"/>
      <c r="C707" s="12"/>
      <c r="D707" s="12"/>
      <c r="E707" s="12"/>
      <c r="F707" s="12"/>
      <c r="G707" s="12"/>
      <c r="H707" s="12"/>
      <c r="I707" s="12"/>
      <c r="J707" s="12"/>
    </row>
    <row r="708" spans="1:12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2" ht="30" x14ac:dyDescent="0.25">
      <c r="A709" s="2" t="s">
        <v>5</v>
      </c>
      <c r="B709" s="2" t="s">
        <v>6</v>
      </c>
      <c r="C709" s="2" t="s">
        <v>7</v>
      </c>
      <c r="D709" s="2" t="s">
        <v>8</v>
      </c>
      <c r="E709" s="2" t="s">
        <v>9</v>
      </c>
      <c r="F709" s="2" t="s">
        <v>10</v>
      </c>
      <c r="G709" s="2" t="s">
        <v>11</v>
      </c>
      <c r="H709" s="2" t="s">
        <v>12</v>
      </c>
      <c r="I709" s="2" t="s">
        <v>13</v>
      </c>
      <c r="J709" s="2" t="s">
        <v>14</v>
      </c>
      <c r="K709" s="2" t="s">
        <v>15</v>
      </c>
      <c r="L709" s="2" t="s">
        <v>16</v>
      </c>
    </row>
    <row r="710" spans="1:12" x14ac:dyDescent="0.25">
      <c r="A710" s="3">
        <v>45698</v>
      </c>
      <c r="B710" t="s">
        <v>74</v>
      </c>
      <c r="C710" s="3">
        <v>45698.000590277778</v>
      </c>
      <c r="D710" t="s">
        <v>74</v>
      </c>
      <c r="E710" s="4">
        <v>0</v>
      </c>
      <c r="F710" s="4">
        <v>526929.80599999998</v>
      </c>
      <c r="G710" s="4">
        <v>526929.80599999998</v>
      </c>
      <c r="H710" s="5">
        <f>40 / 86400</f>
        <v>4.6296296296296298E-4</v>
      </c>
      <c r="I710" t="s">
        <v>126</v>
      </c>
      <c r="J710" t="s">
        <v>126</v>
      </c>
      <c r="K710" s="5">
        <f>51 / 86400</f>
        <v>5.9027777777777778E-4</v>
      </c>
      <c r="L710" s="5">
        <f>507 / 86400</f>
        <v>5.8680555555555552E-3</v>
      </c>
    </row>
    <row r="711" spans="1:12" x14ac:dyDescent="0.25">
      <c r="A711" s="3">
        <v>45698.00645833333</v>
      </c>
      <c r="B711" t="s">
        <v>344</v>
      </c>
      <c r="C711" s="3">
        <v>45698.006597222222</v>
      </c>
      <c r="D711" t="s">
        <v>74</v>
      </c>
      <c r="E711" s="4">
        <v>5.0000000000000001E-3</v>
      </c>
      <c r="F711" s="4">
        <v>526929.80599999998</v>
      </c>
      <c r="G711" s="4">
        <v>526929.81099999999</v>
      </c>
      <c r="H711" s="5">
        <f>0 / 86400</f>
        <v>0</v>
      </c>
      <c r="I711" t="s">
        <v>126</v>
      </c>
      <c r="J711" t="s">
        <v>132</v>
      </c>
      <c r="K711" s="5">
        <f>11 / 86400</f>
        <v>1.273148148148148E-4</v>
      </c>
      <c r="L711" s="5">
        <f>476 / 86400</f>
        <v>5.5092592592592589E-3</v>
      </c>
    </row>
    <row r="712" spans="1:12" x14ac:dyDescent="0.25">
      <c r="A712" s="3">
        <v>45698.012106481481</v>
      </c>
      <c r="B712" t="s">
        <v>74</v>
      </c>
      <c r="C712" s="3">
        <v>45698.012337962966</v>
      </c>
      <c r="D712" t="s">
        <v>74</v>
      </c>
      <c r="E712" s="4">
        <v>1.0000000596046448E-3</v>
      </c>
      <c r="F712" s="4">
        <v>526929.81099999999</v>
      </c>
      <c r="G712" s="4">
        <v>526929.81200000003</v>
      </c>
      <c r="H712" s="5">
        <f>0 / 86400</f>
        <v>0</v>
      </c>
      <c r="I712" t="s">
        <v>126</v>
      </c>
      <c r="J712" t="s">
        <v>126</v>
      </c>
      <c r="K712" s="5">
        <f>19 / 86400</f>
        <v>2.199074074074074E-4</v>
      </c>
      <c r="L712" s="5">
        <f>882 / 86400</f>
        <v>1.0208333333333333E-2</v>
      </c>
    </row>
    <row r="713" spans="1:12" x14ac:dyDescent="0.25">
      <c r="A713" s="3">
        <v>45698.022546296299</v>
      </c>
      <c r="B713" t="s">
        <v>74</v>
      </c>
      <c r="C713" s="3">
        <v>45698.022696759261</v>
      </c>
      <c r="D713" t="s">
        <v>74</v>
      </c>
      <c r="E713" s="4">
        <v>6.9999999403953551E-3</v>
      </c>
      <c r="F713" s="4">
        <v>526929.81200000003</v>
      </c>
      <c r="G713" s="4">
        <v>526929.81900000002</v>
      </c>
      <c r="H713" s="5">
        <f>0 / 86400</f>
        <v>0</v>
      </c>
      <c r="I713" t="s">
        <v>125</v>
      </c>
      <c r="J713" t="s">
        <v>132</v>
      </c>
      <c r="K713" s="5">
        <f>12 / 86400</f>
        <v>1.3888888888888889E-4</v>
      </c>
      <c r="L713" s="5">
        <f>1172 / 86400</f>
        <v>1.3564814814814814E-2</v>
      </c>
    </row>
    <row r="714" spans="1:12" x14ac:dyDescent="0.25">
      <c r="A714" s="3">
        <v>45698.036261574074</v>
      </c>
      <c r="B714" t="s">
        <v>74</v>
      </c>
      <c r="C714" s="3">
        <v>45698.110625000001</v>
      </c>
      <c r="D714" t="s">
        <v>79</v>
      </c>
      <c r="E714" s="4">
        <v>26.155999999999999</v>
      </c>
      <c r="F714" s="4">
        <v>526929.81900000002</v>
      </c>
      <c r="G714" s="4">
        <v>526955.97499999998</v>
      </c>
      <c r="H714" s="5">
        <f>2960 / 86400</f>
        <v>3.425925925925926E-2</v>
      </c>
      <c r="I714" t="s">
        <v>346</v>
      </c>
      <c r="J714" t="s">
        <v>57</v>
      </c>
      <c r="K714" s="5">
        <f>6425 / 86400</f>
        <v>7.436342592592593E-2</v>
      </c>
      <c r="L714" s="5">
        <f>1137 / 86400</f>
        <v>1.3159722222222222E-2</v>
      </c>
    </row>
    <row r="715" spans="1:12" x14ac:dyDescent="0.25">
      <c r="A715" s="3">
        <v>45698.123784722222</v>
      </c>
      <c r="B715" t="s">
        <v>79</v>
      </c>
      <c r="C715" s="3">
        <v>45698.124293981484</v>
      </c>
      <c r="D715" t="s">
        <v>79</v>
      </c>
      <c r="E715" s="4">
        <v>1.6000000059604644E-2</v>
      </c>
      <c r="F715" s="4">
        <v>526955.97499999998</v>
      </c>
      <c r="G715" s="4">
        <v>526955.99100000004</v>
      </c>
      <c r="H715" s="5">
        <f>19 / 86400</f>
        <v>2.199074074074074E-4</v>
      </c>
      <c r="I715" t="s">
        <v>125</v>
      </c>
      <c r="J715" t="s">
        <v>62</v>
      </c>
      <c r="K715" s="5">
        <f>43 / 86400</f>
        <v>4.9768518518518521E-4</v>
      </c>
      <c r="L715" s="5">
        <f>479 / 86400</f>
        <v>5.5439814814814813E-3</v>
      </c>
    </row>
    <row r="716" spans="1:12" x14ac:dyDescent="0.25">
      <c r="A716" s="3">
        <v>45698.129837962959</v>
      </c>
      <c r="B716" t="s">
        <v>79</v>
      </c>
      <c r="C716" s="3">
        <v>45698.135798611111</v>
      </c>
      <c r="D716" t="s">
        <v>347</v>
      </c>
      <c r="E716" s="4">
        <v>2.8759999998807908</v>
      </c>
      <c r="F716" s="4">
        <v>526955.99100000004</v>
      </c>
      <c r="G716" s="4">
        <v>526958.86699999997</v>
      </c>
      <c r="H716" s="5">
        <f>80 / 86400</f>
        <v>9.2592592592592596E-4</v>
      </c>
      <c r="I716" t="s">
        <v>145</v>
      </c>
      <c r="J716" t="s">
        <v>22</v>
      </c>
      <c r="K716" s="5">
        <f>514 / 86400</f>
        <v>5.9490740740740745E-3</v>
      </c>
      <c r="L716" s="5">
        <f>844 / 86400</f>
        <v>9.7685185185185184E-3</v>
      </c>
    </row>
    <row r="717" spans="1:12" x14ac:dyDescent="0.25">
      <c r="A717" s="3">
        <v>45698.145567129628</v>
      </c>
      <c r="B717" t="s">
        <v>347</v>
      </c>
      <c r="C717" s="3">
        <v>45698.159814814819</v>
      </c>
      <c r="D717" t="s">
        <v>337</v>
      </c>
      <c r="E717" s="4">
        <v>7.1040000000596049</v>
      </c>
      <c r="F717" s="4">
        <v>526958.86699999997</v>
      </c>
      <c r="G717" s="4">
        <v>526965.97100000002</v>
      </c>
      <c r="H717" s="5">
        <f>160 / 86400</f>
        <v>1.8518518518518519E-3</v>
      </c>
      <c r="I717" t="s">
        <v>66</v>
      </c>
      <c r="J717" t="s">
        <v>136</v>
      </c>
      <c r="K717" s="5">
        <f>1231 / 86400</f>
        <v>1.4247685185185184E-2</v>
      </c>
      <c r="L717" s="5">
        <f>2082 / 86400</f>
        <v>2.4097222222222221E-2</v>
      </c>
    </row>
    <row r="718" spans="1:12" x14ac:dyDescent="0.25">
      <c r="A718" s="3">
        <v>45698.183912037042</v>
      </c>
      <c r="B718" t="s">
        <v>337</v>
      </c>
      <c r="C718" s="3">
        <v>45698.350752314815</v>
      </c>
      <c r="D718" t="s">
        <v>123</v>
      </c>
      <c r="E718" s="4">
        <v>83.858000000000004</v>
      </c>
      <c r="F718" s="4">
        <v>526965.97100000002</v>
      </c>
      <c r="G718" s="4">
        <v>527049.82900000003</v>
      </c>
      <c r="H718" s="5">
        <f>3939 / 86400</f>
        <v>4.5590277777777778E-2</v>
      </c>
      <c r="I718" t="s">
        <v>156</v>
      </c>
      <c r="J718" t="s">
        <v>136</v>
      </c>
      <c r="K718" s="5">
        <f>14415 / 86400</f>
        <v>0.16684027777777777</v>
      </c>
      <c r="L718" s="5">
        <f>819 / 86400</f>
        <v>9.479166666666667E-3</v>
      </c>
    </row>
    <row r="719" spans="1:12" x14ac:dyDescent="0.25">
      <c r="A719" s="3">
        <v>45698.360231481478</v>
      </c>
      <c r="B719" t="s">
        <v>127</v>
      </c>
      <c r="C719" s="3">
        <v>45698.362685185188</v>
      </c>
      <c r="D719" t="s">
        <v>44</v>
      </c>
      <c r="E719" s="4">
        <v>0.79600000000000004</v>
      </c>
      <c r="F719" s="4">
        <v>527049.82900000003</v>
      </c>
      <c r="G719" s="4">
        <v>527050.625</v>
      </c>
      <c r="H719" s="5">
        <f>99 / 86400</f>
        <v>1.1458333333333333E-3</v>
      </c>
      <c r="I719" t="s">
        <v>200</v>
      </c>
      <c r="J719" t="s">
        <v>31</v>
      </c>
      <c r="K719" s="5">
        <f>211 / 86400</f>
        <v>2.4421296296296296E-3</v>
      </c>
      <c r="L719" s="5">
        <f>2350 / 86400</f>
        <v>2.7199074074074073E-2</v>
      </c>
    </row>
    <row r="720" spans="1:12" x14ac:dyDescent="0.25">
      <c r="A720" s="3">
        <v>45698.389884259261</v>
      </c>
      <c r="B720" t="s">
        <v>44</v>
      </c>
      <c r="C720" s="3">
        <v>45698.394872685181</v>
      </c>
      <c r="D720" t="s">
        <v>137</v>
      </c>
      <c r="E720" s="4">
        <v>1.3399999999403953</v>
      </c>
      <c r="F720" s="4">
        <v>527050.625</v>
      </c>
      <c r="G720" s="4">
        <v>527051.96499999997</v>
      </c>
      <c r="H720" s="5">
        <f>80 / 86400</f>
        <v>9.2592592592592596E-4</v>
      </c>
      <c r="I720" t="s">
        <v>134</v>
      </c>
      <c r="J720" t="s">
        <v>59</v>
      </c>
      <c r="K720" s="5">
        <f>431 / 86400</f>
        <v>4.9884259259259257E-3</v>
      </c>
      <c r="L720" s="5">
        <f>945 / 86400</f>
        <v>1.0937499999999999E-2</v>
      </c>
    </row>
    <row r="721" spans="1:12" x14ac:dyDescent="0.25">
      <c r="A721" s="3">
        <v>45698.405810185184</v>
      </c>
      <c r="B721" t="s">
        <v>137</v>
      </c>
      <c r="C721" s="3">
        <v>45698.523460648154</v>
      </c>
      <c r="D721" t="s">
        <v>278</v>
      </c>
      <c r="E721" s="4">
        <v>50.773000000059604</v>
      </c>
      <c r="F721" s="4">
        <v>527051.96499999997</v>
      </c>
      <c r="G721" s="4">
        <v>527102.73800000001</v>
      </c>
      <c r="H721" s="5">
        <f>3761 / 86400</f>
        <v>4.3530092592592592E-2</v>
      </c>
      <c r="I721" t="s">
        <v>27</v>
      </c>
      <c r="J721" t="s">
        <v>25</v>
      </c>
      <c r="K721" s="5">
        <f>10164 / 86400</f>
        <v>0.11763888888888889</v>
      </c>
      <c r="L721" s="5">
        <f>2179 / 86400</f>
        <v>2.5219907407407406E-2</v>
      </c>
    </row>
    <row r="722" spans="1:12" x14ac:dyDescent="0.25">
      <c r="A722" s="3">
        <v>45698.548680555556</v>
      </c>
      <c r="B722" t="s">
        <v>278</v>
      </c>
      <c r="C722" s="3">
        <v>45698.663599537038</v>
      </c>
      <c r="D722" t="s">
        <v>123</v>
      </c>
      <c r="E722" s="4">
        <v>50.484999999999999</v>
      </c>
      <c r="F722" s="4">
        <v>527102.73800000001</v>
      </c>
      <c r="G722" s="4">
        <v>527153.223</v>
      </c>
      <c r="H722" s="5">
        <f>3220 / 86400</f>
        <v>3.726851851851852E-2</v>
      </c>
      <c r="I722" t="s">
        <v>124</v>
      </c>
      <c r="J722" t="s">
        <v>25</v>
      </c>
      <c r="K722" s="5">
        <f>9929 / 86400</f>
        <v>0.11491898148148148</v>
      </c>
      <c r="L722" s="5">
        <f>635 / 86400</f>
        <v>7.3495370370370372E-3</v>
      </c>
    </row>
    <row r="723" spans="1:12" x14ac:dyDescent="0.25">
      <c r="A723" s="3">
        <v>45698.670949074076</v>
      </c>
      <c r="B723" t="s">
        <v>123</v>
      </c>
      <c r="C723" s="3">
        <v>45698.673576388886</v>
      </c>
      <c r="D723" t="s">
        <v>64</v>
      </c>
      <c r="E723" s="4">
        <v>0.20999999994039537</v>
      </c>
      <c r="F723" s="4">
        <v>527153.223</v>
      </c>
      <c r="G723" s="4">
        <v>527153.43299999996</v>
      </c>
      <c r="H723" s="5">
        <f>140 / 86400</f>
        <v>1.6203703703703703E-3</v>
      </c>
      <c r="I723" t="s">
        <v>28</v>
      </c>
      <c r="J723" t="s">
        <v>169</v>
      </c>
      <c r="K723" s="5">
        <f>227 / 86400</f>
        <v>2.627314814814815E-3</v>
      </c>
      <c r="L723" s="5">
        <f>1985 / 86400</f>
        <v>2.2974537037037036E-2</v>
      </c>
    </row>
    <row r="724" spans="1:12" x14ac:dyDescent="0.25">
      <c r="A724" s="3">
        <v>45698.696550925924</v>
      </c>
      <c r="B724" t="s">
        <v>64</v>
      </c>
      <c r="C724" s="3">
        <v>45698.707280092596</v>
      </c>
      <c r="D724" t="s">
        <v>240</v>
      </c>
      <c r="E724" s="4">
        <v>4.4710000000596049</v>
      </c>
      <c r="F724" s="4">
        <v>527153.43299999996</v>
      </c>
      <c r="G724" s="4">
        <v>527157.90399999998</v>
      </c>
      <c r="H724" s="5">
        <f>119 / 86400</f>
        <v>1.3773148148148147E-3</v>
      </c>
      <c r="I724" t="s">
        <v>229</v>
      </c>
      <c r="J724" t="s">
        <v>28</v>
      </c>
      <c r="K724" s="5">
        <f>927 / 86400</f>
        <v>1.0729166666666666E-2</v>
      </c>
      <c r="L724" s="5">
        <f>83 / 86400</f>
        <v>9.6064814814814819E-4</v>
      </c>
    </row>
    <row r="725" spans="1:12" x14ac:dyDescent="0.25">
      <c r="A725" s="3">
        <v>45698.708240740743</v>
      </c>
      <c r="B725" t="s">
        <v>240</v>
      </c>
      <c r="C725" s="3">
        <v>45698.708437499998</v>
      </c>
      <c r="D725" t="s">
        <v>240</v>
      </c>
      <c r="E725" s="4">
        <v>1E-3</v>
      </c>
      <c r="F725" s="4">
        <v>527157.90399999998</v>
      </c>
      <c r="G725" s="4">
        <v>527157.90500000003</v>
      </c>
      <c r="H725" s="5">
        <f>0 / 86400</f>
        <v>0</v>
      </c>
      <c r="I725" t="s">
        <v>126</v>
      </c>
      <c r="J725" t="s">
        <v>126</v>
      </c>
      <c r="K725" s="5">
        <f>17 / 86400</f>
        <v>1.9675925925925926E-4</v>
      </c>
      <c r="L725" s="5">
        <f>77 / 86400</f>
        <v>8.9120370370370373E-4</v>
      </c>
    </row>
    <row r="726" spans="1:12" x14ac:dyDescent="0.25">
      <c r="A726" s="3">
        <v>45698.709328703699</v>
      </c>
      <c r="B726" t="s">
        <v>241</v>
      </c>
      <c r="C726" s="3">
        <v>45698.709502314814</v>
      </c>
      <c r="D726" t="s">
        <v>240</v>
      </c>
      <c r="E726" s="4">
        <v>1.0000000059604644E-2</v>
      </c>
      <c r="F726" s="4">
        <v>527157.90500000003</v>
      </c>
      <c r="G726" s="4">
        <v>527157.91500000004</v>
      </c>
      <c r="H726" s="5">
        <f>0 / 86400</f>
        <v>0</v>
      </c>
      <c r="I726" t="s">
        <v>126</v>
      </c>
      <c r="J726" t="s">
        <v>132</v>
      </c>
      <c r="K726" s="5">
        <f>15 / 86400</f>
        <v>1.7361111111111112E-4</v>
      </c>
      <c r="L726" s="5">
        <f>68 / 86400</f>
        <v>7.8703703703703705E-4</v>
      </c>
    </row>
    <row r="727" spans="1:12" x14ac:dyDescent="0.25">
      <c r="A727" s="3">
        <v>45698.710289351853</v>
      </c>
      <c r="B727" t="s">
        <v>240</v>
      </c>
      <c r="C727" s="3">
        <v>45698.710821759261</v>
      </c>
      <c r="D727" t="s">
        <v>240</v>
      </c>
      <c r="E727" s="4">
        <v>0</v>
      </c>
      <c r="F727" s="4">
        <v>527157.91500000004</v>
      </c>
      <c r="G727" s="4">
        <v>527157.91500000004</v>
      </c>
      <c r="H727" s="5">
        <f>39 / 86400</f>
        <v>4.5138888888888887E-4</v>
      </c>
      <c r="I727" t="s">
        <v>126</v>
      </c>
      <c r="J727" t="s">
        <v>126</v>
      </c>
      <c r="K727" s="5">
        <f>46 / 86400</f>
        <v>5.3240740740740744E-4</v>
      </c>
      <c r="L727" s="5">
        <f>36 / 86400</f>
        <v>4.1666666666666669E-4</v>
      </c>
    </row>
    <row r="728" spans="1:12" x14ac:dyDescent="0.25">
      <c r="A728" s="3">
        <v>45698.711238425924</v>
      </c>
      <c r="B728" t="s">
        <v>240</v>
      </c>
      <c r="C728" s="3">
        <v>45698.806990740741</v>
      </c>
      <c r="D728" t="s">
        <v>239</v>
      </c>
      <c r="E728" s="4">
        <v>50.132999999880788</v>
      </c>
      <c r="F728" s="4">
        <v>527157.91500000004</v>
      </c>
      <c r="G728" s="4">
        <v>527208.04799999995</v>
      </c>
      <c r="H728" s="5">
        <f>2377 / 86400</f>
        <v>2.7511574074074074E-2</v>
      </c>
      <c r="I728" t="s">
        <v>52</v>
      </c>
      <c r="J728" t="s">
        <v>147</v>
      </c>
      <c r="K728" s="5">
        <f>8273 / 86400</f>
        <v>9.5752314814814818E-2</v>
      </c>
      <c r="L728" s="5">
        <f>2369 / 86400</f>
        <v>2.7418981481481482E-2</v>
      </c>
    </row>
    <row r="729" spans="1:12" x14ac:dyDescent="0.25">
      <c r="A729" s="3">
        <v>45698.834409722222</v>
      </c>
      <c r="B729" t="s">
        <v>239</v>
      </c>
      <c r="C729" s="3">
        <v>45698.83520833333</v>
      </c>
      <c r="D729" t="s">
        <v>239</v>
      </c>
      <c r="E729" s="4">
        <v>0</v>
      </c>
      <c r="F729" s="4">
        <v>527208.04799999995</v>
      </c>
      <c r="G729" s="4">
        <v>527208.04799999995</v>
      </c>
      <c r="H729" s="5">
        <f>59 / 86400</f>
        <v>6.8287037037037036E-4</v>
      </c>
      <c r="I729" t="s">
        <v>126</v>
      </c>
      <c r="J729" t="s">
        <v>126</v>
      </c>
      <c r="K729" s="5">
        <f>68 / 86400</f>
        <v>7.8703703703703705E-4</v>
      </c>
      <c r="L729" s="5">
        <f>889 / 86400</f>
        <v>1.0289351851851852E-2</v>
      </c>
    </row>
    <row r="730" spans="1:12" x14ac:dyDescent="0.25">
      <c r="A730" s="3">
        <v>45698.845497685186</v>
      </c>
      <c r="B730" t="s">
        <v>239</v>
      </c>
      <c r="C730" s="3">
        <v>45698.848391203705</v>
      </c>
      <c r="D730" t="s">
        <v>241</v>
      </c>
      <c r="E730" s="4">
        <v>0.57300000011920926</v>
      </c>
      <c r="F730" s="4">
        <v>527208.04799999995</v>
      </c>
      <c r="G730" s="4">
        <v>527208.62100000004</v>
      </c>
      <c r="H730" s="5">
        <f>119 / 86400</f>
        <v>1.3773148148148147E-3</v>
      </c>
      <c r="I730" t="s">
        <v>136</v>
      </c>
      <c r="J730" t="s">
        <v>168</v>
      </c>
      <c r="K730" s="5">
        <f>250 / 86400</f>
        <v>2.8935185185185184E-3</v>
      </c>
      <c r="L730" s="5">
        <f>1562 / 86400</f>
        <v>1.8078703703703704E-2</v>
      </c>
    </row>
    <row r="731" spans="1:12" x14ac:dyDescent="0.25">
      <c r="A731" s="3">
        <v>45698.866469907407</v>
      </c>
      <c r="B731" t="s">
        <v>241</v>
      </c>
      <c r="C731" s="3">
        <v>45698.871874999997</v>
      </c>
      <c r="D731" t="s">
        <v>241</v>
      </c>
      <c r="E731" s="4">
        <v>1.3999999940395354E-2</v>
      </c>
      <c r="F731" s="4">
        <v>527208.62100000004</v>
      </c>
      <c r="G731" s="4">
        <v>527208.63500000001</v>
      </c>
      <c r="H731" s="5">
        <f>459 / 86400</f>
        <v>5.3125000000000004E-3</v>
      </c>
      <c r="I731" t="s">
        <v>126</v>
      </c>
      <c r="J731" t="s">
        <v>126</v>
      </c>
      <c r="K731" s="5">
        <f>467 / 86400</f>
        <v>5.4050925925925924E-3</v>
      </c>
      <c r="L731" s="5">
        <f>74 / 86400</f>
        <v>8.564814814814815E-4</v>
      </c>
    </row>
    <row r="732" spans="1:12" x14ac:dyDescent="0.25">
      <c r="A732" s="3">
        <v>45698.872731481482</v>
      </c>
      <c r="B732" t="s">
        <v>241</v>
      </c>
      <c r="C732" s="3">
        <v>45698.973865740743</v>
      </c>
      <c r="D732" t="s">
        <v>110</v>
      </c>
      <c r="E732" s="4">
        <v>44.868000000000002</v>
      </c>
      <c r="F732" s="4">
        <v>527208.63500000001</v>
      </c>
      <c r="G732" s="4">
        <v>527253.50300000003</v>
      </c>
      <c r="H732" s="5">
        <f>3481 / 86400</f>
        <v>4.0289351851851854E-2</v>
      </c>
      <c r="I732" t="s">
        <v>76</v>
      </c>
      <c r="J732" t="s">
        <v>25</v>
      </c>
      <c r="K732" s="5">
        <f>8738 / 86400</f>
        <v>0.10113425925925926</v>
      </c>
      <c r="L732" s="5">
        <f>1212 / 86400</f>
        <v>1.4027777777777778E-2</v>
      </c>
    </row>
    <row r="733" spans="1:12" x14ac:dyDescent="0.25">
      <c r="A733" s="3">
        <v>45698.987893518519</v>
      </c>
      <c r="B733" t="s">
        <v>348</v>
      </c>
      <c r="C733" s="3">
        <v>45698.99998842593</v>
      </c>
      <c r="D733" t="s">
        <v>75</v>
      </c>
      <c r="E733" s="4">
        <v>1.5669999999403954</v>
      </c>
      <c r="F733" s="4">
        <v>527253.50300000003</v>
      </c>
      <c r="G733" s="4">
        <v>527255.06999999995</v>
      </c>
      <c r="H733" s="5">
        <f>719 / 86400</f>
        <v>8.3217592592592596E-3</v>
      </c>
      <c r="I733" t="s">
        <v>158</v>
      </c>
      <c r="J733" t="s">
        <v>125</v>
      </c>
      <c r="K733" s="5">
        <f>1045 / 86400</f>
        <v>1.2094907407407407E-2</v>
      </c>
      <c r="L733" s="5">
        <f>0 / 86400</f>
        <v>0</v>
      </c>
    </row>
    <row r="734" spans="1:12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 spans="1:12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 spans="1:12" s="10" customFormat="1" ht="20.100000000000001" customHeight="1" x14ac:dyDescent="0.35">
      <c r="A736" s="12" t="s">
        <v>418</v>
      </c>
      <c r="B736" s="12"/>
      <c r="C736" s="12"/>
      <c r="D736" s="12"/>
      <c r="E736" s="12"/>
      <c r="F736" s="12"/>
      <c r="G736" s="12"/>
      <c r="H736" s="12"/>
      <c r="I736" s="12"/>
      <c r="J736" s="12"/>
    </row>
    <row r="737" spans="1:12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 spans="1:12" ht="30" x14ac:dyDescent="0.25">
      <c r="A738" s="2" t="s">
        <v>5</v>
      </c>
      <c r="B738" s="2" t="s">
        <v>6</v>
      </c>
      <c r="C738" s="2" t="s">
        <v>7</v>
      </c>
      <c r="D738" s="2" t="s">
        <v>8</v>
      </c>
      <c r="E738" s="2" t="s">
        <v>9</v>
      </c>
      <c r="F738" s="2" t="s">
        <v>10</v>
      </c>
      <c r="G738" s="2" t="s">
        <v>11</v>
      </c>
      <c r="H738" s="2" t="s">
        <v>12</v>
      </c>
      <c r="I738" s="2" t="s">
        <v>13</v>
      </c>
      <c r="J738" s="2" t="s">
        <v>14</v>
      </c>
      <c r="K738" s="2" t="s">
        <v>15</v>
      </c>
      <c r="L738" s="2" t="s">
        <v>16</v>
      </c>
    </row>
    <row r="739" spans="1:12" x14ac:dyDescent="0.25">
      <c r="A739" s="3">
        <v>45698.198761574073</v>
      </c>
      <c r="B739" t="s">
        <v>29</v>
      </c>
      <c r="C739" s="3">
        <v>45698.200416666667</v>
      </c>
      <c r="D739" t="s">
        <v>29</v>
      </c>
      <c r="E739" s="4">
        <v>0.04</v>
      </c>
      <c r="F739" s="4">
        <v>567332.36399999994</v>
      </c>
      <c r="G739" s="4">
        <v>567332.40399999998</v>
      </c>
      <c r="H739" s="5">
        <f>79 / 86400</f>
        <v>9.1435185185185185E-4</v>
      </c>
      <c r="I739" t="s">
        <v>61</v>
      </c>
      <c r="J739" t="s">
        <v>62</v>
      </c>
      <c r="K739" s="5">
        <f>142 / 86400</f>
        <v>1.6435185185185185E-3</v>
      </c>
      <c r="L739" s="5">
        <f>17580 / 86400</f>
        <v>0.20347222222222222</v>
      </c>
    </row>
    <row r="740" spans="1:12" x14ac:dyDescent="0.25">
      <c r="A740" s="3">
        <v>45698.20512731481</v>
      </c>
      <c r="B740" t="s">
        <v>29</v>
      </c>
      <c r="C740" s="3">
        <v>45698.218726851846</v>
      </c>
      <c r="D740" t="s">
        <v>198</v>
      </c>
      <c r="E740" s="4">
        <v>4.2119999999999997</v>
      </c>
      <c r="F740" s="4">
        <v>567332.40399999998</v>
      </c>
      <c r="G740" s="4">
        <v>567336.61600000004</v>
      </c>
      <c r="H740" s="5">
        <f>699 / 86400</f>
        <v>8.0902777777777778E-3</v>
      </c>
      <c r="I740" t="s">
        <v>208</v>
      </c>
      <c r="J740" t="s">
        <v>97</v>
      </c>
      <c r="K740" s="5">
        <f>1174 / 86400</f>
        <v>1.3587962962962963E-2</v>
      </c>
      <c r="L740" s="5">
        <f>29 / 86400</f>
        <v>3.3564814814814812E-4</v>
      </c>
    </row>
    <row r="741" spans="1:12" x14ac:dyDescent="0.25">
      <c r="A741" s="3">
        <v>45698.2190625</v>
      </c>
      <c r="B741" t="s">
        <v>198</v>
      </c>
      <c r="C741" s="3">
        <v>45698.219189814816</v>
      </c>
      <c r="D741" t="s">
        <v>198</v>
      </c>
      <c r="E741" s="4">
        <v>8.0000000000000002E-3</v>
      </c>
      <c r="F741" s="4">
        <v>567336.61600000004</v>
      </c>
      <c r="G741" s="4">
        <v>567336.62399999995</v>
      </c>
      <c r="H741" s="5">
        <f>0 / 86400</f>
        <v>0</v>
      </c>
      <c r="I741" t="s">
        <v>126</v>
      </c>
      <c r="J741" t="s">
        <v>169</v>
      </c>
      <c r="K741" s="5">
        <f>10 / 86400</f>
        <v>1.1574074074074075E-4</v>
      </c>
      <c r="L741" s="5">
        <f>335 / 86400</f>
        <v>3.8773148148148148E-3</v>
      </c>
    </row>
    <row r="742" spans="1:12" x14ac:dyDescent="0.25">
      <c r="A742" s="3">
        <v>45698.223067129627</v>
      </c>
      <c r="B742" t="s">
        <v>198</v>
      </c>
      <c r="C742" s="3">
        <v>45698.223287037035</v>
      </c>
      <c r="D742" t="s">
        <v>198</v>
      </c>
      <c r="E742" s="4">
        <v>2E-3</v>
      </c>
      <c r="F742" s="4">
        <v>567336.62399999995</v>
      </c>
      <c r="G742" s="4">
        <v>567336.62600000005</v>
      </c>
      <c r="H742" s="5">
        <f>0 / 86400</f>
        <v>0</v>
      </c>
      <c r="I742" t="s">
        <v>126</v>
      </c>
      <c r="J742" t="s">
        <v>126</v>
      </c>
      <c r="K742" s="5">
        <f>18 / 86400</f>
        <v>2.0833333333333335E-4</v>
      </c>
      <c r="L742" s="5">
        <f>39 / 86400</f>
        <v>4.5138888888888887E-4</v>
      </c>
    </row>
    <row r="743" spans="1:12" x14ac:dyDescent="0.25">
      <c r="A743" s="3">
        <v>45698.223738425921</v>
      </c>
      <c r="B743" t="s">
        <v>198</v>
      </c>
      <c r="C743" s="3">
        <v>45698.307210648149</v>
      </c>
      <c r="D743" t="s">
        <v>278</v>
      </c>
      <c r="E743" s="4">
        <v>31.353000000000002</v>
      </c>
      <c r="F743" s="4">
        <v>567336.62600000005</v>
      </c>
      <c r="G743" s="4">
        <v>567367.97900000005</v>
      </c>
      <c r="H743" s="5">
        <f>2860 / 86400</f>
        <v>3.3101851851851855E-2</v>
      </c>
      <c r="I743" t="s">
        <v>71</v>
      </c>
      <c r="J743" t="s">
        <v>19</v>
      </c>
      <c r="K743" s="5">
        <f>7211 / 86400</f>
        <v>8.3460648148148145E-2</v>
      </c>
      <c r="L743" s="5">
        <f>555 / 86400</f>
        <v>6.4236111111111108E-3</v>
      </c>
    </row>
    <row r="744" spans="1:12" x14ac:dyDescent="0.25">
      <c r="A744" s="3">
        <v>45698.313634259262</v>
      </c>
      <c r="B744" t="s">
        <v>278</v>
      </c>
      <c r="C744" s="3">
        <v>45698.313645833332</v>
      </c>
      <c r="D744" t="s">
        <v>278</v>
      </c>
      <c r="E744" s="4">
        <v>0</v>
      </c>
      <c r="F744" s="4">
        <v>567367.97900000005</v>
      </c>
      <c r="G744" s="4">
        <v>567367.97900000005</v>
      </c>
      <c r="H744" s="5">
        <f>0 / 86400</f>
        <v>0</v>
      </c>
      <c r="I744" t="s">
        <v>126</v>
      </c>
      <c r="J744" t="s">
        <v>126</v>
      </c>
      <c r="K744" s="5">
        <f>1 / 86400</f>
        <v>1.1574074074074073E-5</v>
      </c>
      <c r="L744" s="5">
        <f>19 / 86400</f>
        <v>2.199074074074074E-4</v>
      </c>
    </row>
    <row r="745" spans="1:12" x14ac:dyDescent="0.25">
      <c r="A745" s="3">
        <v>45698.31386574074</v>
      </c>
      <c r="B745" t="s">
        <v>278</v>
      </c>
      <c r="C745" s="3">
        <v>45698.438287037032</v>
      </c>
      <c r="D745" t="s">
        <v>44</v>
      </c>
      <c r="E745" s="4">
        <v>50.212000000000003</v>
      </c>
      <c r="F745" s="4">
        <v>567367.97900000005</v>
      </c>
      <c r="G745" s="4">
        <v>567418.19099999999</v>
      </c>
      <c r="H745" s="5">
        <f>3059 / 86400</f>
        <v>3.5405092592592592E-2</v>
      </c>
      <c r="I745" t="s">
        <v>114</v>
      </c>
      <c r="J745" t="s">
        <v>28</v>
      </c>
      <c r="K745" s="5">
        <f>10750 / 86400</f>
        <v>0.12442129629629629</v>
      </c>
      <c r="L745" s="5">
        <f>468 / 86400</f>
        <v>5.4166666666666669E-3</v>
      </c>
    </row>
    <row r="746" spans="1:12" x14ac:dyDescent="0.25">
      <c r="A746" s="3">
        <v>45698.443703703699</v>
      </c>
      <c r="B746" t="s">
        <v>44</v>
      </c>
      <c r="C746" s="3">
        <v>45698.447199074071</v>
      </c>
      <c r="D746" t="s">
        <v>123</v>
      </c>
      <c r="E746" s="4">
        <v>0.97499999999999998</v>
      </c>
      <c r="F746" s="4">
        <v>567418.19099999999</v>
      </c>
      <c r="G746" s="4">
        <v>567419.16599999997</v>
      </c>
      <c r="H746" s="5">
        <f>59 / 86400</f>
        <v>6.8287037037037036E-4</v>
      </c>
      <c r="I746" t="s">
        <v>143</v>
      </c>
      <c r="J746" t="s">
        <v>102</v>
      </c>
      <c r="K746" s="5">
        <f>301 / 86400</f>
        <v>3.4837962962962965E-3</v>
      </c>
      <c r="L746" s="5">
        <f>400 / 86400</f>
        <v>4.6296296296296294E-3</v>
      </c>
    </row>
    <row r="747" spans="1:12" x14ac:dyDescent="0.25">
      <c r="A747" s="3">
        <v>45698.451828703706</v>
      </c>
      <c r="B747" t="s">
        <v>123</v>
      </c>
      <c r="C747" s="3">
        <v>45698.45521990741</v>
      </c>
      <c r="D747" t="s">
        <v>137</v>
      </c>
      <c r="E747" s="4">
        <v>1.2829999999999999</v>
      </c>
      <c r="F747" s="4">
        <v>567419.16599999997</v>
      </c>
      <c r="G747" s="4">
        <v>567420.44900000002</v>
      </c>
      <c r="H747" s="5">
        <f>20 / 86400</f>
        <v>2.3148148148148149E-4</v>
      </c>
      <c r="I747" t="s">
        <v>148</v>
      </c>
      <c r="J747" t="s">
        <v>19</v>
      </c>
      <c r="K747" s="5">
        <f>292 / 86400</f>
        <v>3.3796296296296296E-3</v>
      </c>
      <c r="L747" s="5">
        <f>744 / 86400</f>
        <v>8.611111111111111E-3</v>
      </c>
    </row>
    <row r="748" spans="1:12" x14ac:dyDescent="0.25">
      <c r="A748" s="3">
        <v>45698.463831018518</v>
      </c>
      <c r="B748" t="s">
        <v>137</v>
      </c>
      <c r="C748" s="3">
        <v>45698.60155092593</v>
      </c>
      <c r="D748" t="s">
        <v>278</v>
      </c>
      <c r="E748" s="4">
        <v>50.8</v>
      </c>
      <c r="F748" s="4">
        <v>567420.44900000002</v>
      </c>
      <c r="G748" s="4">
        <v>567471.24899999995</v>
      </c>
      <c r="H748" s="5">
        <f>4739 / 86400</f>
        <v>5.4849537037037037E-2</v>
      </c>
      <c r="I748" t="s">
        <v>18</v>
      </c>
      <c r="J748" t="s">
        <v>57</v>
      </c>
      <c r="K748" s="5">
        <f>11899 / 86400</f>
        <v>0.13771990740740742</v>
      </c>
      <c r="L748" s="5">
        <f>166 / 86400</f>
        <v>1.9212962962962964E-3</v>
      </c>
    </row>
    <row r="749" spans="1:12" x14ac:dyDescent="0.25">
      <c r="A749" s="3">
        <v>45698.603472222225</v>
      </c>
      <c r="B749" t="s">
        <v>278</v>
      </c>
      <c r="C749" s="3">
        <v>45698.60974537037</v>
      </c>
      <c r="D749" t="s">
        <v>133</v>
      </c>
      <c r="E749" s="4">
        <v>0.12</v>
      </c>
      <c r="F749" s="4">
        <v>567471.24899999995</v>
      </c>
      <c r="G749" s="4">
        <v>567471.36899999995</v>
      </c>
      <c r="H749" s="5">
        <f>440 / 86400</f>
        <v>5.092592592592593E-3</v>
      </c>
      <c r="I749" t="s">
        <v>129</v>
      </c>
      <c r="J749" t="s">
        <v>62</v>
      </c>
      <c r="K749" s="5">
        <f>542 / 86400</f>
        <v>6.2731481481481484E-3</v>
      </c>
      <c r="L749" s="5">
        <f>1 / 86400</f>
        <v>1.1574074074074073E-5</v>
      </c>
    </row>
    <row r="750" spans="1:12" x14ac:dyDescent="0.25">
      <c r="A750" s="3">
        <v>45698.609756944439</v>
      </c>
      <c r="B750" t="s">
        <v>133</v>
      </c>
      <c r="C750" s="3">
        <v>45698.73914351852</v>
      </c>
      <c r="D750" t="s">
        <v>151</v>
      </c>
      <c r="E750" s="4">
        <v>45.744999999999997</v>
      </c>
      <c r="F750" s="4">
        <v>567471.36899999995</v>
      </c>
      <c r="G750" s="4">
        <v>567517.11399999994</v>
      </c>
      <c r="H750" s="5">
        <f>4115 / 86400</f>
        <v>4.7627314814814817E-2</v>
      </c>
      <c r="I750" t="s">
        <v>156</v>
      </c>
      <c r="J750" t="s">
        <v>57</v>
      </c>
      <c r="K750" s="5">
        <f>11179 / 86400</f>
        <v>0.12938657407407408</v>
      </c>
      <c r="L750" s="5">
        <f>451 / 86400</f>
        <v>5.2199074074074075E-3</v>
      </c>
    </row>
    <row r="751" spans="1:12" x14ac:dyDescent="0.25">
      <c r="A751" s="3">
        <v>45698.744363425925</v>
      </c>
      <c r="B751" t="s">
        <v>151</v>
      </c>
      <c r="C751" s="3">
        <v>45698.868483796294</v>
      </c>
      <c r="D751" t="s">
        <v>23</v>
      </c>
      <c r="E751" s="4">
        <v>45.488999999999997</v>
      </c>
      <c r="F751" s="4">
        <v>567517.11399999994</v>
      </c>
      <c r="G751" s="4">
        <v>567562.603</v>
      </c>
      <c r="H751" s="5">
        <f>3738 / 86400</f>
        <v>4.3263888888888886E-2</v>
      </c>
      <c r="I751" t="s">
        <v>83</v>
      </c>
      <c r="J751" t="s">
        <v>57</v>
      </c>
      <c r="K751" s="5">
        <f>10723 / 86400</f>
        <v>0.1241087962962963</v>
      </c>
      <c r="L751" s="5">
        <f>314 / 86400</f>
        <v>3.6342592592592594E-3</v>
      </c>
    </row>
    <row r="752" spans="1:12" x14ac:dyDescent="0.25">
      <c r="A752" s="3">
        <v>45698.872118055559</v>
      </c>
      <c r="B752" t="s">
        <v>23</v>
      </c>
      <c r="C752" s="3">
        <v>45698.875185185185</v>
      </c>
      <c r="D752" t="s">
        <v>29</v>
      </c>
      <c r="E752" s="4">
        <v>0.54600000000000004</v>
      </c>
      <c r="F752" s="4">
        <v>567562.603</v>
      </c>
      <c r="G752" s="4">
        <v>567563.14899999998</v>
      </c>
      <c r="H752" s="5">
        <f>100 / 86400</f>
        <v>1.1574074074074073E-3</v>
      </c>
      <c r="I752" t="s">
        <v>140</v>
      </c>
      <c r="J752" t="s">
        <v>89</v>
      </c>
      <c r="K752" s="5">
        <f>264 / 86400</f>
        <v>3.0555555555555557E-3</v>
      </c>
      <c r="L752" s="5">
        <f>366 / 86400</f>
        <v>4.2361111111111115E-3</v>
      </c>
    </row>
    <row r="753" spans="1:12" x14ac:dyDescent="0.25">
      <c r="A753" s="3">
        <v>45698.879421296297</v>
      </c>
      <c r="B753" t="s">
        <v>29</v>
      </c>
      <c r="C753" s="3">
        <v>45698.880162037036</v>
      </c>
      <c r="D753" t="s">
        <v>29</v>
      </c>
      <c r="E753" s="4">
        <v>1.9E-2</v>
      </c>
      <c r="F753" s="4">
        <v>567563.14899999998</v>
      </c>
      <c r="G753" s="4">
        <v>567563.16799999995</v>
      </c>
      <c r="H753" s="5">
        <f>20 / 86400</f>
        <v>2.3148148148148149E-4</v>
      </c>
      <c r="I753" t="s">
        <v>125</v>
      </c>
      <c r="J753" t="s">
        <v>62</v>
      </c>
      <c r="K753" s="5">
        <f>63 / 86400</f>
        <v>7.291666666666667E-4</v>
      </c>
      <c r="L753" s="5">
        <f>10353 / 86400</f>
        <v>0.11982638888888889</v>
      </c>
    </row>
    <row r="754" spans="1:12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 spans="1:12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 spans="1:12" s="10" customFormat="1" ht="20.100000000000001" customHeight="1" x14ac:dyDescent="0.35">
      <c r="A756" s="12" t="s">
        <v>419</v>
      </c>
      <c r="B756" s="12"/>
      <c r="C756" s="12"/>
      <c r="D756" s="12"/>
      <c r="E756" s="12"/>
      <c r="F756" s="12"/>
      <c r="G756" s="12"/>
      <c r="H756" s="12"/>
      <c r="I756" s="12"/>
      <c r="J756" s="12"/>
    </row>
    <row r="757" spans="1:12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2" ht="30" x14ac:dyDescent="0.25">
      <c r="A758" s="2" t="s">
        <v>5</v>
      </c>
      <c r="B758" s="2" t="s">
        <v>6</v>
      </c>
      <c r="C758" s="2" t="s">
        <v>7</v>
      </c>
      <c r="D758" s="2" t="s">
        <v>8</v>
      </c>
      <c r="E758" s="2" t="s">
        <v>9</v>
      </c>
      <c r="F758" s="2" t="s">
        <v>10</v>
      </c>
      <c r="G758" s="2" t="s">
        <v>11</v>
      </c>
      <c r="H758" s="2" t="s">
        <v>12</v>
      </c>
      <c r="I758" s="2" t="s">
        <v>13</v>
      </c>
      <c r="J758" s="2" t="s">
        <v>14</v>
      </c>
      <c r="K758" s="2" t="s">
        <v>15</v>
      </c>
      <c r="L758" s="2" t="s">
        <v>16</v>
      </c>
    </row>
    <row r="759" spans="1:12" x14ac:dyDescent="0.25">
      <c r="A759" s="3">
        <v>45698.240671296298</v>
      </c>
      <c r="B759" t="s">
        <v>77</v>
      </c>
      <c r="C759" s="3">
        <v>45698.241226851853</v>
      </c>
      <c r="D759" t="s">
        <v>77</v>
      </c>
      <c r="E759" s="4">
        <v>2.1999999999999999E-2</v>
      </c>
      <c r="F759" s="4">
        <v>434924.48499999999</v>
      </c>
      <c r="G759" s="4">
        <v>434924.50699999998</v>
      </c>
      <c r="H759" s="5">
        <f>19 / 86400</f>
        <v>2.199074074074074E-4</v>
      </c>
      <c r="I759" t="s">
        <v>125</v>
      </c>
      <c r="J759" t="s">
        <v>132</v>
      </c>
      <c r="K759" s="5">
        <f>48 / 86400</f>
        <v>5.5555555555555556E-4</v>
      </c>
      <c r="L759" s="5">
        <f>20951 / 86400</f>
        <v>0.24248842592592593</v>
      </c>
    </row>
    <row r="760" spans="1:12" x14ac:dyDescent="0.25">
      <c r="A760" s="3">
        <v>45698.243043981478</v>
      </c>
      <c r="B760" t="s">
        <v>77</v>
      </c>
      <c r="C760" s="3">
        <v>45698.249085648145</v>
      </c>
      <c r="D760" t="s">
        <v>349</v>
      </c>
      <c r="E760" s="4">
        <v>1.238</v>
      </c>
      <c r="F760" s="4">
        <v>434924.50699999998</v>
      </c>
      <c r="G760" s="4">
        <v>434925.745</v>
      </c>
      <c r="H760" s="5">
        <f>159 / 86400</f>
        <v>1.8402777777777777E-3</v>
      </c>
      <c r="I760" t="s">
        <v>149</v>
      </c>
      <c r="J760" t="s">
        <v>138</v>
      </c>
      <c r="K760" s="5">
        <f>521 / 86400</f>
        <v>6.030092592592593E-3</v>
      </c>
      <c r="L760" s="5">
        <f>562 / 86400</f>
        <v>6.5046296296296293E-3</v>
      </c>
    </row>
    <row r="761" spans="1:12" x14ac:dyDescent="0.25">
      <c r="A761" s="3">
        <v>45698.255590277782</v>
      </c>
      <c r="B761" t="s">
        <v>349</v>
      </c>
      <c r="C761" s="3">
        <v>45698.321134259255</v>
      </c>
      <c r="D761" t="s">
        <v>137</v>
      </c>
      <c r="E761" s="4">
        <v>37.045000000000002</v>
      </c>
      <c r="F761" s="4">
        <v>434925.745</v>
      </c>
      <c r="G761" s="4">
        <v>434962.79</v>
      </c>
      <c r="H761" s="5">
        <f>1099 / 86400</f>
        <v>1.2719907407407407E-2</v>
      </c>
      <c r="I761" t="s">
        <v>155</v>
      </c>
      <c r="J761" t="s">
        <v>36</v>
      </c>
      <c r="K761" s="5">
        <f>5663 / 86400</f>
        <v>6.5543981481481481E-2</v>
      </c>
      <c r="L761" s="5">
        <f>1724 / 86400</f>
        <v>1.9953703703703703E-2</v>
      </c>
    </row>
    <row r="762" spans="1:12" x14ac:dyDescent="0.25">
      <c r="A762" s="3">
        <v>45698.341087962966</v>
      </c>
      <c r="B762" t="s">
        <v>137</v>
      </c>
      <c r="C762" s="3">
        <v>45698.344131944439</v>
      </c>
      <c r="D762" t="s">
        <v>127</v>
      </c>
      <c r="E762" s="4">
        <v>1.248</v>
      </c>
      <c r="F762" s="4">
        <v>434962.79</v>
      </c>
      <c r="G762" s="4">
        <v>434964.038</v>
      </c>
      <c r="H762" s="5">
        <f>20 / 86400</f>
        <v>2.3148148148148149E-4</v>
      </c>
      <c r="I762" t="s">
        <v>149</v>
      </c>
      <c r="J762" t="s">
        <v>28</v>
      </c>
      <c r="K762" s="5">
        <f>262 / 86400</f>
        <v>3.0324074074074073E-3</v>
      </c>
      <c r="L762" s="5">
        <f>902 / 86400</f>
        <v>1.0439814814814815E-2</v>
      </c>
    </row>
    <row r="763" spans="1:12" x14ac:dyDescent="0.25">
      <c r="A763" s="3">
        <v>45698.354571759264</v>
      </c>
      <c r="B763" t="s">
        <v>127</v>
      </c>
      <c r="C763" s="3">
        <v>45698.355150462958</v>
      </c>
      <c r="D763" t="s">
        <v>127</v>
      </c>
      <c r="E763" s="4">
        <v>2.1999999999999999E-2</v>
      </c>
      <c r="F763" s="4">
        <v>434964.038</v>
      </c>
      <c r="G763" s="4">
        <v>434964.06</v>
      </c>
      <c r="H763" s="5">
        <f>19 / 86400</f>
        <v>2.199074074074074E-4</v>
      </c>
      <c r="I763" t="s">
        <v>89</v>
      </c>
      <c r="J763" t="s">
        <v>132</v>
      </c>
      <c r="K763" s="5">
        <f>50 / 86400</f>
        <v>5.7870370370370367E-4</v>
      </c>
      <c r="L763" s="5">
        <f>440 / 86400</f>
        <v>5.092592592592593E-3</v>
      </c>
    </row>
    <row r="764" spans="1:12" x14ac:dyDescent="0.25">
      <c r="A764" s="3">
        <v>45698.360243055555</v>
      </c>
      <c r="B764" t="s">
        <v>127</v>
      </c>
      <c r="C764" s="3">
        <v>45698.361354166671</v>
      </c>
      <c r="D764" t="s">
        <v>127</v>
      </c>
      <c r="E764" s="4">
        <v>0</v>
      </c>
      <c r="F764" s="4">
        <v>434964.06</v>
      </c>
      <c r="G764" s="4">
        <v>434964.06</v>
      </c>
      <c r="H764" s="5">
        <f>79 / 86400</f>
        <v>9.1435185185185185E-4</v>
      </c>
      <c r="I764" t="s">
        <v>126</v>
      </c>
      <c r="J764" t="s">
        <v>126</v>
      </c>
      <c r="K764" s="5">
        <f>96 / 86400</f>
        <v>1.1111111111111111E-3</v>
      </c>
      <c r="L764" s="5">
        <f>104 / 86400</f>
        <v>1.2037037037037038E-3</v>
      </c>
    </row>
    <row r="765" spans="1:12" x14ac:dyDescent="0.25">
      <c r="A765" s="3">
        <v>45698.362557870365</v>
      </c>
      <c r="B765" t="s">
        <v>127</v>
      </c>
      <c r="C765" s="3">
        <v>45698.605092592596</v>
      </c>
      <c r="D765" t="s">
        <v>123</v>
      </c>
      <c r="E765" s="4">
        <v>100.251</v>
      </c>
      <c r="F765" s="4">
        <v>434964.06</v>
      </c>
      <c r="G765" s="4">
        <v>435064.31099999999</v>
      </c>
      <c r="H765" s="5">
        <f>6380 / 86400</f>
        <v>7.3842592592592599E-2</v>
      </c>
      <c r="I765" t="s">
        <v>38</v>
      </c>
      <c r="J765" t="s">
        <v>28</v>
      </c>
      <c r="K765" s="5">
        <f>20954 / 86400</f>
        <v>0.24252314814814815</v>
      </c>
      <c r="L765" s="5">
        <f>9025 / 86400</f>
        <v>0.10445601851851852</v>
      </c>
    </row>
    <row r="766" spans="1:12" x14ac:dyDescent="0.25">
      <c r="A766" s="3">
        <v>45698.709548611107</v>
      </c>
      <c r="B766" t="s">
        <v>123</v>
      </c>
      <c r="C766" s="3">
        <v>45698.713692129633</v>
      </c>
      <c r="D766" t="s">
        <v>123</v>
      </c>
      <c r="E766" s="4">
        <v>0.13900000000000001</v>
      </c>
      <c r="F766" s="4">
        <v>435064.31099999999</v>
      </c>
      <c r="G766" s="4">
        <v>435064.45</v>
      </c>
      <c r="H766" s="5">
        <f>279 / 86400</f>
        <v>3.2291666666666666E-3</v>
      </c>
      <c r="I766" t="s">
        <v>31</v>
      </c>
      <c r="J766" t="s">
        <v>62</v>
      </c>
      <c r="K766" s="5">
        <f>358 / 86400</f>
        <v>4.1435185185185186E-3</v>
      </c>
      <c r="L766" s="5">
        <f>546 / 86400</f>
        <v>6.3194444444444444E-3</v>
      </c>
    </row>
    <row r="767" spans="1:12" x14ac:dyDescent="0.25">
      <c r="A767" s="3">
        <v>45698.720011574071</v>
      </c>
      <c r="B767" t="s">
        <v>123</v>
      </c>
      <c r="C767" s="3">
        <v>45698.720613425925</v>
      </c>
      <c r="D767" t="s">
        <v>123</v>
      </c>
      <c r="E767" s="4">
        <v>7.0000000000000001E-3</v>
      </c>
      <c r="F767" s="4">
        <v>435064.45</v>
      </c>
      <c r="G767" s="4">
        <v>435064.45699999999</v>
      </c>
      <c r="H767" s="5">
        <f>20 / 86400</f>
        <v>2.3148148148148149E-4</v>
      </c>
      <c r="I767" t="s">
        <v>62</v>
      </c>
      <c r="J767" t="s">
        <v>126</v>
      </c>
      <c r="K767" s="5">
        <f>52 / 86400</f>
        <v>6.018518518518519E-4</v>
      </c>
      <c r="L767" s="5">
        <f>2085 / 86400</f>
        <v>2.4131944444444445E-2</v>
      </c>
    </row>
    <row r="768" spans="1:12" x14ac:dyDescent="0.25">
      <c r="A768" s="3">
        <v>45698.744745370372</v>
      </c>
      <c r="B768" t="s">
        <v>123</v>
      </c>
      <c r="C768" s="3">
        <v>45698.744791666672</v>
      </c>
      <c r="D768" t="s">
        <v>123</v>
      </c>
      <c r="E768" s="4">
        <v>0</v>
      </c>
      <c r="F768" s="4">
        <v>435064.45699999999</v>
      </c>
      <c r="G768" s="4">
        <v>435064.45699999999</v>
      </c>
      <c r="H768" s="5">
        <f>0 / 86400</f>
        <v>0</v>
      </c>
      <c r="I768" t="s">
        <v>126</v>
      </c>
      <c r="J768" t="s">
        <v>126</v>
      </c>
      <c r="K768" s="5">
        <f>3 / 86400</f>
        <v>3.4722222222222222E-5</v>
      </c>
      <c r="L768" s="5">
        <f>9 / 86400</f>
        <v>1.0416666666666667E-4</v>
      </c>
    </row>
    <row r="769" spans="1:12" x14ac:dyDescent="0.25">
      <c r="A769" s="3">
        <v>45698.744895833333</v>
      </c>
      <c r="B769" t="s">
        <v>123</v>
      </c>
      <c r="C769" s="3">
        <v>45698.745740740742</v>
      </c>
      <c r="D769" t="s">
        <v>123</v>
      </c>
      <c r="E769" s="4">
        <v>3.5000000000000003E-2</v>
      </c>
      <c r="F769" s="4">
        <v>435064.45699999999</v>
      </c>
      <c r="G769" s="4">
        <v>435064.49200000003</v>
      </c>
      <c r="H769" s="5">
        <f>47 / 86400</f>
        <v>5.4398148148148144E-4</v>
      </c>
      <c r="I769" t="s">
        <v>138</v>
      </c>
      <c r="J769" t="s">
        <v>132</v>
      </c>
      <c r="K769" s="5">
        <f>73 / 86400</f>
        <v>8.4490740740740739E-4</v>
      </c>
      <c r="L769" s="5">
        <f>520 / 86400</f>
        <v>6.0185185185185185E-3</v>
      </c>
    </row>
    <row r="770" spans="1:12" x14ac:dyDescent="0.25">
      <c r="A770" s="3">
        <v>45698.751759259263</v>
      </c>
      <c r="B770" t="s">
        <v>123</v>
      </c>
      <c r="C770" s="3">
        <v>45698.90623842593</v>
      </c>
      <c r="D770" t="s">
        <v>350</v>
      </c>
      <c r="E770" s="4">
        <v>63.262999999999998</v>
      </c>
      <c r="F770" s="4">
        <v>435064.49200000003</v>
      </c>
      <c r="G770" s="4">
        <v>435127.755</v>
      </c>
      <c r="H770" s="5">
        <f>3899 / 86400</f>
        <v>4.5127314814814815E-2</v>
      </c>
      <c r="I770" t="s">
        <v>71</v>
      </c>
      <c r="J770" t="s">
        <v>28</v>
      </c>
      <c r="K770" s="5">
        <f>13347 / 86400</f>
        <v>0.15447916666666667</v>
      </c>
      <c r="L770" s="5">
        <f>332 / 86400</f>
        <v>3.8425925925925928E-3</v>
      </c>
    </row>
    <row r="771" spans="1:12" x14ac:dyDescent="0.25">
      <c r="A771" s="3">
        <v>45698.910081018519</v>
      </c>
      <c r="B771" t="s">
        <v>350</v>
      </c>
      <c r="C771" s="3">
        <v>45698.910127314812</v>
      </c>
      <c r="D771" t="s">
        <v>350</v>
      </c>
      <c r="E771" s="4">
        <v>0</v>
      </c>
      <c r="F771" s="4">
        <v>435127.755</v>
      </c>
      <c r="G771" s="4">
        <v>435127.755</v>
      </c>
      <c r="H771" s="5">
        <f>0 / 86400</f>
        <v>0</v>
      </c>
      <c r="I771" t="s">
        <v>126</v>
      </c>
      <c r="J771" t="s">
        <v>126</v>
      </c>
      <c r="K771" s="5">
        <f>3 / 86400</f>
        <v>3.4722222222222222E-5</v>
      </c>
      <c r="L771" s="5">
        <f>13 / 86400</f>
        <v>1.5046296296296297E-4</v>
      </c>
    </row>
    <row r="772" spans="1:12" x14ac:dyDescent="0.25">
      <c r="A772" s="3">
        <v>45698.910277777773</v>
      </c>
      <c r="B772" t="s">
        <v>350</v>
      </c>
      <c r="C772" s="3">
        <v>45698.928483796291</v>
      </c>
      <c r="D772" t="s">
        <v>77</v>
      </c>
      <c r="E772" s="4">
        <v>3.4780000000000002</v>
      </c>
      <c r="F772" s="4">
        <v>435127.755</v>
      </c>
      <c r="G772" s="4">
        <v>435131.23300000001</v>
      </c>
      <c r="H772" s="5">
        <f>903 / 86400</f>
        <v>1.0451388888888889E-2</v>
      </c>
      <c r="I772" t="s">
        <v>203</v>
      </c>
      <c r="J772" t="s">
        <v>168</v>
      </c>
      <c r="K772" s="5">
        <f>1573 / 86400</f>
        <v>1.8206018518518517E-2</v>
      </c>
      <c r="L772" s="5">
        <f>6178 / 86400</f>
        <v>7.1504629629629626E-2</v>
      </c>
    </row>
    <row r="773" spans="1:12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 spans="1:12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 spans="1:12" s="10" customFormat="1" ht="20.100000000000001" customHeight="1" x14ac:dyDescent="0.35">
      <c r="A775" s="12" t="s">
        <v>420</v>
      </c>
      <c r="B775" s="12"/>
      <c r="C775" s="12"/>
      <c r="D775" s="12"/>
      <c r="E775" s="12"/>
      <c r="F775" s="12"/>
      <c r="G775" s="12"/>
      <c r="H775" s="12"/>
      <c r="I775" s="12"/>
      <c r="J775" s="12"/>
    </row>
    <row r="776" spans="1:12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 spans="1:12" ht="30" x14ac:dyDescent="0.25">
      <c r="A777" s="2" t="s">
        <v>5</v>
      </c>
      <c r="B777" s="2" t="s">
        <v>6</v>
      </c>
      <c r="C777" s="2" t="s">
        <v>7</v>
      </c>
      <c r="D777" s="2" t="s">
        <v>8</v>
      </c>
      <c r="E777" s="2" t="s">
        <v>9</v>
      </c>
      <c r="F777" s="2" t="s">
        <v>10</v>
      </c>
      <c r="G777" s="2" t="s">
        <v>11</v>
      </c>
      <c r="H777" s="2" t="s">
        <v>12</v>
      </c>
      <c r="I777" s="2" t="s">
        <v>13</v>
      </c>
      <c r="J777" s="2" t="s">
        <v>14</v>
      </c>
      <c r="K777" s="2" t="s">
        <v>15</v>
      </c>
      <c r="L777" s="2" t="s">
        <v>16</v>
      </c>
    </row>
    <row r="778" spans="1:12" x14ac:dyDescent="0.25">
      <c r="A778" s="3">
        <v>45698.244016203702</v>
      </c>
      <c r="B778" t="s">
        <v>49</v>
      </c>
      <c r="C778" s="3">
        <v>45698.247037037036</v>
      </c>
      <c r="D778" t="s">
        <v>321</v>
      </c>
      <c r="E778" s="4">
        <v>0.189</v>
      </c>
      <c r="F778" s="4">
        <v>514802.21500000003</v>
      </c>
      <c r="G778" s="4">
        <v>514802.40399999998</v>
      </c>
      <c r="H778" s="5">
        <f>120 / 86400</f>
        <v>1.3888888888888889E-3</v>
      </c>
      <c r="I778" t="s">
        <v>138</v>
      </c>
      <c r="J778" t="s">
        <v>169</v>
      </c>
      <c r="K778" s="5">
        <f>261 / 86400</f>
        <v>3.0208333333333333E-3</v>
      </c>
      <c r="L778" s="5">
        <f>21086 / 86400</f>
        <v>0.24405092592592592</v>
      </c>
    </row>
    <row r="779" spans="1:12" x14ac:dyDescent="0.25">
      <c r="A779" s="3">
        <v>45698.247071759259</v>
      </c>
      <c r="B779" t="s">
        <v>321</v>
      </c>
      <c r="C779" s="3">
        <v>45698.247962962967</v>
      </c>
      <c r="D779" t="s">
        <v>127</v>
      </c>
      <c r="E779" s="4">
        <v>0.254</v>
      </c>
      <c r="F779" s="4">
        <v>514802.40899999999</v>
      </c>
      <c r="G779" s="4">
        <v>514802.663</v>
      </c>
      <c r="H779" s="5">
        <f t="shared" ref="H779:H786" si="5">0 / 86400</f>
        <v>0</v>
      </c>
      <c r="I779" t="s">
        <v>140</v>
      </c>
      <c r="J779" t="s">
        <v>102</v>
      </c>
      <c r="K779" s="5">
        <f>77 / 86400</f>
        <v>8.9120370370370373E-4</v>
      </c>
      <c r="L779" s="5">
        <f>53 / 86400</f>
        <v>6.134259259259259E-4</v>
      </c>
    </row>
    <row r="780" spans="1:12" x14ac:dyDescent="0.25">
      <c r="A780" s="3">
        <v>45698.248576388884</v>
      </c>
      <c r="B780" t="s">
        <v>127</v>
      </c>
      <c r="C780" s="3">
        <v>45698.249444444446</v>
      </c>
      <c r="D780" t="s">
        <v>139</v>
      </c>
      <c r="E780" s="4">
        <v>0.35199999999999998</v>
      </c>
      <c r="F780" s="4">
        <v>514802.66800000001</v>
      </c>
      <c r="G780" s="4">
        <v>514803.02</v>
      </c>
      <c r="H780" s="5">
        <f t="shared" si="5"/>
        <v>0</v>
      </c>
      <c r="I780" t="s">
        <v>171</v>
      </c>
      <c r="J780" t="s">
        <v>28</v>
      </c>
      <c r="K780" s="5">
        <f>75 / 86400</f>
        <v>8.6805555555555551E-4</v>
      </c>
      <c r="L780" s="5">
        <f>16 / 86400</f>
        <v>1.8518518518518518E-4</v>
      </c>
    </row>
    <row r="781" spans="1:12" x14ac:dyDescent="0.25">
      <c r="A781" s="3">
        <v>45698.24962962963</v>
      </c>
      <c r="B781" t="s">
        <v>139</v>
      </c>
      <c r="C781" s="3">
        <v>45698.250601851847</v>
      </c>
      <c r="D781" t="s">
        <v>351</v>
      </c>
      <c r="E781" s="4">
        <v>0.34499999999999997</v>
      </c>
      <c r="F781" s="4">
        <v>514803.02399999998</v>
      </c>
      <c r="G781" s="4">
        <v>514803.36900000001</v>
      </c>
      <c r="H781" s="5">
        <f t="shared" si="5"/>
        <v>0</v>
      </c>
      <c r="I781" t="s">
        <v>206</v>
      </c>
      <c r="J781" t="s">
        <v>57</v>
      </c>
      <c r="K781" s="5">
        <f>84 / 86400</f>
        <v>9.7222222222222219E-4</v>
      </c>
      <c r="L781" s="5">
        <f>8 / 86400</f>
        <v>9.2592592592592588E-5</v>
      </c>
    </row>
    <row r="782" spans="1:12" x14ac:dyDescent="0.25">
      <c r="A782" s="3">
        <v>45698.250694444447</v>
      </c>
      <c r="B782" t="s">
        <v>351</v>
      </c>
      <c r="C782" s="3">
        <v>45698.250868055555</v>
      </c>
      <c r="D782" t="s">
        <v>351</v>
      </c>
      <c r="E782" s="4">
        <v>8.3000000000000004E-2</v>
      </c>
      <c r="F782" s="4">
        <v>514803.37400000001</v>
      </c>
      <c r="G782" s="4">
        <v>514803.45699999999</v>
      </c>
      <c r="H782" s="5">
        <f t="shared" si="5"/>
        <v>0</v>
      </c>
      <c r="I782" t="s">
        <v>147</v>
      </c>
      <c r="J782" t="s">
        <v>22</v>
      </c>
      <c r="K782" s="5">
        <f>15 / 86400</f>
        <v>1.7361111111111112E-4</v>
      </c>
      <c r="L782" s="5">
        <f>6 / 86400</f>
        <v>6.9444444444444444E-5</v>
      </c>
    </row>
    <row r="783" spans="1:12" x14ac:dyDescent="0.25">
      <c r="A783" s="3">
        <v>45698.250937500001</v>
      </c>
      <c r="B783" t="s">
        <v>352</v>
      </c>
      <c r="C783" s="3">
        <v>45698.251041666663</v>
      </c>
      <c r="D783" t="s">
        <v>352</v>
      </c>
      <c r="E783" s="4">
        <v>2.5000000000000001E-2</v>
      </c>
      <c r="F783" s="4">
        <v>514803.45699999999</v>
      </c>
      <c r="G783" s="4">
        <v>514803.48200000002</v>
      </c>
      <c r="H783" s="5">
        <f t="shared" si="5"/>
        <v>0</v>
      </c>
      <c r="I783" t="s">
        <v>196</v>
      </c>
      <c r="J783" t="s">
        <v>129</v>
      </c>
      <c r="K783" s="5">
        <f>9 / 86400</f>
        <v>1.0416666666666667E-4</v>
      </c>
      <c r="L783" s="5">
        <f>3 / 86400</f>
        <v>3.4722222222222222E-5</v>
      </c>
    </row>
    <row r="784" spans="1:12" x14ac:dyDescent="0.25">
      <c r="A784" s="3">
        <v>45698.251076388886</v>
      </c>
      <c r="B784" t="s">
        <v>352</v>
      </c>
      <c r="C784" s="3">
        <v>45698.251886574071</v>
      </c>
      <c r="D784" t="s">
        <v>353</v>
      </c>
      <c r="E784" s="4">
        <v>0.13800000000000001</v>
      </c>
      <c r="F784" s="4">
        <v>514803.49400000001</v>
      </c>
      <c r="G784" s="4">
        <v>514803.63199999998</v>
      </c>
      <c r="H784" s="5">
        <f t="shared" si="5"/>
        <v>0</v>
      </c>
      <c r="I784" t="s">
        <v>200</v>
      </c>
      <c r="J784" t="s">
        <v>89</v>
      </c>
      <c r="K784" s="5">
        <f>70 / 86400</f>
        <v>8.1018518518518516E-4</v>
      </c>
      <c r="L784" s="5">
        <f>5 / 86400</f>
        <v>5.7870370370370373E-5</v>
      </c>
    </row>
    <row r="785" spans="1:12" x14ac:dyDescent="0.25">
      <c r="A785" s="3">
        <v>45698.251944444448</v>
      </c>
      <c r="B785" t="s">
        <v>351</v>
      </c>
      <c r="C785" s="3">
        <v>45698.253171296295</v>
      </c>
      <c r="D785" t="s">
        <v>351</v>
      </c>
      <c r="E785" s="4">
        <v>0.79200000000000004</v>
      </c>
      <c r="F785" s="4">
        <v>514803.66200000001</v>
      </c>
      <c r="G785" s="4">
        <v>514804.45400000003</v>
      </c>
      <c r="H785" s="5">
        <f t="shared" si="5"/>
        <v>0</v>
      </c>
      <c r="I785" t="s">
        <v>148</v>
      </c>
      <c r="J785" t="s">
        <v>185</v>
      </c>
      <c r="K785" s="5">
        <f>106 / 86400</f>
        <v>1.2268518518518518E-3</v>
      </c>
      <c r="L785" s="5">
        <f>15 / 86400</f>
        <v>1.7361111111111112E-4</v>
      </c>
    </row>
    <row r="786" spans="1:12" x14ac:dyDescent="0.25">
      <c r="A786" s="3">
        <v>45698.253344907411</v>
      </c>
      <c r="B786" t="s">
        <v>351</v>
      </c>
      <c r="C786" s="3">
        <v>45698.253912037035</v>
      </c>
      <c r="D786" t="s">
        <v>354</v>
      </c>
      <c r="E786" s="4">
        <v>0.28100000000000003</v>
      </c>
      <c r="F786" s="4">
        <v>514804.46399999998</v>
      </c>
      <c r="G786" s="4">
        <v>514804.745</v>
      </c>
      <c r="H786" s="5">
        <f t="shared" si="5"/>
        <v>0</v>
      </c>
      <c r="I786" t="s">
        <v>47</v>
      </c>
      <c r="J786" t="s">
        <v>136</v>
      </c>
      <c r="K786" s="5">
        <f>49 / 86400</f>
        <v>5.6712962962962967E-4</v>
      </c>
      <c r="L786" s="5">
        <f>17 / 86400</f>
        <v>1.9675925925925926E-4</v>
      </c>
    </row>
    <row r="787" spans="1:12" x14ac:dyDescent="0.25">
      <c r="A787" s="3">
        <v>45698.254108796296</v>
      </c>
      <c r="B787" t="s">
        <v>354</v>
      </c>
      <c r="C787" s="3">
        <v>45698.342245370368</v>
      </c>
      <c r="D787" t="s">
        <v>355</v>
      </c>
      <c r="E787" s="4">
        <v>43.494999999999997</v>
      </c>
      <c r="F787" s="4">
        <v>514804.745</v>
      </c>
      <c r="G787" s="4">
        <v>514848.24</v>
      </c>
      <c r="H787" s="5">
        <f>1801 / 86400</f>
        <v>2.0844907407407406E-2</v>
      </c>
      <c r="I787" t="s">
        <v>78</v>
      </c>
      <c r="J787" t="s">
        <v>136</v>
      </c>
      <c r="K787" s="5">
        <f>7615 / 86400</f>
        <v>8.8136574074074076E-2</v>
      </c>
      <c r="L787" s="5">
        <f>2 / 86400</f>
        <v>2.3148148148148147E-5</v>
      </c>
    </row>
    <row r="788" spans="1:12" x14ac:dyDescent="0.25">
      <c r="A788" s="3">
        <v>45698.342268518521</v>
      </c>
      <c r="B788" t="s">
        <v>355</v>
      </c>
      <c r="C788" s="3">
        <v>45698.345219907409</v>
      </c>
      <c r="D788" t="s">
        <v>270</v>
      </c>
      <c r="E788" s="4">
        <v>0.28799999999999998</v>
      </c>
      <c r="F788" s="4">
        <v>514848.24</v>
      </c>
      <c r="G788" s="4">
        <v>514848.52799999999</v>
      </c>
      <c r="H788" s="5">
        <f>134 / 86400</f>
        <v>1.5509259259259259E-3</v>
      </c>
      <c r="I788" t="s">
        <v>33</v>
      </c>
      <c r="J788" t="s">
        <v>43</v>
      </c>
      <c r="K788" s="5">
        <f>255 / 86400</f>
        <v>2.9513888888888888E-3</v>
      </c>
      <c r="L788" s="5">
        <f>3 / 86400</f>
        <v>3.4722222222222222E-5</v>
      </c>
    </row>
    <row r="789" spans="1:12" x14ac:dyDescent="0.25">
      <c r="A789" s="3">
        <v>45698.345254629632</v>
      </c>
      <c r="B789" t="s">
        <v>270</v>
      </c>
      <c r="C789" s="3">
        <v>45698.460104166668</v>
      </c>
      <c r="D789" t="s">
        <v>95</v>
      </c>
      <c r="E789" s="4">
        <v>32.093000000000004</v>
      </c>
      <c r="F789" s="4">
        <v>514848.54599999997</v>
      </c>
      <c r="G789" s="4">
        <v>514880.63900000002</v>
      </c>
      <c r="H789" s="5">
        <f>4039 / 86400</f>
        <v>4.6747685185185184E-2</v>
      </c>
      <c r="I789" t="s">
        <v>188</v>
      </c>
      <c r="J789" t="s">
        <v>102</v>
      </c>
      <c r="K789" s="5">
        <f>9923 / 86400</f>
        <v>0.11484953703703704</v>
      </c>
      <c r="L789" s="5">
        <f>30 / 86400</f>
        <v>3.4722222222222224E-4</v>
      </c>
    </row>
    <row r="790" spans="1:12" x14ac:dyDescent="0.25">
      <c r="A790" s="3">
        <v>45698.460451388892</v>
      </c>
      <c r="B790" t="s">
        <v>95</v>
      </c>
      <c r="C790" s="3">
        <v>45698.492986111116</v>
      </c>
      <c r="D790" t="s">
        <v>115</v>
      </c>
      <c r="E790" s="4">
        <v>22.658000000000001</v>
      </c>
      <c r="F790" s="4">
        <v>514880.81900000002</v>
      </c>
      <c r="G790" s="4">
        <v>514903.47700000001</v>
      </c>
      <c r="H790" s="5">
        <f>810 / 86400</f>
        <v>9.3749999999999997E-3</v>
      </c>
      <c r="I790" t="s">
        <v>156</v>
      </c>
      <c r="J790" t="s">
        <v>193</v>
      </c>
      <c r="K790" s="5">
        <f>2811 / 86400</f>
        <v>3.2534722222222222E-2</v>
      </c>
      <c r="L790" s="5">
        <f>30 / 86400</f>
        <v>3.4722222222222224E-4</v>
      </c>
    </row>
    <row r="791" spans="1:12" x14ac:dyDescent="0.25">
      <c r="A791" s="3">
        <v>45698.493333333332</v>
      </c>
      <c r="B791" t="s">
        <v>115</v>
      </c>
      <c r="C791" s="3">
        <v>45698.509432870371</v>
      </c>
      <c r="D791" t="s">
        <v>137</v>
      </c>
      <c r="E791" s="4">
        <v>7.3479999999999999</v>
      </c>
      <c r="F791" s="4">
        <v>514903.63799999998</v>
      </c>
      <c r="G791" s="4">
        <v>514910.98599999998</v>
      </c>
      <c r="H791" s="5">
        <f>90 / 86400</f>
        <v>1.0416666666666667E-3</v>
      </c>
      <c r="I791" t="s">
        <v>234</v>
      </c>
      <c r="J791" t="s">
        <v>33</v>
      </c>
      <c r="K791" s="5">
        <f>1391 / 86400</f>
        <v>1.6099537037037037E-2</v>
      </c>
      <c r="L791" s="5">
        <f>62 / 86400</f>
        <v>7.1759259259259259E-4</v>
      </c>
    </row>
    <row r="792" spans="1:12" x14ac:dyDescent="0.25">
      <c r="A792" s="3">
        <v>45698.510150462964</v>
      </c>
      <c r="B792" t="s">
        <v>137</v>
      </c>
      <c r="C792" s="3">
        <v>45698.522997685184</v>
      </c>
      <c r="D792" t="s">
        <v>164</v>
      </c>
      <c r="E792" s="4">
        <v>0.61599999999999999</v>
      </c>
      <c r="F792" s="4">
        <v>514910.98599999998</v>
      </c>
      <c r="G792" s="4">
        <v>514911.60200000001</v>
      </c>
      <c r="H792" s="5">
        <f>841 / 86400</f>
        <v>9.7337962962962959E-3</v>
      </c>
      <c r="I792" t="s">
        <v>19</v>
      </c>
      <c r="J792" t="s">
        <v>132</v>
      </c>
      <c r="K792" s="5">
        <f>1110 / 86400</f>
        <v>1.2847222222222222E-2</v>
      </c>
      <c r="L792" s="5">
        <f>1960 / 86400</f>
        <v>2.2685185185185187E-2</v>
      </c>
    </row>
    <row r="793" spans="1:12" x14ac:dyDescent="0.25">
      <c r="A793" s="3">
        <v>45698.545682870375</v>
      </c>
      <c r="B793" t="s">
        <v>164</v>
      </c>
      <c r="C793" s="3">
        <v>45698.569236111114</v>
      </c>
      <c r="D793" t="s">
        <v>242</v>
      </c>
      <c r="E793" s="4">
        <v>7.2539999999999996</v>
      </c>
      <c r="F793" s="4">
        <v>514911.60200000001</v>
      </c>
      <c r="G793" s="4">
        <v>514918.85600000003</v>
      </c>
      <c r="H793" s="5">
        <f>812 / 86400</f>
        <v>9.3981481481481485E-3</v>
      </c>
      <c r="I793" t="s">
        <v>117</v>
      </c>
      <c r="J793" t="s">
        <v>97</v>
      </c>
      <c r="K793" s="5">
        <f>2035 / 86400</f>
        <v>2.3553240740740739E-2</v>
      </c>
      <c r="L793" s="5">
        <f>30 / 86400</f>
        <v>3.4722222222222224E-4</v>
      </c>
    </row>
    <row r="794" spans="1:12" x14ac:dyDescent="0.25">
      <c r="A794" s="3">
        <v>45698.56958333333</v>
      </c>
      <c r="B794" t="s">
        <v>356</v>
      </c>
      <c r="C794" s="3">
        <v>45698.604143518518</v>
      </c>
      <c r="D794" t="s">
        <v>95</v>
      </c>
      <c r="E794" s="4">
        <v>22.408000000000001</v>
      </c>
      <c r="F794" s="4">
        <v>514919.11099999998</v>
      </c>
      <c r="G794" s="4">
        <v>514941.51899999997</v>
      </c>
      <c r="H794" s="5">
        <f>840 / 86400</f>
        <v>9.7222222222222224E-3</v>
      </c>
      <c r="I794" t="s">
        <v>78</v>
      </c>
      <c r="J794" t="s">
        <v>185</v>
      </c>
      <c r="K794" s="5">
        <f>2986 / 86400</f>
        <v>3.4560185185185187E-2</v>
      </c>
      <c r="L794" s="5">
        <f>30 / 86400</f>
        <v>3.4722222222222224E-4</v>
      </c>
    </row>
    <row r="795" spans="1:12" x14ac:dyDescent="0.25">
      <c r="A795" s="3">
        <v>45698.604490740741</v>
      </c>
      <c r="B795" t="s">
        <v>249</v>
      </c>
      <c r="C795" s="3">
        <v>45698.607268518521</v>
      </c>
      <c r="D795" t="s">
        <v>69</v>
      </c>
      <c r="E795" s="4">
        <v>1.0629999999999999</v>
      </c>
      <c r="F795" s="4">
        <v>514941.842</v>
      </c>
      <c r="G795" s="4">
        <v>514942.90500000003</v>
      </c>
      <c r="H795" s="5">
        <f>30 / 86400</f>
        <v>3.4722222222222224E-4</v>
      </c>
      <c r="I795" t="s">
        <v>149</v>
      </c>
      <c r="J795" t="s">
        <v>19</v>
      </c>
      <c r="K795" s="5">
        <f>240 / 86400</f>
        <v>2.7777777777777779E-3</v>
      </c>
      <c r="L795" s="5">
        <f>30 / 86400</f>
        <v>3.4722222222222224E-4</v>
      </c>
    </row>
    <row r="796" spans="1:12" x14ac:dyDescent="0.25">
      <c r="A796" s="3">
        <v>45698.607615740737</v>
      </c>
      <c r="B796" t="s">
        <v>209</v>
      </c>
      <c r="C796" s="3">
        <v>45698.624965277777</v>
      </c>
      <c r="D796" t="s">
        <v>179</v>
      </c>
      <c r="E796" s="4">
        <v>5.4720000000000004</v>
      </c>
      <c r="F796" s="4">
        <v>514943.01699999999</v>
      </c>
      <c r="G796" s="4">
        <v>514948.489</v>
      </c>
      <c r="H796" s="5">
        <f>689 / 86400</f>
        <v>7.9745370370370369E-3</v>
      </c>
      <c r="I796" t="s">
        <v>208</v>
      </c>
      <c r="J796" t="s">
        <v>97</v>
      </c>
      <c r="K796" s="5">
        <f>1499 / 86400</f>
        <v>1.7349537037037038E-2</v>
      </c>
      <c r="L796" s="5">
        <f>30 / 86400</f>
        <v>3.4722222222222224E-4</v>
      </c>
    </row>
    <row r="797" spans="1:12" x14ac:dyDescent="0.25">
      <c r="A797" s="3">
        <v>45698.6253125</v>
      </c>
      <c r="B797" t="s">
        <v>179</v>
      </c>
      <c r="C797" s="3">
        <v>45698.656493055554</v>
      </c>
      <c r="D797" t="s">
        <v>110</v>
      </c>
      <c r="E797" s="4">
        <v>10.888</v>
      </c>
      <c r="F797" s="4">
        <v>514948.82199999999</v>
      </c>
      <c r="G797" s="4">
        <v>514959.71</v>
      </c>
      <c r="H797" s="5">
        <f>778 / 86400</f>
        <v>9.0046296296296298E-3</v>
      </c>
      <c r="I797" t="s">
        <v>205</v>
      </c>
      <c r="J797" t="s">
        <v>57</v>
      </c>
      <c r="K797" s="5">
        <f>2694 / 86400</f>
        <v>3.1180555555555555E-2</v>
      </c>
      <c r="L797" s="5">
        <f>8 / 86400</f>
        <v>9.2592592592592588E-5</v>
      </c>
    </row>
    <row r="798" spans="1:12" x14ac:dyDescent="0.25">
      <c r="A798" s="3">
        <v>45698.656585648147</v>
      </c>
      <c r="B798" t="s">
        <v>110</v>
      </c>
      <c r="C798" s="3">
        <v>45698.689201388886</v>
      </c>
      <c r="D798" t="s">
        <v>357</v>
      </c>
      <c r="E798" s="4">
        <v>6.657</v>
      </c>
      <c r="F798" s="4">
        <v>514959.77600000001</v>
      </c>
      <c r="G798" s="4">
        <v>514966.43300000002</v>
      </c>
      <c r="H798" s="5">
        <f>1410 / 86400</f>
        <v>1.6319444444444445E-2</v>
      </c>
      <c r="I798" t="s">
        <v>145</v>
      </c>
      <c r="J798" t="s">
        <v>138</v>
      </c>
      <c r="K798" s="5">
        <f>2818 / 86400</f>
        <v>3.2615740740740744E-2</v>
      </c>
      <c r="L798" s="5">
        <f>9 / 86400</f>
        <v>1.0416666666666667E-4</v>
      </c>
    </row>
    <row r="799" spans="1:12" x14ac:dyDescent="0.25">
      <c r="A799" s="3">
        <v>45698.689305555556</v>
      </c>
      <c r="B799" t="s">
        <v>296</v>
      </c>
      <c r="C799" s="3">
        <v>45698.689375000002</v>
      </c>
      <c r="D799" t="s">
        <v>296</v>
      </c>
      <c r="E799" s="4">
        <v>2.1999999999999999E-2</v>
      </c>
      <c r="F799" s="4">
        <v>514966.47600000002</v>
      </c>
      <c r="G799" s="4">
        <v>514966.49800000002</v>
      </c>
      <c r="H799" s="5">
        <f>0 / 86400</f>
        <v>0</v>
      </c>
      <c r="I799" t="s">
        <v>36</v>
      </c>
      <c r="J799" t="s">
        <v>97</v>
      </c>
      <c r="K799" s="5">
        <f>6 / 86400</f>
        <v>6.9444444444444444E-5</v>
      </c>
      <c r="L799" s="5">
        <f>4 / 86400</f>
        <v>4.6296296296296294E-5</v>
      </c>
    </row>
    <row r="800" spans="1:12" x14ac:dyDescent="0.25">
      <c r="A800" s="3">
        <v>45698.689421296294</v>
      </c>
      <c r="B800" t="s">
        <v>296</v>
      </c>
      <c r="C800" s="3">
        <v>45698.808495370366</v>
      </c>
      <c r="D800" t="s">
        <v>123</v>
      </c>
      <c r="E800" s="4">
        <v>43.457000000000001</v>
      </c>
      <c r="F800" s="4">
        <v>514966.50099999999</v>
      </c>
      <c r="G800" s="4">
        <v>515009.95799999998</v>
      </c>
      <c r="H800" s="5">
        <f>3120 / 86400</f>
        <v>3.6111111111111108E-2</v>
      </c>
      <c r="I800" t="s">
        <v>56</v>
      </c>
      <c r="J800" t="s">
        <v>57</v>
      </c>
      <c r="K800" s="5">
        <f>10288 / 86400</f>
        <v>0.11907407407407407</v>
      </c>
      <c r="L800" s="5">
        <f>1072 / 86400</f>
        <v>1.2407407407407407E-2</v>
      </c>
    </row>
    <row r="801" spans="1:12" x14ac:dyDescent="0.25">
      <c r="A801" s="3">
        <v>45698.820902777778</v>
      </c>
      <c r="B801" t="s">
        <v>123</v>
      </c>
      <c r="C801" s="3">
        <v>45698.825462962966</v>
      </c>
      <c r="D801" t="s">
        <v>49</v>
      </c>
      <c r="E801" s="4">
        <v>0.91600000000000004</v>
      </c>
      <c r="F801" s="4">
        <v>515009.95799999998</v>
      </c>
      <c r="G801" s="4">
        <v>515010.87400000001</v>
      </c>
      <c r="H801" s="5">
        <f>121 / 86400</f>
        <v>1.4004629629629629E-3</v>
      </c>
      <c r="I801" t="s">
        <v>229</v>
      </c>
      <c r="J801" t="s">
        <v>168</v>
      </c>
      <c r="K801" s="5">
        <f>394 / 86400</f>
        <v>4.5601851851851853E-3</v>
      </c>
      <c r="L801" s="5">
        <f>15079 / 86400</f>
        <v>0.17452546296296295</v>
      </c>
    </row>
    <row r="802" spans="1:12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 spans="1:12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 spans="1:12" s="10" customFormat="1" ht="20.100000000000001" customHeight="1" x14ac:dyDescent="0.35">
      <c r="A804" s="12" t="s">
        <v>421</v>
      </c>
      <c r="B804" s="12"/>
      <c r="C804" s="12"/>
      <c r="D804" s="12"/>
      <c r="E804" s="12"/>
      <c r="F804" s="12"/>
      <c r="G804" s="12"/>
      <c r="H804" s="12"/>
      <c r="I804" s="12"/>
      <c r="J804" s="12"/>
    </row>
    <row r="805" spans="1:12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 spans="1:12" ht="30" x14ac:dyDescent="0.25">
      <c r="A806" s="2" t="s">
        <v>5</v>
      </c>
      <c r="B806" s="2" t="s">
        <v>6</v>
      </c>
      <c r="C806" s="2" t="s">
        <v>7</v>
      </c>
      <c r="D806" s="2" t="s">
        <v>8</v>
      </c>
      <c r="E806" s="2" t="s">
        <v>9</v>
      </c>
      <c r="F806" s="2" t="s">
        <v>10</v>
      </c>
      <c r="G806" s="2" t="s">
        <v>11</v>
      </c>
      <c r="H806" s="2" t="s">
        <v>12</v>
      </c>
      <c r="I806" s="2" t="s">
        <v>13</v>
      </c>
      <c r="J806" s="2" t="s">
        <v>14</v>
      </c>
      <c r="K806" s="2" t="s">
        <v>15</v>
      </c>
      <c r="L806" s="2" t="s">
        <v>16</v>
      </c>
    </row>
    <row r="807" spans="1:12" x14ac:dyDescent="0.25">
      <c r="A807" s="3">
        <v>45698.220196759255</v>
      </c>
      <c r="B807" t="s">
        <v>79</v>
      </c>
      <c r="C807" s="3">
        <v>45698.765370370369</v>
      </c>
      <c r="D807" t="s">
        <v>80</v>
      </c>
      <c r="E807" s="4">
        <v>206.113</v>
      </c>
      <c r="F807" s="4">
        <v>504665.08</v>
      </c>
      <c r="G807" s="4">
        <v>504871.19300000003</v>
      </c>
      <c r="H807" s="5">
        <f>18143 / 86400</f>
        <v>0.20998842592592593</v>
      </c>
      <c r="I807" t="s">
        <v>32</v>
      </c>
      <c r="J807" t="s">
        <v>19</v>
      </c>
      <c r="K807" s="5">
        <f>47103 / 86400</f>
        <v>0.54517361111111107</v>
      </c>
      <c r="L807" s="5">
        <f>39296 / 86400</f>
        <v>0.45481481481481484</v>
      </c>
    </row>
    <row r="808" spans="1:12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 spans="1:12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 spans="1:12" s="10" customFormat="1" ht="20.100000000000001" customHeight="1" x14ac:dyDescent="0.35">
      <c r="A810" s="12" t="s">
        <v>422</v>
      </c>
      <c r="B810" s="12"/>
      <c r="C810" s="12"/>
      <c r="D810" s="12"/>
      <c r="E810" s="12"/>
      <c r="F810" s="12"/>
      <c r="G810" s="12"/>
      <c r="H810" s="12"/>
      <c r="I810" s="12"/>
      <c r="J810" s="12"/>
    </row>
    <row r="811" spans="1:12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 spans="1:12" ht="30" x14ac:dyDescent="0.25">
      <c r="A812" s="2" t="s">
        <v>5</v>
      </c>
      <c r="B812" s="2" t="s">
        <v>6</v>
      </c>
      <c r="C812" s="2" t="s">
        <v>7</v>
      </c>
      <c r="D812" s="2" t="s">
        <v>8</v>
      </c>
      <c r="E812" s="2" t="s">
        <v>9</v>
      </c>
      <c r="F812" s="2" t="s">
        <v>10</v>
      </c>
      <c r="G812" s="2" t="s">
        <v>11</v>
      </c>
      <c r="H812" s="2" t="s">
        <v>12</v>
      </c>
      <c r="I812" s="2" t="s">
        <v>13</v>
      </c>
      <c r="J812" s="2" t="s">
        <v>14</v>
      </c>
      <c r="K812" s="2" t="s">
        <v>15</v>
      </c>
      <c r="L812" s="2" t="s">
        <v>16</v>
      </c>
    </row>
    <row r="813" spans="1:12" x14ac:dyDescent="0.25">
      <c r="A813" s="3">
        <v>45698.264849537038</v>
      </c>
      <c r="B813" t="s">
        <v>81</v>
      </c>
      <c r="C813" s="3">
        <v>45698.280925925923</v>
      </c>
      <c r="D813" t="s">
        <v>137</v>
      </c>
      <c r="E813" s="4">
        <v>5.9480000000000004</v>
      </c>
      <c r="F813" s="4">
        <v>351795.364</v>
      </c>
      <c r="G813" s="4">
        <v>351801.31199999998</v>
      </c>
      <c r="H813" s="5">
        <f>360 / 86400</f>
        <v>4.1666666666666666E-3</v>
      </c>
      <c r="I813" t="s">
        <v>199</v>
      </c>
      <c r="J813" t="s">
        <v>57</v>
      </c>
      <c r="K813" s="5">
        <f>1389 / 86400</f>
        <v>1.607638888888889E-2</v>
      </c>
      <c r="L813" s="5">
        <f>23360 / 86400</f>
        <v>0.27037037037037037</v>
      </c>
    </row>
    <row r="814" spans="1:12" x14ac:dyDescent="0.25">
      <c r="A814" s="3">
        <v>45698.286446759259</v>
      </c>
      <c r="B814" t="s">
        <v>137</v>
      </c>
      <c r="C814" s="3">
        <v>45698.28974537037</v>
      </c>
      <c r="D814" t="s">
        <v>127</v>
      </c>
      <c r="E814" s="4">
        <v>1.0660000000000001</v>
      </c>
      <c r="F814" s="4">
        <v>351801.31199999998</v>
      </c>
      <c r="G814" s="4">
        <v>351802.37800000003</v>
      </c>
      <c r="H814" s="5">
        <f>79 / 86400</f>
        <v>9.1435185185185185E-4</v>
      </c>
      <c r="I814" t="s">
        <v>206</v>
      </c>
      <c r="J814" t="s">
        <v>31</v>
      </c>
      <c r="K814" s="5">
        <f>284 / 86400</f>
        <v>3.2870370370370371E-3</v>
      </c>
      <c r="L814" s="5">
        <f>688 / 86400</f>
        <v>7.9629629629629634E-3</v>
      </c>
    </row>
    <row r="815" spans="1:12" x14ac:dyDescent="0.25">
      <c r="A815" s="3">
        <v>45698.297708333332</v>
      </c>
      <c r="B815" t="s">
        <v>127</v>
      </c>
      <c r="C815" s="3">
        <v>45698.298946759256</v>
      </c>
      <c r="D815" t="s">
        <v>127</v>
      </c>
      <c r="E815" s="4">
        <v>0.39800000000000002</v>
      </c>
      <c r="F815" s="4">
        <v>351802.37800000003</v>
      </c>
      <c r="G815" s="4">
        <v>351802.77600000001</v>
      </c>
      <c r="H815" s="5">
        <f>19 / 86400</f>
        <v>2.199074074074074E-4</v>
      </c>
      <c r="I815" t="s">
        <v>211</v>
      </c>
      <c r="J815" t="s">
        <v>97</v>
      </c>
      <c r="K815" s="5">
        <f>107 / 86400</f>
        <v>1.238425925925926E-3</v>
      </c>
      <c r="L815" s="5">
        <f>21 / 86400</f>
        <v>2.4305555555555555E-4</v>
      </c>
    </row>
    <row r="816" spans="1:12" x14ac:dyDescent="0.25">
      <c r="A816" s="3">
        <v>45698.299189814818</v>
      </c>
      <c r="B816" t="s">
        <v>127</v>
      </c>
      <c r="C816" s="3">
        <v>45698.30296296296</v>
      </c>
      <c r="D816" t="s">
        <v>127</v>
      </c>
      <c r="E816" s="4">
        <v>0.66</v>
      </c>
      <c r="F816" s="4">
        <v>351802.77600000001</v>
      </c>
      <c r="G816" s="4">
        <v>351803.43599999999</v>
      </c>
      <c r="H816" s="5">
        <f>180 / 86400</f>
        <v>2.0833333333333333E-3</v>
      </c>
      <c r="I816" t="s">
        <v>158</v>
      </c>
      <c r="J816" t="s">
        <v>89</v>
      </c>
      <c r="K816" s="5">
        <f>326 / 86400</f>
        <v>3.7731481481481483E-3</v>
      </c>
      <c r="L816" s="5">
        <f>378 / 86400</f>
        <v>4.3750000000000004E-3</v>
      </c>
    </row>
    <row r="817" spans="1:12" x14ac:dyDescent="0.25">
      <c r="A817" s="3">
        <v>45698.307337962964</v>
      </c>
      <c r="B817" t="s">
        <v>127</v>
      </c>
      <c r="C817" s="3">
        <v>45698.371851851851</v>
      </c>
      <c r="D817" t="s">
        <v>358</v>
      </c>
      <c r="E817" s="4">
        <v>33.130000000000003</v>
      </c>
      <c r="F817" s="4">
        <v>351803.43599999999</v>
      </c>
      <c r="G817" s="4">
        <v>351836.56599999999</v>
      </c>
      <c r="H817" s="5">
        <f>1540 / 86400</f>
        <v>1.7824074074074076E-2</v>
      </c>
      <c r="I817" t="s">
        <v>83</v>
      </c>
      <c r="J817" t="s">
        <v>136</v>
      </c>
      <c r="K817" s="5">
        <f>5574 / 86400</f>
        <v>6.4513888888888885E-2</v>
      </c>
      <c r="L817" s="5">
        <f>54 / 86400</f>
        <v>6.2500000000000001E-4</v>
      </c>
    </row>
    <row r="818" spans="1:12" x14ac:dyDescent="0.25">
      <c r="A818" s="3">
        <v>45698.372476851851</v>
      </c>
      <c r="B818" t="s">
        <v>358</v>
      </c>
      <c r="C818" s="3">
        <v>45698.374907407408</v>
      </c>
      <c r="D818" t="s">
        <v>359</v>
      </c>
      <c r="E818" s="4">
        <v>0.53400000000000003</v>
      </c>
      <c r="F818" s="4">
        <v>351836.56599999999</v>
      </c>
      <c r="G818" s="4">
        <v>351837.1</v>
      </c>
      <c r="H818" s="5">
        <f>79 / 86400</f>
        <v>9.1435185185185185E-4</v>
      </c>
      <c r="I818" t="s">
        <v>140</v>
      </c>
      <c r="J818" t="s">
        <v>138</v>
      </c>
      <c r="K818" s="5">
        <f>209 / 86400</f>
        <v>2.4189814814814816E-3</v>
      </c>
      <c r="L818" s="5">
        <f>234 / 86400</f>
        <v>2.7083333333333334E-3</v>
      </c>
    </row>
    <row r="819" spans="1:12" x14ac:dyDescent="0.25">
      <c r="A819" s="3">
        <v>45698.377615740741</v>
      </c>
      <c r="B819" t="s">
        <v>359</v>
      </c>
      <c r="C819" s="3">
        <v>45698.387256944443</v>
      </c>
      <c r="D819" t="s">
        <v>360</v>
      </c>
      <c r="E819" s="4">
        <v>2.0779999999999998</v>
      </c>
      <c r="F819" s="4">
        <v>351837.1</v>
      </c>
      <c r="G819" s="4">
        <v>351839.17800000001</v>
      </c>
      <c r="H819" s="5">
        <f>360 / 86400</f>
        <v>4.1666666666666666E-3</v>
      </c>
      <c r="I819" t="s">
        <v>202</v>
      </c>
      <c r="J819" t="s">
        <v>138</v>
      </c>
      <c r="K819" s="5">
        <f>833 / 86400</f>
        <v>9.6412037037037039E-3</v>
      </c>
      <c r="L819" s="5">
        <f>11 / 86400</f>
        <v>1.273148148148148E-4</v>
      </c>
    </row>
    <row r="820" spans="1:12" x14ac:dyDescent="0.25">
      <c r="A820" s="3">
        <v>45698.387384259258</v>
      </c>
      <c r="B820" t="s">
        <v>360</v>
      </c>
      <c r="C820" s="3">
        <v>45698.44368055556</v>
      </c>
      <c r="D820" t="s">
        <v>115</v>
      </c>
      <c r="E820" s="4">
        <v>27.506</v>
      </c>
      <c r="F820" s="4">
        <v>351839.17800000001</v>
      </c>
      <c r="G820" s="4">
        <v>351866.68400000001</v>
      </c>
      <c r="H820" s="5">
        <f>1340 / 86400</f>
        <v>1.5509259259259259E-2</v>
      </c>
      <c r="I820" t="s">
        <v>40</v>
      </c>
      <c r="J820" t="s">
        <v>22</v>
      </c>
      <c r="K820" s="5">
        <f>4864 / 86400</f>
        <v>5.6296296296296296E-2</v>
      </c>
      <c r="L820" s="5">
        <f>113 / 86400</f>
        <v>1.3078703703703703E-3</v>
      </c>
    </row>
    <row r="821" spans="1:12" x14ac:dyDescent="0.25">
      <c r="A821" s="3">
        <v>45698.444988425923</v>
      </c>
      <c r="B821" t="s">
        <v>361</v>
      </c>
      <c r="C821" s="3">
        <v>45698.448530092588</v>
      </c>
      <c r="D821" t="s">
        <v>94</v>
      </c>
      <c r="E821" s="4">
        <v>1.9330000000000001</v>
      </c>
      <c r="F821" s="4">
        <v>351866.68400000001</v>
      </c>
      <c r="G821" s="4">
        <v>351868.61700000003</v>
      </c>
      <c r="H821" s="5">
        <f>60 / 86400</f>
        <v>6.9444444444444447E-4</v>
      </c>
      <c r="I821" t="s">
        <v>213</v>
      </c>
      <c r="J821" t="s">
        <v>47</v>
      </c>
      <c r="K821" s="5">
        <f>306 / 86400</f>
        <v>3.5416666666666665E-3</v>
      </c>
      <c r="L821" s="5">
        <f>323 / 86400</f>
        <v>3.7384259259259259E-3</v>
      </c>
    </row>
    <row r="822" spans="1:12" x14ac:dyDescent="0.25">
      <c r="A822" s="3">
        <v>45698.452268518522</v>
      </c>
      <c r="B822" t="s">
        <v>94</v>
      </c>
      <c r="C822" s="3">
        <v>45698.455775462964</v>
      </c>
      <c r="D822" t="s">
        <v>123</v>
      </c>
      <c r="E822" s="4">
        <v>1.881</v>
      </c>
      <c r="F822" s="4">
        <v>351868.61700000003</v>
      </c>
      <c r="G822" s="4">
        <v>351870.49800000002</v>
      </c>
      <c r="H822" s="5">
        <f>59 / 86400</f>
        <v>6.8287037037037036E-4</v>
      </c>
      <c r="I822" t="s">
        <v>200</v>
      </c>
      <c r="J822" t="s">
        <v>147</v>
      </c>
      <c r="K822" s="5">
        <f>302 / 86400</f>
        <v>3.4953703703703705E-3</v>
      </c>
      <c r="L822" s="5">
        <f>1473 / 86400</f>
        <v>1.7048611111111112E-2</v>
      </c>
    </row>
    <row r="823" spans="1:12" x14ac:dyDescent="0.25">
      <c r="A823" s="3">
        <v>45698.472824074073</v>
      </c>
      <c r="B823" t="s">
        <v>123</v>
      </c>
      <c r="C823" s="3">
        <v>45698.473912037036</v>
      </c>
      <c r="D823" t="s">
        <v>123</v>
      </c>
      <c r="E823" s="4">
        <v>0.11799999999999999</v>
      </c>
      <c r="F823" s="4">
        <v>351870.49800000002</v>
      </c>
      <c r="G823" s="4">
        <v>351870.61599999998</v>
      </c>
      <c r="H823" s="5">
        <f>59 / 86400</f>
        <v>6.8287037037037036E-4</v>
      </c>
      <c r="I823" t="s">
        <v>59</v>
      </c>
      <c r="J823" t="s">
        <v>125</v>
      </c>
      <c r="K823" s="5">
        <f>93 / 86400</f>
        <v>1.0763888888888889E-3</v>
      </c>
      <c r="L823" s="5">
        <f>1332 / 86400</f>
        <v>1.5416666666666667E-2</v>
      </c>
    </row>
    <row r="824" spans="1:12" x14ac:dyDescent="0.25">
      <c r="A824" s="3">
        <v>45698.489328703705</v>
      </c>
      <c r="B824" t="s">
        <v>123</v>
      </c>
      <c r="C824" s="3">
        <v>45698.489976851852</v>
      </c>
      <c r="D824" t="s">
        <v>123</v>
      </c>
      <c r="E824" s="4">
        <v>4.0000000000000001E-3</v>
      </c>
      <c r="F824" s="4">
        <v>351870.61599999998</v>
      </c>
      <c r="G824" s="4">
        <v>351870.62</v>
      </c>
      <c r="H824" s="5">
        <f>20 / 86400</f>
        <v>2.3148148148148149E-4</v>
      </c>
      <c r="I824" t="s">
        <v>132</v>
      </c>
      <c r="J824" t="s">
        <v>126</v>
      </c>
      <c r="K824" s="5">
        <f>55 / 86400</f>
        <v>6.3657407407407413E-4</v>
      </c>
      <c r="L824" s="5">
        <f>22258 / 86400</f>
        <v>0.25761574074074073</v>
      </c>
    </row>
    <row r="825" spans="1:12" x14ac:dyDescent="0.25">
      <c r="A825" s="3">
        <v>45698.747592592597</v>
      </c>
      <c r="B825" t="s">
        <v>123</v>
      </c>
      <c r="C825" s="3">
        <v>45698.750173611115</v>
      </c>
      <c r="D825" t="s">
        <v>123</v>
      </c>
      <c r="E825" s="4">
        <v>1.4E-2</v>
      </c>
      <c r="F825" s="4">
        <v>351870.62</v>
      </c>
      <c r="G825" s="4">
        <v>351870.63400000002</v>
      </c>
      <c r="H825" s="5">
        <f>200 / 86400</f>
        <v>2.3148148148148147E-3</v>
      </c>
      <c r="I825" t="s">
        <v>62</v>
      </c>
      <c r="J825" t="s">
        <v>126</v>
      </c>
      <c r="K825" s="5">
        <f>223 / 86400</f>
        <v>2.5810185185185185E-3</v>
      </c>
      <c r="L825" s="5">
        <f>262 / 86400</f>
        <v>3.0324074074074073E-3</v>
      </c>
    </row>
    <row r="826" spans="1:12" x14ac:dyDescent="0.25">
      <c r="A826" s="3">
        <v>45698.753206018519</v>
      </c>
      <c r="B826" t="s">
        <v>123</v>
      </c>
      <c r="C826" s="3">
        <v>45698.760335648149</v>
      </c>
      <c r="D826" t="s">
        <v>328</v>
      </c>
      <c r="E826" s="4">
        <v>0.86799999999999999</v>
      </c>
      <c r="F826" s="4">
        <v>351870.63400000002</v>
      </c>
      <c r="G826" s="4">
        <v>351871.50199999998</v>
      </c>
      <c r="H826" s="5">
        <f>319 / 86400</f>
        <v>3.6921296296296298E-3</v>
      </c>
      <c r="I826" t="s">
        <v>136</v>
      </c>
      <c r="J826" t="s">
        <v>125</v>
      </c>
      <c r="K826" s="5">
        <f>615 / 86400</f>
        <v>7.1180555555555554E-3</v>
      </c>
      <c r="L826" s="5">
        <f>138 / 86400</f>
        <v>1.5972222222222223E-3</v>
      </c>
    </row>
    <row r="827" spans="1:12" x14ac:dyDescent="0.25">
      <c r="A827" s="3">
        <v>45698.761932870373</v>
      </c>
      <c r="B827" t="s">
        <v>328</v>
      </c>
      <c r="C827" s="3">
        <v>45698.762060185181</v>
      </c>
      <c r="D827" t="s">
        <v>142</v>
      </c>
      <c r="E827" s="4">
        <v>3.0000000000000001E-3</v>
      </c>
      <c r="F827" s="4">
        <v>351871.50199999998</v>
      </c>
      <c r="G827" s="4">
        <v>351871.505</v>
      </c>
      <c r="H827" s="5">
        <f>0 / 86400</f>
        <v>0</v>
      </c>
      <c r="I827" t="s">
        <v>126</v>
      </c>
      <c r="J827" t="s">
        <v>62</v>
      </c>
      <c r="K827" s="5">
        <f>11 / 86400</f>
        <v>1.273148148148148E-4</v>
      </c>
      <c r="L827" s="5">
        <f>367 / 86400</f>
        <v>4.2476851851851851E-3</v>
      </c>
    </row>
    <row r="828" spans="1:12" x14ac:dyDescent="0.25">
      <c r="A828" s="3">
        <v>45698.76630787037</v>
      </c>
      <c r="B828" t="s">
        <v>142</v>
      </c>
      <c r="C828" s="3">
        <v>45698.766412037032</v>
      </c>
      <c r="D828" t="s">
        <v>142</v>
      </c>
      <c r="E828" s="4">
        <v>4.0000000000000001E-3</v>
      </c>
      <c r="F828" s="4">
        <v>351871.505</v>
      </c>
      <c r="G828" s="4">
        <v>351871.50900000002</v>
      </c>
      <c r="H828" s="5">
        <f>0 / 86400</f>
        <v>0</v>
      </c>
      <c r="I828" t="s">
        <v>125</v>
      </c>
      <c r="J828" t="s">
        <v>132</v>
      </c>
      <c r="K828" s="5">
        <f>9 / 86400</f>
        <v>1.0416666666666667E-4</v>
      </c>
      <c r="L828" s="5">
        <f>143 / 86400</f>
        <v>1.6550925925925926E-3</v>
      </c>
    </row>
    <row r="829" spans="1:12" x14ac:dyDescent="0.25">
      <c r="A829" s="3">
        <v>45698.768067129626</v>
      </c>
      <c r="B829" t="s">
        <v>142</v>
      </c>
      <c r="C829" s="3">
        <v>45698.782500000001</v>
      </c>
      <c r="D829" t="s">
        <v>316</v>
      </c>
      <c r="E829" s="4">
        <v>5.2530000000000001</v>
      </c>
      <c r="F829" s="4">
        <v>351871.50900000002</v>
      </c>
      <c r="G829" s="4">
        <v>351876.76199999999</v>
      </c>
      <c r="H829" s="5">
        <f>399 / 86400</f>
        <v>4.6180555555555558E-3</v>
      </c>
      <c r="I829" t="s">
        <v>234</v>
      </c>
      <c r="J829" t="s">
        <v>57</v>
      </c>
      <c r="K829" s="5">
        <f>1247 / 86400</f>
        <v>1.443287037037037E-2</v>
      </c>
      <c r="L829" s="5">
        <f>40 / 86400</f>
        <v>4.6296296296296298E-4</v>
      </c>
    </row>
    <row r="830" spans="1:12" x14ac:dyDescent="0.25">
      <c r="A830" s="3">
        <v>45698.782962962963</v>
      </c>
      <c r="B830" t="s">
        <v>316</v>
      </c>
      <c r="C830" s="3">
        <v>45698.783495370371</v>
      </c>
      <c r="D830" t="s">
        <v>316</v>
      </c>
      <c r="E830" s="4">
        <v>2.5999999999999999E-2</v>
      </c>
      <c r="F830" s="4">
        <v>351876.76199999999</v>
      </c>
      <c r="G830" s="4">
        <v>351876.788</v>
      </c>
      <c r="H830" s="5">
        <f>0 / 86400</f>
        <v>0</v>
      </c>
      <c r="I830" t="s">
        <v>61</v>
      </c>
      <c r="J830" t="s">
        <v>132</v>
      </c>
      <c r="K830" s="5">
        <f>46 / 86400</f>
        <v>5.3240740740740744E-4</v>
      </c>
      <c r="L830" s="5">
        <f>132 / 86400</f>
        <v>1.5277777777777779E-3</v>
      </c>
    </row>
    <row r="831" spans="1:12" x14ac:dyDescent="0.25">
      <c r="A831" s="3">
        <v>45698.78502314815</v>
      </c>
      <c r="B831" t="s">
        <v>316</v>
      </c>
      <c r="C831" s="3">
        <v>45698.788657407407</v>
      </c>
      <c r="D831" t="s">
        <v>82</v>
      </c>
      <c r="E831" s="4">
        <v>0.74199999999999999</v>
      </c>
      <c r="F831" s="4">
        <v>351876.788</v>
      </c>
      <c r="G831" s="4">
        <v>351877.53</v>
      </c>
      <c r="H831" s="5">
        <f>40 / 86400</f>
        <v>4.6296296296296298E-4</v>
      </c>
      <c r="I831" t="s">
        <v>136</v>
      </c>
      <c r="J831" t="s">
        <v>138</v>
      </c>
      <c r="K831" s="5">
        <f>314 / 86400</f>
        <v>3.6342592592592594E-3</v>
      </c>
      <c r="L831" s="5">
        <f>18259 / 86400</f>
        <v>0.21133101851851852</v>
      </c>
    </row>
    <row r="832" spans="1:12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 spans="1:12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 spans="1:12" s="10" customFormat="1" ht="20.100000000000001" customHeight="1" x14ac:dyDescent="0.35">
      <c r="A834" s="12" t="s">
        <v>423</v>
      </c>
      <c r="B834" s="12"/>
      <c r="C834" s="12"/>
      <c r="D834" s="12"/>
      <c r="E834" s="12"/>
      <c r="F834" s="12"/>
      <c r="G834" s="12"/>
      <c r="H834" s="12"/>
      <c r="I834" s="12"/>
      <c r="J834" s="12"/>
    </row>
    <row r="835" spans="1:12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 spans="1:12" ht="30" x14ac:dyDescent="0.25">
      <c r="A836" s="2" t="s">
        <v>5</v>
      </c>
      <c r="B836" s="2" t="s">
        <v>6</v>
      </c>
      <c r="C836" s="2" t="s">
        <v>7</v>
      </c>
      <c r="D836" s="2" t="s">
        <v>8</v>
      </c>
      <c r="E836" s="2" t="s">
        <v>9</v>
      </c>
      <c r="F836" s="2" t="s">
        <v>10</v>
      </c>
      <c r="G836" s="2" t="s">
        <v>11</v>
      </c>
      <c r="H836" s="2" t="s">
        <v>12</v>
      </c>
      <c r="I836" s="2" t="s">
        <v>13</v>
      </c>
      <c r="J836" s="2" t="s">
        <v>14</v>
      </c>
      <c r="K836" s="2" t="s">
        <v>15</v>
      </c>
      <c r="L836" s="2" t="s">
        <v>16</v>
      </c>
    </row>
    <row r="837" spans="1:12" x14ac:dyDescent="0.25">
      <c r="A837" s="3">
        <v>45698.229201388887</v>
      </c>
      <c r="B837" t="s">
        <v>84</v>
      </c>
      <c r="C837" s="3">
        <v>45698.229374999995</v>
      </c>
      <c r="D837" t="s">
        <v>84</v>
      </c>
      <c r="E837" s="4">
        <v>0</v>
      </c>
      <c r="F837" s="4">
        <v>410424.17300000001</v>
      </c>
      <c r="G837" s="4">
        <v>410424.17300000001</v>
      </c>
      <c r="H837" s="5">
        <f>0 / 86400</f>
        <v>0</v>
      </c>
      <c r="I837" t="s">
        <v>126</v>
      </c>
      <c r="J837" t="s">
        <v>126</v>
      </c>
      <c r="K837" s="5">
        <f>14 / 86400</f>
        <v>1.6203703703703703E-4</v>
      </c>
      <c r="L837" s="5">
        <f>19840 / 86400</f>
        <v>0.22962962962962963</v>
      </c>
    </row>
    <row r="838" spans="1:12" x14ac:dyDescent="0.25">
      <c r="A838" s="3">
        <v>45698.229803240742</v>
      </c>
      <c r="B838" t="s">
        <v>84</v>
      </c>
      <c r="C838" s="3">
        <v>45698.251574074078</v>
      </c>
      <c r="D838" t="s">
        <v>84</v>
      </c>
      <c r="E838" s="4">
        <v>10.29</v>
      </c>
      <c r="F838" s="4">
        <v>410424.17300000001</v>
      </c>
      <c r="G838" s="4">
        <v>410434.46299999999</v>
      </c>
      <c r="H838" s="5">
        <f>479 / 86400</f>
        <v>5.5439814814814813E-3</v>
      </c>
      <c r="I838" t="s">
        <v>85</v>
      </c>
      <c r="J838" t="s">
        <v>22</v>
      </c>
      <c r="K838" s="5">
        <f>1880 / 86400</f>
        <v>2.1759259259259259E-2</v>
      </c>
      <c r="L838" s="5">
        <f>43354 / 86400</f>
        <v>0.50178240740740743</v>
      </c>
    </row>
    <row r="839" spans="1:12" x14ac:dyDescent="0.25">
      <c r="A839" s="3">
        <v>45698.75335648148</v>
      </c>
      <c r="B839" t="s">
        <v>84</v>
      </c>
      <c r="C839" s="3">
        <v>45698.755775462967</v>
      </c>
      <c r="D839" t="s">
        <v>84</v>
      </c>
      <c r="E839" s="4">
        <v>3.1E-2</v>
      </c>
      <c r="F839" s="4">
        <v>410434.46299999999</v>
      </c>
      <c r="G839" s="4">
        <v>410434.49400000001</v>
      </c>
      <c r="H839" s="5">
        <f>119 / 86400</f>
        <v>1.3773148148148147E-3</v>
      </c>
      <c r="I839" t="s">
        <v>169</v>
      </c>
      <c r="J839" t="s">
        <v>62</v>
      </c>
      <c r="K839" s="5">
        <f>208 / 86400</f>
        <v>2.4074074074074076E-3</v>
      </c>
      <c r="L839" s="5">
        <f>21100 / 86400</f>
        <v>0.24421296296296297</v>
      </c>
    </row>
    <row r="840" spans="1:12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 spans="1:12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 spans="1:12" s="10" customFormat="1" ht="20.100000000000001" customHeight="1" x14ac:dyDescent="0.35">
      <c r="A842" s="12" t="s">
        <v>424</v>
      </c>
      <c r="B842" s="12"/>
      <c r="C842" s="12"/>
      <c r="D842" s="12"/>
      <c r="E842" s="12"/>
      <c r="F842" s="12"/>
      <c r="G842" s="12"/>
      <c r="H842" s="12"/>
      <c r="I842" s="12"/>
      <c r="J842" s="12"/>
    </row>
    <row r="843" spans="1:12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 spans="1:12" ht="30" x14ac:dyDescent="0.25">
      <c r="A844" s="2" t="s">
        <v>5</v>
      </c>
      <c r="B844" s="2" t="s">
        <v>6</v>
      </c>
      <c r="C844" s="2" t="s">
        <v>7</v>
      </c>
      <c r="D844" s="2" t="s">
        <v>8</v>
      </c>
      <c r="E844" s="2" t="s">
        <v>9</v>
      </c>
      <c r="F844" s="2" t="s">
        <v>10</v>
      </c>
      <c r="G844" s="2" t="s">
        <v>11</v>
      </c>
      <c r="H844" s="2" t="s">
        <v>12</v>
      </c>
      <c r="I844" s="2" t="s">
        <v>13</v>
      </c>
      <c r="J844" s="2" t="s">
        <v>14</v>
      </c>
      <c r="K844" s="2" t="s">
        <v>15</v>
      </c>
      <c r="L844" s="2" t="s">
        <v>16</v>
      </c>
    </row>
    <row r="845" spans="1:12" x14ac:dyDescent="0.25">
      <c r="A845" s="3">
        <v>45698.153819444444</v>
      </c>
      <c r="B845" t="s">
        <v>29</v>
      </c>
      <c r="C845" s="3">
        <v>45698.223645833335</v>
      </c>
      <c r="D845" t="s">
        <v>278</v>
      </c>
      <c r="E845" s="4">
        <v>34.618000000000002</v>
      </c>
      <c r="F845" s="4">
        <v>441092.20500000002</v>
      </c>
      <c r="G845" s="4">
        <v>441126.82299999997</v>
      </c>
      <c r="H845" s="5">
        <f>1180 / 86400</f>
        <v>1.3657407407407408E-2</v>
      </c>
      <c r="I845" t="s">
        <v>78</v>
      </c>
      <c r="J845" t="s">
        <v>136</v>
      </c>
      <c r="K845" s="5">
        <f>6033 / 86400</f>
        <v>6.9826388888888882E-2</v>
      </c>
      <c r="L845" s="5">
        <f>13632 / 86400</f>
        <v>0.15777777777777777</v>
      </c>
    </row>
    <row r="846" spans="1:12" x14ac:dyDescent="0.25">
      <c r="A846" s="3">
        <v>45698.227604166663</v>
      </c>
      <c r="B846" t="s">
        <v>278</v>
      </c>
      <c r="C846" s="3">
        <v>45698.327847222223</v>
      </c>
      <c r="D846" t="s">
        <v>164</v>
      </c>
      <c r="E846" s="4">
        <v>49.921999999999997</v>
      </c>
      <c r="F846" s="4">
        <v>441126.82299999997</v>
      </c>
      <c r="G846" s="4">
        <v>441176.745</v>
      </c>
      <c r="H846" s="5">
        <f>2122 / 86400</f>
        <v>2.4560185185185185E-2</v>
      </c>
      <c r="I846" t="s">
        <v>188</v>
      </c>
      <c r="J846" t="s">
        <v>136</v>
      </c>
      <c r="K846" s="5">
        <f>8661 / 86400</f>
        <v>0.10024305555555556</v>
      </c>
      <c r="L846" s="5">
        <f>286 / 86400</f>
        <v>3.3101851851851851E-3</v>
      </c>
    </row>
    <row r="847" spans="1:12" x14ac:dyDescent="0.25">
      <c r="A847" s="3">
        <v>45698.331157407403</v>
      </c>
      <c r="B847" t="s">
        <v>164</v>
      </c>
      <c r="C847" s="3">
        <v>45698.33293981482</v>
      </c>
      <c r="D847" t="s">
        <v>137</v>
      </c>
      <c r="E847" s="4">
        <v>0.72</v>
      </c>
      <c r="F847" s="4">
        <v>441176.745</v>
      </c>
      <c r="G847" s="4">
        <v>441177.46500000003</v>
      </c>
      <c r="H847" s="5">
        <f>20 / 86400</f>
        <v>2.3148148148148149E-4</v>
      </c>
      <c r="I847" t="s">
        <v>185</v>
      </c>
      <c r="J847" t="s">
        <v>28</v>
      </c>
      <c r="K847" s="5">
        <f>153 / 86400</f>
        <v>1.7708333333333332E-3</v>
      </c>
      <c r="L847" s="5">
        <f>1799 / 86400</f>
        <v>2.0821759259259259E-2</v>
      </c>
    </row>
    <row r="848" spans="1:12" x14ac:dyDescent="0.25">
      <c r="A848" s="3">
        <v>45698.353761574079</v>
      </c>
      <c r="B848" t="s">
        <v>137</v>
      </c>
      <c r="C848" s="3">
        <v>45698.47693287037</v>
      </c>
      <c r="D848" t="s">
        <v>319</v>
      </c>
      <c r="E848" s="4">
        <v>51.351999999999997</v>
      </c>
      <c r="F848" s="4">
        <v>441177.46500000003</v>
      </c>
      <c r="G848" s="4">
        <v>441228.81699999998</v>
      </c>
      <c r="H848" s="5">
        <f>3260 / 86400</f>
        <v>3.7731481481481484E-2</v>
      </c>
      <c r="I848" t="s">
        <v>83</v>
      </c>
      <c r="J848" t="s">
        <v>28</v>
      </c>
      <c r="K848" s="5">
        <f>10642 / 86400</f>
        <v>0.12317129629629629</v>
      </c>
      <c r="L848" s="5">
        <f>3640 / 86400</f>
        <v>4.2129629629629628E-2</v>
      </c>
    </row>
    <row r="849" spans="1:12" x14ac:dyDescent="0.25">
      <c r="A849" s="3">
        <v>45698.519062499996</v>
      </c>
      <c r="B849" t="s">
        <v>343</v>
      </c>
      <c r="C849" s="3">
        <v>45698.626712962963</v>
      </c>
      <c r="D849" t="s">
        <v>119</v>
      </c>
      <c r="E849" s="4">
        <v>39.462000000000003</v>
      </c>
      <c r="F849" s="4">
        <v>441228.81699999998</v>
      </c>
      <c r="G849" s="4">
        <v>441268.27899999998</v>
      </c>
      <c r="H849" s="5">
        <f>3246 / 86400</f>
        <v>3.7569444444444447E-2</v>
      </c>
      <c r="I849" t="s">
        <v>154</v>
      </c>
      <c r="J849" t="s">
        <v>57</v>
      </c>
      <c r="K849" s="5">
        <f>9301 / 86400</f>
        <v>0.10765046296296296</v>
      </c>
      <c r="L849" s="5">
        <f>1203 / 86400</f>
        <v>1.3923611111111111E-2</v>
      </c>
    </row>
    <row r="850" spans="1:12" x14ac:dyDescent="0.25">
      <c r="A850" s="3">
        <v>45698.64063657407</v>
      </c>
      <c r="B850" t="s">
        <v>119</v>
      </c>
      <c r="C850" s="3">
        <v>45698.666805555556</v>
      </c>
      <c r="D850" t="s">
        <v>362</v>
      </c>
      <c r="E850" s="4">
        <v>14.882</v>
      </c>
      <c r="F850" s="4">
        <v>441268.27899999998</v>
      </c>
      <c r="G850" s="4">
        <v>441283.16100000002</v>
      </c>
      <c r="H850" s="5">
        <f>319 / 86400</f>
        <v>3.6921296296296298E-3</v>
      </c>
      <c r="I850" t="s">
        <v>332</v>
      </c>
      <c r="J850" t="s">
        <v>36</v>
      </c>
      <c r="K850" s="5">
        <f>2261 / 86400</f>
        <v>2.6168981481481481E-2</v>
      </c>
      <c r="L850" s="5">
        <f>347 / 86400</f>
        <v>4.0162037037037041E-3</v>
      </c>
    </row>
    <row r="851" spans="1:12" x14ac:dyDescent="0.25">
      <c r="A851" s="3">
        <v>45698.67082175926</v>
      </c>
      <c r="B851" t="s">
        <v>362</v>
      </c>
      <c r="C851" s="3">
        <v>45698.679224537038</v>
      </c>
      <c r="D851" t="s">
        <v>23</v>
      </c>
      <c r="E851" s="4">
        <v>2.59</v>
      </c>
      <c r="F851" s="4">
        <v>441283.16100000002</v>
      </c>
      <c r="G851" s="4">
        <v>441285.75099999999</v>
      </c>
      <c r="H851" s="5">
        <f>260 / 86400</f>
        <v>3.0092592592592593E-3</v>
      </c>
      <c r="I851" t="s">
        <v>148</v>
      </c>
      <c r="J851" t="s">
        <v>97</v>
      </c>
      <c r="K851" s="5">
        <f>725 / 86400</f>
        <v>8.3912037037037045E-3</v>
      </c>
      <c r="L851" s="5">
        <f>2533 / 86400</f>
        <v>2.931712962962963E-2</v>
      </c>
    </row>
    <row r="852" spans="1:12" x14ac:dyDescent="0.25">
      <c r="A852" s="3">
        <v>45698.708541666667</v>
      </c>
      <c r="B852" t="s">
        <v>23</v>
      </c>
      <c r="C852" s="3">
        <v>45698.792997685188</v>
      </c>
      <c r="D852" t="s">
        <v>29</v>
      </c>
      <c r="E852" s="4">
        <v>43.021999999999998</v>
      </c>
      <c r="F852" s="4">
        <v>441285.75099999999</v>
      </c>
      <c r="G852" s="4">
        <v>441328.77299999999</v>
      </c>
      <c r="H852" s="5">
        <f>1481 / 86400</f>
        <v>1.7141203703703704E-2</v>
      </c>
      <c r="I852" t="s">
        <v>71</v>
      </c>
      <c r="J852" t="s">
        <v>136</v>
      </c>
      <c r="K852" s="5">
        <f>7297 / 86400</f>
        <v>8.4456018518518514E-2</v>
      </c>
      <c r="L852" s="5">
        <f>17884 / 86400</f>
        <v>0.20699074074074075</v>
      </c>
    </row>
    <row r="853" spans="1:12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 spans="1:12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2" s="10" customFormat="1" ht="20.100000000000001" customHeight="1" x14ac:dyDescent="0.35">
      <c r="A855" s="12" t="s">
        <v>425</v>
      </c>
      <c r="B855" s="12"/>
      <c r="C855" s="12"/>
      <c r="D855" s="12"/>
      <c r="E855" s="12"/>
      <c r="F855" s="12"/>
      <c r="G855" s="12"/>
      <c r="H855" s="12"/>
      <c r="I855" s="12"/>
      <c r="J855" s="12"/>
    </row>
    <row r="856" spans="1:12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 spans="1:12" ht="30" x14ac:dyDescent="0.25">
      <c r="A857" s="2" t="s">
        <v>5</v>
      </c>
      <c r="B857" s="2" t="s">
        <v>6</v>
      </c>
      <c r="C857" s="2" t="s">
        <v>7</v>
      </c>
      <c r="D857" s="2" t="s">
        <v>8</v>
      </c>
      <c r="E857" s="2" t="s">
        <v>9</v>
      </c>
      <c r="F857" s="2" t="s">
        <v>10</v>
      </c>
      <c r="G857" s="2" t="s">
        <v>11</v>
      </c>
      <c r="H857" s="2" t="s">
        <v>12</v>
      </c>
      <c r="I857" s="2" t="s">
        <v>13</v>
      </c>
      <c r="J857" s="2" t="s">
        <v>14</v>
      </c>
      <c r="K857" s="2" t="s">
        <v>15</v>
      </c>
      <c r="L857" s="2" t="s">
        <v>16</v>
      </c>
    </row>
    <row r="858" spans="1:12" x14ac:dyDescent="0.25">
      <c r="A858" s="3">
        <v>45698.242939814816</v>
      </c>
      <c r="B858" t="s">
        <v>82</v>
      </c>
      <c r="C858" s="3">
        <v>45698.362037037034</v>
      </c>
      <c r="D858" t="s">
        <v>319</v>
      </c>
      <c r="E858" s="4">
        <v>46.13</v>
      </c>
      <c r="F858" s="4">
        <v>473623.01299999998</v>
      </c>
      <c r="G858" s="4">
        <v>473669.14299999998</v>
      </c>
      <c r="H858" s="5">
        <f>3919 / 86400</f>
        <v>4.5358796296296293E-2</v>
      </c>
      <c r="I858" t="s">
        <v>60</v>
      </c>
      <c r="J858" t="s">
        <v>19</v>
      </c>
      <c r="K858" s="5">
        <f>10289 / 86400</f>
        <v>0.11908564814814815</v>
      </c>
      <c r="L858" s="5">
        <f>21190 / 86400</f>
        <v>0.24525462962962963</v>
      </c>
    </row>
    <row r="859" spans="1:12" x14ac:dyDescent="0.25">
      <c r="A859" s="3">
        <v>45698.364351851851</v>
      </c>
      <c r="B859" t="s">
        <v>319</v>
      </c>
      <c r="C859" s="3">
        <v>45698.494583333333</v>
      </c>
      <c r="D859" t="s">
        <v>137</v>
      </c>
      <c r="E859" s="4">
        <v>51.317</v>
      </c>
      <c r="F859" s="4">
        <v>473669.14299999998</v>
      </c>
      <c r="G859" s="4">
        <v>473720.46</v>
      </c>
      <c r="H859" s="5">
        <f>3601 / 86400</f>
        <v>4.1678240740740738E-2</v>
      </c>
      <c r="I859" t="s">
        <v>83</v>
      </c>
      <c r="J859" t="s">
        <v>19</v>
      </c>
      <c r="K859" s="5">
        <f>11252 / 86400</f>
        <v>0.13023148148148148</v>
      </c>
      <c r="L859" s="5">
        <f>221 / 86400</f>
        <v>2.5578703703703705E-3</v>
      </c>
    </row>
    <row r="860" spans="1:12" x14ac:dyDescent="0.25">
      <c r="A860" s="3">
        <v>45698.497141203705</v>
      </c>
      <c r="B860" t="s">
        <v>137</v>
      </c>
      <c r="C860" s="3">
        <v>45698.500092592592</v>
      </c>
      <c r="D860" t="s">
        <v>44</v>
      </c>
      <c r="E860" s="4">
        <v>0.997</v>
      </c>
      <c r="F860" s="4">
        <v>473720.46</v>
      </c>
      <c r="G860" s="4">
        <v>473721.45699999999</v>
      </c>
      <c r="H860" s="5">
        <f>0 / 86400</f>
        <v>0</v>
      </c>
      <c r="I860" t="s">
        <v>134</v>
      </c>
      <c r="J860" t="s">
        <v>31</v>
      </c>
      <c r="K860" s="5">
        <f>255 / 86400</f>
        <v>2.9513888888888888E-3</v>
      </c>
      <c r="L860" s="5">
        <f>2461 / 86400</f>
        <v>2.8483796296296295E-2</v>
      </c>
    </row>
    <row r="861" spans="1:12" x14ac:dyDescent="0.25">
      <c r="A861" s="3">
        <v>45698.52857638889</v>
      </c>
      <c r="B861" t="s">
        <v>44</v>
      </c>
      <c r="C861" s="3">
        <v>45698.53052083333</v>
      </c>
      <c r="D861" t="s">
        <v>44</v>
      </c>
      <c r="E861" s="4">
        <v>0.28100000000000003</v>
      </c>
      <c r="F861" s="4">
        <v>473721.45699999999</v>
      </c>
      <c r="G861" s="4">
        <v>473721.73800000001</v>
      </c>
      <c r="H861" s="5">
        <f>20 / 86400</f>
        <v>2.3148148148148149E-4</v>
      </c>
      <c r="I861" t="s">
        <v>25</v>
      </c>
      <c r="J861" t="s">
        <v>61</v>
      </c>
      <c r="K861" s="5">
        <f>168 / 86400</f>
        <v>1.9444444444444444E-3</v>
      </c>
      <c r="L861" s="5">
        <f>152 / 86400</f>
        <v>1.7592592592592592E-3</v>
      </c>
    </row>
    <row r="862" spans="1:12" x14ac:dyDescent="0.25">
      <c r="A862" s="3">
        <v>45698.532280092593</v>
      </c>
      <c r="B862" t="s">
        <v>44</v>
      </c>
      <c r="C862" s="3">
        <v>45698.535011574073</v>
      </c>
      <c r="D862" t="s">
        <v>123</v>
      </c>
      <c r="E862" s="4">
        <v>0.91800000000000004</v>
      </c>
      <c r="F862" s="4">
        <v>473721.73800000001</v>
      </c>
      <c r="G862" s="4">
        <v>473722.65600000002</v>
      </c>
      <c r="H862" s="5">
        <f>59 / 86400</f>
        <v>6.8287037037037036E-4</v>
      </c>
      <c r="I862" t="s">
        <v>171</v>
      </c>
      <c r="J862" t="s">
        <v>31</v>
      </c>
      <c r="K862" s="5">
        <f>236 / 86400</f>
        <v>2.7314814814814814E-3</v>
      </c>
      <c r="L862" s="5">
        <f>445 / 86400</f>
        <v>5.1504629629629626E-3</v>
      </c>
    </row>
    <row r="863" spans="1:12" x14ac:dyDescent="0.25">
      <c r="A863" s="3">
        <v>45698.540162037039</v>
      </c>
      <c r="B863" t="s">
        <v>123</v>
      </c>
      <c r="C863" s="3">
        <v>45698.541354166664</v>
      </c>
      <c r="D863" t="s">
        <v>342</v>
      </c>
      <c r="E863" s="4">
        <v>0.24199999999999999</v>
      </c>
      <c r="F863" s="4">
        <v>473722.65600000002</v>
      </c>
      <c r="G863" s="4">
        <v>473722.89799999999</v>
      </c>
      <c r="H863" s="5">
        <f>19 / 86400</f>
        <v>2.199074074074074E-4</v>
      </c>
      <c r="I863" t="s">
        <v>193</v>
      </c>
      <c r="J863" t="s">
        <v>138</v>
      </c>
      <c r="K863" s="5">
        <f>102 / 86400</f>
        <v>1.1805555555555556E-3</v>
      </c>
      <c r="L863" s="5">
        <f>22 / 86400</f>
        <v>2.5462962962962961E-4</v>
      </c>
    </row>
    <row r="864" spans="1:12" x14ac:dyDescent="0.25">
      <c r="A864" s="3">
        <v>45698.541608796295</v>
      </c>
      <c r="B864" t="s">
        <v>342</v>
      </c>
      <c r="C864" s="3">
        <v>45698.542013888888</v>
      </c>
      <c r="D864" t="s">
        <v>342</v>
      </c>
      <c r="E864" s="4">
        <v>0.02</v>
      </c>
      <c r="F864" s="4">
        <v>473722.89799999999</v>
      </c>
      <c r="G864" s="4">
        <v>473722.91800000001</v>
      </c>
      <c r="H864" s="5">
        <f>0 / 86400</f>
        <v>0</v>
      </c>
      <c r="I864" t="s">
        <v>89</v>
      </c>
      <c r="J864" t="s">
        <v>132</v>
      </c>
      <c r="K864" s="5">
        <f>34 / 86400</f>
        <v>3.9351851851851852E-4</v>
      </c>
      <c r="L864" s="5">
        <f>1807 / 86400</f>
        <v>2.0914351851851851E-2</v>
      </c>
    </row>
    <row r="865" spans="1:12" x14ac:dyDescent="0.25">
      <c r="A865" s="3">
        <v>45698.562928240739</v>
      </c>
      <c r="B865" t="s">
        <v>342</v>
      </c>
      <c r="C865" s="3">
        <v>45698.622662037036</v>
      </c>
      <c r="D865" t="s">
        <v>214</v>
      </c>
      <c r="E865" s="4">
        <v>33.835000000000001</v>
      </c>
      <c r="F865" s="4">
        <v>473722.91800000001</v>
      </c>
      <c r="G865" s="4">
        <v>473756.75300000003</v>
      </c>
      <c r="H865" s="5">
        <f>1221 / 86400</f>
        <v>1.4131944444444445E-2</v>
      </c>
      <c r="I865" t="s">
        <v>27</v>
      </c>
      <c r="J865" t="s">
        <v>36</v>
      </c>
      <c r="K865" s="5">
        <f>5160 / 86400</f>
        <v>5.9722222222222225E-2</v>
      </c>
      <c r="L865" s="5">
        <f>675 / 86400</f>
        <v>7.8125E-3</v>
      </c>
    </row>
    <row r="866" spans="1:12" x14ac:dyDescent="0.25">
      <c r="A866" s="3">
        <v>45698.630474537036</v>
      </c>
      <c r="B866" t="s">
        <v>214</v>
      </c>
      <c r="C866" s="3">
        <v>45698.706805555557</v>
      </c>
      <c r="D866" t="s">
        <v>342</v>
      </c>
      <c r="E866" s="4">
        <v>35.465000000000003</v>
      </c>
      <c r="F866" s="4">
        <v>473756.75300000003</v>
      </c>
      <c r="G866" s="4">
        <v>473792.21799999999</v>
      </c>
      <c r="H866" s="5">
        <f>1760 / 86400</f>
        <v>2.0370370370370372E-2</v>
      </c>
      <c r="I866" t="s">
        <v>188</v>
      </c>
      <c r="J866" t="s">
        <v>33</v>
      </c>
      <c r="K866" s="5">
        <f>6595 / 86400</f>
        <v>7.633101851851852E-2</v>
      </c>
      <c r="L866" s="5">
        <f>1209 / 86400</f>
        <v>1.3993055555555555E-2</v>
      </c>
    </row>
    <row r="867" spans="1:12" x14ac:dyDescent="0.25">
      <c r="A867" s="3">
        <v>45698.72079861111</v>
      </c>
      <c r="B867" t="s">
        <v>342</v>
      </c>
      <c r="C867" s="3">
        <v>45698.727800925924</v>
      </c>
      <c r="D867" t="s">
        <v>127</v>
      </c>
      <c r="E867" s="4">
        <v>1.1679999999999999</v>
      </c>
      <c r="F867" s="4">
        <v>473792.21799999999</v>
      </c>
      <c r="G867" s="4">
        <v>473793.386</v>
      </c>
      <c r="H867" s="5">
        <f>179 / 86400</f>
        <v>2.0717592592592593E-3</v>
      </c>
      <c r="I867" t="s">
        <v>147</v>
      </c>
      <c r="J867" t="s">
        <v>89</v>
      </c>
      <c r="K867" s="5">
        <f>604 / 86400</f>
        <v>6.9907407407407409E-3</v>
      </c>
      <c r="L867" s="5">
        <f>97 / 86400</f>
        <v>1.1226851851851851E-3</v>
      </c>
    </row>
    <row r="868" spans="1:12" x14ac:dyDescent="0.25">
      <c r="A868" s="3">
        <v>45698.72892361111</v>
      </c>
      <c r="B868" t="s">
        <v>127</v>
      </c>
      <c r="C868" s="3">
        <v>45698.731435185182</v>
      </c>
      <c r="D868" t="s">
        <v>44</v>
      </c>
      <c r="E868" s="4">
        <v>0.88800000000000001</v>
      </c>
      <c r="F868" s="4">
        <v>473793.386</v>
      </c>
      <c r="G868" s="4">
        <v>473794.27399999998</v>
      </c>
      <c r="H868" s="5">
        <f>0 / 86400</f>
        <v>0</v>
      </c>
      <c r="I868" t="s">
        <v>171</v>
      </c>
      <c r="J868" t="s">
        <v>57</v>
      </c>
      <c r="K868" s="5">
        <f>217 / 86400</f>
        <v>2.5115740740740741E-3</v>
      </c>
      <c r="L868" s="5">
        <f>194 / 86400</f>
        <v>2.2453703703703702E-3</v>
      </c>
    </row>
    <row r="869" spans="1:12" x14ac:dyDescent="0.25">
      <c r="A869" s="3">
        <v>45698.733680555553</v>
      </c>
      <c r="B869" t="s">
        <v>44</v>
      </c>
      <c r="C869" s="3">
        <v>45698.753078703703</v>
      </c>
      <c r="D869" t="s">
        <v>316</v>
      </c>
      <c r="E869" s="4">
        <v>6.0529999999999999</v>
      </c>
      <c r="F869" s="4">
        <v>473794.27399999998</v>
      </c>
      <c r="G869" s="4">
        <v>473800.32699999999</v>
      </c>
      <c r="H869" s="5">
        <f>340 / 86400</f>
        <v>3.9351851851851848E-3</v>
      </c>
      <c r="I869" t="s">
        <v>203</v>
      </c>
      <c r="J869" t="s">
        <v>97</v>
      </c>
      <c r="K869" s="5">
        <f>1676 / 86400</f>
        <v>1.9398148148148147E-2</v>
      </c>
      <c r="L869" s="5">
        <f>530 / 86400</f>
        <v>6.1342592592592594E-3</v>
      </c>
    </row>
    <row r="870" spans="1:12" x14ac:dyDescent="0.25">
      <c r="A870" s="3">
        <v>45698.759212962963</v>
      </c>
      <c r="B870" t="s">
        <v>316</v>
      </c>
      <c r="C870" s="3">
        <v>45698.764050925922</v>
      </c>
      <c r="D870" t="s">
        <v>86</v>
      </c>
      <c r="E870" s="4">
        <v>0.751</v>
      </c>
      <c r="F870" s="4">
        <v>473800.32699999999</v>
      </c>
      <c r="G870" s="4">
        <v>473801.07799999998</v>
      </c>
      <c r="H870" s="5">
        <f>100 / 86400</f>
        <v>1.1574074074074073E-3</v>
      </c>
      <c r="I870" t="s">
        <v>57</v>
      </c>
      <c r="J870" t="s">
        <v>61</v>
      </c>
      <c r="K870" s="5">
        <f>418 / 86400</f>
        <v>4.8379629629629632E-3</v>
      </c>
      <c r="L870" s="5">
        <f>20385 / 86400</f>
        <v>0.23593749999999999</v>
      </c>
    </row>
    <row r="871" spans="1:12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 spans="1:12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 spans="1:12" s="10" customFormat="1" ht="20.100000000000001" customHeight="1" x14ac:dyDescent="0.35">
      <c r="A873" s="12" t="s">
        <v>426</v>
      </c>
      <c r="B873" s="12"/>
      <c r="C873" s="12"/>
      <c r="D873" s="12"/>
      <c r="E873" s="12"/>
      <c r="F873" s="12"/>
      <c r="G873" s="12"/>
      <c r="H873" s="12"/>
      <c r="I873" s="12"/>
      <c r="J873" s="12"/>
    </row>
    <row r="874" spans="1:12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 spans="1:12" ht="30" x14ac:dyDescent="0.25">
      <c r="A875" s="2" t="s">
        <v>5</v>
      </c>
      <c r="B875" s="2" t="s">
        <v>6</v>
      </c>
      <c r="C875" s="2" t="s">
        <v>7</v>
      </c>
      <c r="D875" s="2" t="s">
        <v>8</v>
      </c>
      <c r="E875" s="2" t="s">
        <v>9</v>
      </c>
      <c r="F875" s="2" t="s">
        <v>10</v>
      </c>
      <c r="G875" s="2" t="s">
        <v>11</v>
      </c>
      <c r="H875" s="2" t="s">
        <v>12</v>
      </c>
      <c r="I875" s="2" t="s">
        <v>13</v>
      </c>
      <c r="J875" s="2" t="s">
        <v>14</v>
      </c>
      <c r="K875" s="2" t="s">
        <v>15</v>
      </c>
      <c r="L875" s="2" t="s">
        <v>16</v>
      </c>
    </row>
    <row r="876" spans="1:12" x14ac:dyDescent="0.25">
      <c r="A876" s="3">
        <v>45698.119085648148</v>
      </c>
      <c r="B876" t="s">
        <v>80</v>
      </c>
      <c r="C876" s="3">
        <v>45698.120740740742</v>
      </c>
      <c r="D876" t="s">
        <v>80</v>
      </c>
      <c r="E876" s="4">
        <v>2.8000000000000001E-2</v>
      </c>
      <c r="F876" s="4">
        <v>412897.99200000003</v>
      </c>
      <c r="G876" s="4">
        <v>412898.02</v>
      </c>
      <c r="H876" s="5">
        <f>119 / 86400</f>
        <v>1.3773148148148147E-3</v>
      </c>
      <c r="I876" t="s">
        <v>125</v>
      </c>
      <c r="J876" t="s">
        <v>62</v>
      </c>
      <c r="K876" s="5">
        <f>143 / 86400</f>
        <v>1.6550925925925926E-3</v>
      </c>
      <c r="L876" s="5">
        <f>10573 / 86400</f>
        <v>0.12237268518518518</v>
      </c>
    </row>
    <row r="877" spans="1:12" x14ac:dyDescent="0.25">
      <c r="A877" s="3">
        <v>45698.124027777776</v>
      </c>
      <c r="B877" t="s">
        <v>80</v>
      </c>
      <c r="C877" s="3">
        <v>45698.189976851849</v>
      </c>
      <c r="D877" t="s">
        <v>363</v>
      </c>
      <c r="E877" s="4">
        <v>37.554000000000002</v>
      </c>
      <c r="F877" s="4">
        <v>412898.02</v>
      </c>
      <c r="G877" s="4">
        <v>412935.57400000002</v>
      </c>
      <c r="H877" s="5">
        <f>1119 / 86400</f>
        <v>1.2951388888888889E-2</v>
      </c>
      <c r="I877" t="s">
        <v>40</v>
      </c>
      <c r="J877" t="s">
        <v>36</v>
      </c>
      <c r="K877" s="5">
        <f>5698 / 86400</f>
        <v>6.5949074074074077E-2</v>
      </c>
      <c r="L877" s="5">
        <f>376 / 86400</f>
        <v>4.3518518518518515E-3</v>
      </c>
    </row>
    <row r="878" spans="1:12" x14ac:dyDescent="0.25">
      <c r="A878" s="3">
        <v>45698.194328703699</v>
      </c>
      <c r="B878" t="s">
        <v>363</v>
      </c>
      <c r="C878" s="3">
        <v>45698.290486111116</v>
      </c>
      <c r="D878" t="s">
        <v>137</v>
      </c>
      <c r="E878" s="4">
        <v>52.16</v>
      </c>
      <c r="F878" s="4">
        <v>412935.57400000002</v>
      </c>
      <c r="G878" s="4">
        <v>412987.734</v>
      </c>
      <c r="H878" s="5">
        <f>1918 / 86400</f>
        <v>2.2199074074074072E-2</v>
      </c>
      <c r="I878" t="s">
        <v>30</v>
      </c>
      <c r="J878" t="s">
        <v>47</v>
      </c>
      <c r="K878" s="5">
        <f>8308 / 86400</f>
        <v>9.6157407407407414E-2</v>
      </c>
      <c r="L878" s="5">
        <f>1823 / 86400</f>
        <v>2.1099537037037038E-2</v>
      </c>
    </row>
    <row r="879" spans="1:12" x14ac:dyDescent="0.25">
      <c r="A879" s="3">
        <v>45698.311585648145</v>
      </c>
      <c r="B879" t="s">
        <v>137</v>
      </c>
      <c r="C879" s="3">
        <v>45698.314016203702</v>
      </c>
      <c r="D879" t="s">
        <v>142</v>
      </c>
      <c r="E879" s="4">
        <v>0.77600000000000002</v>
      </c>
      <c r="F879" s="4">
        <v>412987.734</v>
      </c>
      <c r="G879" s="4">
        <v>412988.51</v>
      </c>
      <c r="H879" s="5">
        <f>20 / 86400</f>
        <v>2.3148148148148149E-4</v>
      </c>
      <c r="I879" t="s">
        <v>136</v>
      </c>
      <c r="J879" t="s">
        <v>97</v>
      </c>
      <c r="K879" s="5">
        <f>209 / 86400</f>
        <v>2.4189814814814816E-3</v>
      </c>
      <c r="L879" s="5">
        <f>24 / 86400</f>
        <v>2.7777777777777778E-4</v>
      </c>
    </row>
    <row r="880" spans="1:12" x14ac:dyDescent="0.25">
      <c r="A880" s="3">
        <v>45698.314293981486</v>
      </c>
      <c r="B880" t="s">
        <v>142</v>
      </c>
      <c r="C880" s="3">
        <v>45698.315868055557</v>
      </c>
      <c r="D880" t="s">
        <v>142</v>
      </c>
      <c r="E880" s="4">
        <v>4.0000000000000001E-3</v>
      </c>
      <c r="F880" s="4">
        <v>412988.51</v>
      </c>
      <c r="G880" s="4">
        <v>412988.51400000002</v>
      </c>
      <c r="H880" s="5">
        <f>119 / 86400</f>
        <v>1.3773148148148147E-3</v>
      </c>
      <c r="I880" t="s">
        <v>126</v>
      </c>
      <c r="J880" t="s">
        <v>126</v>
      </c>
      <c r="K880" s="5">
        <f>135 / 86400</f>
        <v>1.5625000000000001E-3</v>
      </c>
      <c r="L880" s="5">
        <f>95 / 86400</f>
        <v>1.0995370370370371E-3</v>
      </c>
    </row>
    <row r="881" spans="1:12" x14ac:dyDescent="0.25">
      <c r="A881" s="3">
        <v>45698.316967592589</v>
      </c>
      <c r="B881" t="s">
        <v>142</v>
      </c>
      <c r="C881" s="3">
        <v>45698.317175925928</v>
      </c>
      <c r="D881" t="s">
        <v>142</v>
      </c>
      <c r="E881" s="4">
        <v>8.0000000000000002E-3</v>
      </c>
      <c r="F881" s="4">
        <v>412988.51400000002</v>
      </c>
      <c r="G881" s="4">
        <v>412988.522</v>
      </c>
      <c r="H881" s="5">
        <f>0 / 86400</f>
        <v>0</v>
      </c>
      <c r="I881" t="s">
        <v>126</v>
      </c>
      <c r="J881" t="s">
        <v>132</v>
      </c>
      <c r="K881" s="5">
        <f>18 / 86400</f>
        <v>2.0833333333333335E-4</v>
      </c>
      <c r="L881" s="5">
        <f>226 / 86400</f>
        <v>2.6157407407407405E-3</v>
      </c>
    </row>
    <row r="882" spans="1:12" x14ac:dyDescent="0.25">
      <c r="A882" s="3">
        <v>45698.319791666669</v>
      </c>
      <c r="B882" t="s">
        <v>142</v>
      </c>
      <c r="C882" s="3">
        <v>45698.400335648148</v>
      </c>
      <c r="D882" t="s">
        <v>172</v>
      </c>
      <c r="E882" s="4">
        <v>39.292999999999999</v>
      </c>
      <c r="F882" s="4">
        <v>412988.522</v>
      </c>
      <c r="G882" s="4">
        <v>413027.815</v>
      </c>
      <c r="H882" s="5">
        <f>1880 / 86400</f>
        <v>2.1759259259259259E-2</v>
      </c>
      <c r="I882" t="s">
        <v>87</v>
      </c>
      <c r="J882" t="s">
        <v>22</v>
      </c>
      <c r="K882" s="5">
        <f>6959 / 86400</f>
        <v>8.054398148148148E-2</v>
      </c>
      <c r="L882" s="5">
        <f>461 / 86400</f>
        <v>5.3356481481481484E-3</v>
      </c>
    </row>
    <row r="883" spans="1:12" x14ac:dyDescent="0.25">
      <c r="A883" s="3">
        <v>45698.405671296292</v>
      </c>
      <c r="B883" t="s">
        <v>172</v>
      </c>
      <c r="C883" s="3">
        <v>45698.410127314812</v>
      </c>
      <c r="D883" t="s">
        <v>364</v>
      </c>
      <c r="E883" s="4">
        <v>0.497</v>
      </c>
      <c r="F883" s="4">
        <v>413027.815</v>
      </c>
      <c r="G883" s="4">
        <v>413028.31199999998</v>
      </c>
      <c r="H883" s="5">
        <f>279 / 86400</f>
        <v>3.2291666666666666E-3</v>
      </c>
      <c r="I883" t="s">
        <v>134</v>
      </c>
      <c r="J883" t="s">
        <v>125</v>
      </c>
      <c r="K883" s="5">
        <f>385 / 86400</f>
        <v>4.4560185185185189E-3</v>
      </c>
      <c r="L883" s="5">
        <f>69 / 86400</f>
        <v>7.9861111111111116E-4</v>
      </c>
    </row>
    <row r="884" spans="1:12" x14ac:dyDescent="0.25">
      <c r="A884" s="3">
        <v>45698.410925925928</v>
      </c>
      <c r="B884" t="s">
        <v>364</v>
      </c>
      <c r="C884" s="3">
        <v>45698.472430555557</v>
      </c>
      <c r="D884" t="s">
        <v>23</v>
      </c>
      <c r="E884" s="4">
        <v>21.95</v>
      </c>
      <c r="F884" s="4">
        <v>413028.31199999998</v>
      </c>
      <c r="G884" s="4">
        <v>413050.26199999999</v>
      </c>
      <c r="H884" s="5">
        <f>1698 / 86400</f>
        <v>1.9652777777777779E-2</v>
      </c>
      <c r="I884" t="s">
        <v>40</v>
      </c>
      <c r="J884" t="s">
        <v>57</v>
      </c>
      <c r="K884" s="5">
        <f>5313 / 86400</f>
        <v>6.1493055555555558E-2</v>
      </c>
      <c r="L884" s="5">
        <f>569 / 86400</f>
        <v>6.5856481481481478E-3</v>
      </c>
    </row>
    <row r="885" spans="1:12" x14ac:dyDescent="0.25">
      <c r="A885" s="3">
        <v>45698.479016203702</v>
      </c>
      <c r="B885" t="s">
        <v>23</v>
      </c>
      <c r="C885" s="3">
        <v>45698.482708333337</v>
      </c>
      <c r="D885" t="s">
        <v>79</v>
      </c>
      <c r="E885" s="4">
        <v>1.2609999999999999</v>
      </c>
      <c r="F885" s="4">
        <v>413050.26199999999</v>
      </c>
      <c r="G885" s="4">
        <v>413051.52299999999</v>
      </c>
      <c r="H885" s="5">
        <f>119 / 86400</f>
        <v>1.3773148148148147E-3</v>
      </c>
      <c r="I885" t="s">
        <v>199</v>
      </c>
      <c r="J885" t="s">
        <v>31</v>
      </c>
      <c r="K885" s="5">
        <f>319 / 86400</f>
        <v>3.6921296296296298E-3</v>
      </c>
      <c r="L885" s="5">
        <f>193 / 86400</f>
        <v>2.2337962962962962E-3</v>
      </c>
    </row>
    <row r="886" spans="1:12" x14ac:dyDescent="0.25">
      <c r="A886" s="3">
        <v>45698.484942129631</v>
      </c>
      <c r="B886" t="s">
        <v>79</v>
      </c>
      <c r="C886" s="3">
        <v>45698.489988425921</v>
      </c>
      <c r="D886" t="s">
        <v>80</v>
      </c>
      <c r="E886" s="4">
        <v>1.1259999999999999</v>
      </c>
      <c r="F886" s="4">
        <v>413051.52299999999</v>
      </c>
      <c r="G886" s="4">
        <v>413052.64899999998</v>
      </c>
      <c r="H886" s="5">
        <f>159 / 86400</f>
        <v>1.8402777777777777E-3</v>
      </c>
      <c r="I886" t="s">
        <v>206</v>
      </c>
      <c r="J886" t="s">
        <v>138</v>
      </c>
      <c r="K886" s="5">
        <f>436 / 86400</f>
        <v>5.0462962962962961E-3</v>
      </c>
      <c r="L886" s="5">
        <f>93 / 86400</f>
        <v>1.0763888888888889E-3</v>
      </c>
    </row>
    <row r="887" spans="1:12" x14ac:dyDescent="0.25">
      <c r="A887" s="3">
        <v>45698.491064814814</v>
      </c>
      <c r="B887" t="s">
        <v>80</v>
      </c>
      <c r="C887" s="3">
        <v>45698.491273148145</v>
      </c>
      <c r="D887" t="s">
        <v>80</v>
      </c>
      <c r="E887" s="4">
        <v>1.0999999999999999E-2</v>
      </c>
      <c r="F887" s="4">
        <v>413052.64899999998</v>
      </c>
      <c r="G887" s="4">
        <v>413052.66</v>
      </c>
      <c r="H887" s="5">
        <f>0 / 86400</f>
        <v>0</v>
      </c>
      <c r="I887" t="s">
        <v>126</v>
      </c>
      <c r="J887" t="s">
        <v>132</v>
      </c>
      <c r="K887" s="5">
        <f>17 / 86400</f>
        <v>1.9675925925925926E-4</v>
      </c>
      <c r="L887" s="5">
        <f>9241 / 86400</f>
        <v>0.10695601851851852</v>
      </c>
    </row>
    <row r="888" spans="1:12" x14ac:dyDescent="0.25">
      <c r="A888" s="3">
        <v>45698.598229166666</v>
      </c>
      <c r="B888" t="s">
        <v>80</v>
      </c>
      <c r="C888" s="3">
        <v>45698.59983796296</v>
      </c>
      <c r="D888" t="s">
        <v>80</v>
      </c>
      <c r="E888" s="4">
        <v>4.1000000000000002E-2</v>
      </c>
      <c r="F888" s="4">
        <v>413052.66</v>
      </c>
      <c r="G888" s="4">
        <v>413052.701</v>
      </c>
      <c r="H888" s="5">
        <f>79 / 86400</f>
        <v>9.1435185185185185E-4</v>
      </c>
      <c r="I888" t="s">
        <v>129</v>
      </c>
      <c r="J888" t="s">
        <v>62</v>
      </c>
      <c r="K888" s="5">
        <f>139 / 86400</f>
        <v>1.6087962962962963E-3</v>
      </c>
      <c r="L888" s="5">
        <f>203 / 86400</f>
        <v>2.3495370370370371E-3</v>
      </c>
    </row>
    <row r="889" spans="1:12" x14ac:dyDescent="0.25">
      <c r="A889" s="3">
        <v>45698.602187500001</v>
      </c>
      <c r="B889" t="s">
        <v>80</v>
      </c>
      <c r="C889" s="3">
        <v>45698.606805555552</v>
      </c>
      <c r="D889" t="s">
        <v>79</v>
      </c>
      <c r="E889" s="4">
        <v>1.5069999999999999</v>
      </c>
      <c r="F889" s="4">
        <v>413052.701</v>
      </c>
      <c r="G889" s="4">
        <v>413054.20799999998</v>
      </c>
      <c r="H889" s="5">
        <f>99 / 86400</f>
        <v>1.1458333333333333E-3</v>
      </c>
      <c r="I889" t="s">
        <v>215</v>
      </c>
      <c r="J889" t="s">
        <v>31</v>
      </c>
      <c r="K889" s="5">
        <f>398 / 86400</f>
        <v>4.6064814814814814E-3</v>
      </c>
      <c r="L889" s="5">
        <f>3396 / 86400</f>
        <v>3.9305555555555559E-2</v>
      </c>
    </row>
    <row r="890" spans="1:12" x14ac:dyDescent="0.25">
      <c r="A890" s="3">
        <v>45698.646111111113</v>
      </c>
      <c r="B890" t="s">
        <v>79</v>
      </c>
      <c r="C890" s="3">
        <v>45698.740173611106</v>
      </c>
      <c r="D890" t="s">
        <v>69</v>
      </c>
      <c r="E890" s="4">
        <v>48.929000000000002</v>
      </c>
      <c r="F890" s="4">
        <v>413054.20799999998</v>
      </c>
      <c r="G890" s="4">
        <v>413103.13699999999</v>
      </c>
      <c r="H890" s="5">
        <f>2420 / 86400</f>
        <v>2.8009259259259258E-2</v>
      </c>
      <c r="I890" t="s">
        <v>30</v>
      </c>
      <c r="J890" t="s">
        <v>147</v>
      </c>
      <c r="K890" s="5">
        <f>8126 / 86400</f>
        <v>9.4050925925925927E-2</v>
      </c>
      <c r="L890" s="5">
        <f>434 / 86400</f>
        <v>5.0231481481481481E-3</v>
      </c>
    </row>
    <row r="891" spans="1:12" x14ac:dyDescent="0.25">
      <c r="A891" s="3">
        <v>45698.745196759264</v>
      </c>
      <c r="B891" t="s">
        <v>69</v>
      </c>
      <c r="C891" s="3">
        <v>45698.803043981483</v>
      </c>
      <c r="D891" t="s">
        <v>231</v>
      </c>
      <c r="E891" s="4">
        <v>23.106000000000002</v>
      </c>
      <c r="F891" s="4">
        <v>413103.13699999999</v>
      </c>
      <c r="G891" s="4">
        <v>413126.24300000002</v>
      </c>
      <c r="H891" s="5">
        <f>1900 / 86400</f>
        <v>2.1990740740740741E-2</v>
      </c>
      <c r="I891" t="s">
        <v>332</v>
      </c>
      <c r="J891" t="s">
        <v>28</v>
      </c>
      <c r="K891" s="5">
        <f>4998 / 86400</f>
        <v>5.7847222222222223E-2</v>
      </c>
      <c r="L891" s="5">
        <f>230 / 86400</f>
        <v>2.662037037037037E-3</v>
      </c>
    </row>
    <row r="892" spans="1:12" x14ac:dyDescent="0.25">
      <c r="A892" s="3">
        <v>45698.805706018524</v>
      </c>
      <c r="B892" t="s">
        <v>231</v>
      </c>
      <c r="C892" s="3">
        <v>45698.805752314816</v>
      </c>
      <c r="D892" t="s">
        <v>231</v>
      </c>
      <c r="E892" s="4">
        <v>0</v>
      </c>
      <c r="F892" s="4">
        <v>413126.24300000002</v>
      </c>
      <c r="G892" s="4">
        <v>413126.24300000002</v>
      </c>
      <c r="H892" s="5">
        <f>0 / 86400</f>
        <v>0</v>
      </c>
      <c r="I892" t="s">
        <v>126</v>
      </c>
      <c r="J892" t="s">
        <v>126</v>
      </c>
      <c r="K892" s="5">
        <f>4 / 86400</f>
        <v>4.6296296296296294E-5</v>
      </c>
      <c r="L892" s="5">
        <f>2 / 86400</f>
        <v>2.3148148148148147E-5</v>
      </c>
    </row>
    <row r="893" spans="1:12" x14ac:dyDescent="0.25">
      <c r="A893" s="3">
        <v>45698.805775462963</v>
      </c>
      <c r="B893" t="s">
        <v>231</v>
      </c>
      <c r="C893" s="3">
        <v>45698.817037037035</v>
      </c>
      <c r="D893" t="s">
        <v>365</v>
      </c>
      <c r="E893" s="4">
        <v>7.6539999999999999</v>
      </c>
      <c r="F893" s="4">
        <v>413126.24300000002</v>
      </c>
      <c r="G893" s="4">
        <v>413133.897</v>
      </c>
      <c r="H893" s="5">
        <f>193 / 86400</f>
        <v>2.2337962962962962E-3</v>
      </c>
      <c r="I893" t="s">
        <v>38</v>
      </c>
      <c r="J893" t="s">
        <v>140</v>
      </c>
      <c r="K893" s="5">
        <f>973 / 86400</f>
        <v>1.1261574074074075E-2</v>
      </c>
      <c r="L893" s="5">
        <f>4080 / 86400</f>
        <v>4.7222222222222221E-2</v>
      </c>
    </row>
    <row r="894" spans="1:12" x14ac:dyDescent="0.25">
      <c r="A894" s="3">
        <v>45698.864259259259</v>
      </c>
      <c r="B894" t="s">
        <v>365</v>
      </c>
      <c r="C894" s="3">
        <v>45698.887094907404</v>
      </c>
      <c r="D894" t="s">
        <v>95</v>
      </c>
      <c r="E894" s="4">
        <v>10.507999999999999</v>
      </c>
      <c r="F894" s="4">
        <v>413133.897</v>
      </c>
      <c r="G894" s="4">
        <v>413144.40500000003</v>
      </c>
      <c r="H894" s="5">
        <f>899 / 86400</f>
        <v>1.0405092592592593E-2</v>
      </c>
      <c r="I894" t="s">
        <v>40</v>
      </c>
      <c r="J894" t="s">
        <v>33</v>
      </c>
      <c r="K894" s="5">
        <f>1973 / 86400</f>
        <v>2.2835648148148147E-2</v>
      </c>
      <c r="L894" s="5">
        <f>190 / 86400</f>
        <v>2.1990740740740742E-3</v>
      </c>
    </row>
    <row r="895" spans="1:12" x14ac:dyDescent="0.25">
      <c r="A895" s="3">
        <v>45698.889293981483</v>
      </c>
      <c r="B895" t="s">
        <v>95</v>
      </c>
      <c r="C895" s="3">
        <v>45698.903333333335</v>
      </c>
      <c r="D895" t="s">
        <v>366</v>
      </c>
      <c r="E895" s="4">
        <v>2.2610000000000001</v>
      </c>
      <c r="F895" s="4">
        <v>413144.40500000003</v>
      </c>
      <c r="G895" s="4">
        <v>413146.66600000003</v>
      </c>
      <c r="H895" s="5">
        <f>599 / 86400</f>
        <v>6.9328703703703705E-3</v>
      </c>
      <c r="I895" t="s">
        <v>215</v>
      </c>
      <c r="J895" t="s">
        <v>89</v>
      </c>
      <c r="K895" s="5">
        <f>1213 / 86400</f>
        <v>1.4039351851851851E-2</v>
      </c>
      <c r="L895" s="5">
        <f>252 / 86400</f>
        <v>2.9166666666666668E-3</v>
      </c>
    </row>
    <row r="896" spans="1:12" x14ac:dyDescent="0.25">
      <c r="A896" s="3">
        <v>45698.90625</v>
      </c>
      <c r="B896" t="s">
        <v>366</v>
      </c>
      <c r="C896" s="3">
        <v>45698.906956018516</v>
      </c>
      <c r="D896" t="s">
        <v>118</v>
      </c>
      <c r="E896" s="4">
        <v>4.2000000000000003E-2</v>
      </c>
      <c r="F896" s="4">
        <v>413146.66600000003</v>
      </c>
      <c r="G896" s="4">
        <v>413146.70799999998</v>
      </c>
      <c r="H896" s="5">
        <f>20 / 86400</f>
        <v>2.3148148148148149E-4</v>
      </c>
      <c r="I896" t="s">
        <v>125</v>
      </c>
      <c r="J896" t="s">
        <v>169</v>
      </c>
      <c r="K896" s="5">
        <f>60 / 86400</f>
        <v>6.9444444444444447E-4</v>
      </c>
      <c r="L896" s="5">
        <f>679 / 86400</f>
        <v>7.858796296296296E-3</v>
      </c>
    </row>
    <row r="897" spans="1:12" x14ac:dyDescent="0.25">
      <c r="A897" s="3">
        <v>45698.914814814816</v>
      </c>
      <c r="B897" t="s">
        <v>118</v>
      </c>
      <c r="C897" s="3">
        <v>45698.917581018519</v>
      </c>
      <c r="D897" t="s">
        <v>367</v>
      </c>
      <c r="E897" s="4">
        <v>1.0289999999999999</v>
      </c>
      <c r="F897" s="4">
        <v>413146.70799999998</v>
      </c>
      <c r="G897" s="4">
        <v>413147.73700000002</v>
      </c>
      <c r="H897" s="5">
        <f>20 / 86400</f>
        <v>2.3148148148148149E-4</v>
      </c>
      <c r="I897" t="s">
        <v>203</v>
      </c>
      <c r="J897" t="s">
        <v>19</v>
      </c>
      <c r="K897" s="5">
        <f>238 / 86400</f>
        <v>2.7546296296296294E-3</v>
      </c>
      <c r="L897" s="5">
        <f>1918 / 86400</f>
        <v>2.2199074074074072E-2</v>
      </c>
    </row>
    <row r="898" spans="1:12" x14ac:dyDescent="0.25">
      <c r="A898" s="3">
        <v>45698.939780092594</v>
      </c>
      <c r="B898" t="s">
        <v>367</v>
      </c>
      <c r="C898" s="3">
        <v>45698.948969907404</v>
      </c>
      <c r="D898" t="s">
        <v>368</v>
      </c>
      <c r="E898" s="4">
        <v>5.2320000000000002</v>
      </c>
      <c r="F898" s="4">
        <v>413147.73700000002</v>
      </c>
      <c r="G898" s="4">
        <v>413152.96899999998</v>
      </c>
      <c r="H898" s="5">
        <f>59 / 86400</f>
        <v>6.8287037037037036E-4</v>
      </c>
      <c r="I898" t="s">
        <v>173</v>
      </c>
      <c r="J898" t="s">
        <v>36</v>
      </c>
      <c r="K898" s="5">
        <f>793 / 86400</f>
        <v>9.1782407407407403E-3</v>
      </c>
      <c r="L898" s="5">
        <f>1248 / 86400</f>
        <v>1.4444444444444444E-2</v>
      </c>
    </row>
    <row r="899" spans="1:12" x14ac:dyDescent="0.25">
      <c r="A899" s="3">
        <v>45698.963414351849</v>
      </c>
      <c r="B899" t="s">
        <v>368</v>
      </c>
      <c r="C899" s="3">
        <v>45698.967048611114</v>
      </c>
      <c r="D899" t="s">
        <v>80</v>
      </c>
      <c r="E899" s="4">
        <v>1.21</v>
      </c>
      <c r="F899" s="4">
        <v>413152.96899999998</v>
      </c>
      <c r="G899" s="4">
        <v>413154.179</v>
      </c>
      <c r="H899" s="5">
        <f>59 / 86400</f>
        <v>6.8287037037037036E-4</v>
      </c>
      <c r="I899" t="s">
        <v>193</v>
      </c>
      <c r="J899" t="s">
        <v>31</v>
      </c>
      <c r="K899" s="5">
        <f>313 / 86400</f>
        <v>3.6226851851851854E-3</v>
      </c>
      <c r="L899" s="5">
        <f>194 / 86400</f>
        <v>2.2453703703703702E-3</v>
      </c>
    </row>
    <row r="900" spans="1:12" x14ac:dyDescent="0.25">
      <c r="A900" s="3">
        <v>45698.969293981485</v>
      </c>
      <c r="B900" t="s">
        <v>80</v>
      </c>
      <c r="C900" s="3">
        <v>45698.970891203702</v>
      </c>
      <c r="D900" t="s">
        <v>80</v>
      </c>
      <c r="E900" s="4">
        <v>0.44700000000000001</v>
      </c>
      <c r="F900" s="4">
        <v>413154.179</v>
      </c>
      <c r="G900" s="4">
        <v>413154.62599999999</v>
      </c>
      <c r="H900" s="5">
        <f>40 / 86400</f>
        <v>4.6296296296296298E-4</v>
      </c>
      <c r="I900" t="s">
        <v>134</v>
      </c>
      <c r="J900" t="s">
        <v>102</v>
      </c>
      <c r="K900" s="5">
        <f>138 / 86400</f>
        <v>1.5972222222222223E-3</v>
      </c>
      <c r="L900" s="5">
        <f>2058 / 86400</f>
        <v>2.3819444444444445E-2</v>
      </c>
    </row>
    <row r="901" spans="1:12" x14ac:dyDescent="0.25">
      <c r="A901" s="3">
        <v>45698.994710648149</v>
      </c>
      <c r="B901" t="s">
        <v>80</v>
      </c>
      <c r="C901" s="3">
        <v>45698.995173611111</v>
      </c>
      <c r="D901" t="s">
        <v>80</v>
      </c>
      <c r="E901" s="4">
        <v>0.125</v>
      </c>
      <c r="F901" s="4">
        <v>413154.62599999999</v>
      </c>
      <c r="G901" s="4">
        <v>413154.75099999999</v>
      </c>
      <c r="H901" s="5">
        <f>0 / 86400</f>
        <v>0</v>
      </c>
      <c r="I901" t="s">
        <v>31</v>
      </c>
      <c r="J901" t="s">
        <v>59</v>
      </c>
      <c r="K901" s="5">
        <f>40 / 86400</f>
        <v>4.6296296296296298E-4</v>
      </c>
      <c r="L901" s="5">
        <f>100 / 86400</f>
        <v>1.1574074074074073E-3</v>
      </c>
    </row>
    <row r="902" spans="1:12" x14ac:dyDescent="0.25">
      <c r="A902" s="3">
        <v>45698.996331018519</v>
      </c>
      <c r="B902" t="s">
        <v>80</v>
      </c>
      <c r="C902" s="3">
        <v>45698.996469907404</v>
      </c>
      <c r="D902" t="s">
        <v>80</v>
      </c>
      <c r="E902" s="4">
        <v>1.2999999999999999E-2</v>
      </c>
      <c r="F902" s="4">
        <v>413154.75099999999</v>
      </c>
      <c r="G902" s="4">
        <v>413154.76400000002</v>
      </c>
      <c r="H902" s="5">
        <f>0 / 86400</f>
        <v>0</v>
      </c>
      <c r="I902" t="s">
        <v>126</v>
      </c>
      <c r="J902" t="s">
        <v>43</v>
      </c>
      <c r="K902" s="5">
        <f>12 / 86400</f>
        <v>1.3888888888888889E-4</v>
      </c>
      <c r="L902" s="5">
        <f>304 / 86400</f>
        <v>3.5185185185185185E-3</v>
      </c>
    </row>
    <row r="903" spans="1:12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 spans="1:12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 spans="1:12" s="10" customFormat="1" ht="20.100000000000001" customHeight="1" x14ac:dyDescent="0.35">
      <c r="A905" s="12" t="s">
        <v>427</v>
      </c>
      <c r="B905" s="12"/>
      <c r="C905" s="12"/>
      <c r="D905" s="12"/>
      <c r="E905" s="12"/>
      <c r="F905" s="12"/>
      <c r="G905" s="12"/>
      <c r="H905" s="12"/>
      <c r="I905" s="12"/>
      <c r="J905" s="12"/>
    </row>
    <row r="906" spans="1:12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 spans="1:12" ht="30" x14ac:dyDescent="0.25">
      <c r="A907" s="2" t="s">
        <v>5</v>
      </c>
      <c r="B907" s="2" t="s">
        <v>6</v>
      </c>
      <c r="C907" s="2" t="s">
        <v>7</v>
      </c>
      <c r="D907" s="2" t="s">
        <v>8</v>
      </c>
      <c r="E907" s="2" t="s">
        <v>9</v>
      </c>
      <c r="F907" s="2" t="s">
        <v>10</v>
      </c>
      <c r="G907" s="2" t="s">
        <v>11</v>
      </c>
      <c r="H907" s="2" t="s">
        <v>12</v>
      </c>
      <c r="I907" s="2" t="s">
        <v>13</v>
      </c>
      <c r="J907" s="2" t="s">
        <v>14</v>
      </c>
      <c r="K907" s="2" t="s">
        <v>15</v>
      </c>
      <c r="L907" s="2" t="s">
        <v>16</v>
      </c>
    </row>
    <row r="908" spans="1:12" x14ac:dyDescent="0.25">
      <c r="A908" s="3">
        <v>45698.172847222224</v>
      </c>
      <c r="B908" t="s">
        <v>29</v>
      </c>
      <c r="C908" s="3">
        <v>45698.174409722225</v>
      </c>
      <c r="D908" t="s">
        <v>29</v>
      </c>
      <c r="E908" s="4">
        <v>3.1E-2</v>
      </c>
      <c r="F908" s="4">
        <v>327386.30200000003</v>
      </c>
      <c r="G908" s="4">
        <v>327386.33299999998</v>
      </c>
      <c r="H908" s="5">
        <f>100 / 86400</f>
        <v>1.1574074074074073E-3</v>
      </c>
      <c r="I908" t="s">
        <v>125</v>
      </c>
      <c r="J908" t="s">
        <v>62</v>
      </c>
      <c r="K908" s="5">
        <f>135 / 86400</f>
        <v>1.5625000000000001E-3</v>
      </c>
      <c r="L908" s="5">
        <f>15081 / 86400</f>
        <v>0.17454861111111111</v>
      </c>
    </row>
    <row r="909" spans="1:12" x14ac:dyDescent="0.25">
      <c r="A909" s="3">
        <v>45698.176111111112</v>
      </c>
      <c r="B909" t="s">
        <v>29</v>
      </c>
      <c r="C909" s="3">
        <v>45698.32880787037</v>
      </c>
      <c r="D909" t="s">
        <v>44</v>
      </c>
      <c r="E909" s="4">
        <v>82.070999999999998</v>
      </c>
      <c r="F909" s="4">
        <v>327386.33299999998</v>
      </c>
      <c r="G909" s="4">
        <v>327468.40399999998</v>
      </c>
      <c r="H909" s="5">
        <f>2439 / 86400</f>
        <v>2.8229166666666666E-2</v>
      </c>
      <c r="I909" t="s">
        <v>88</v>
      </c>
      <c r="J909" t="s">
        <v>147</v>
      </c>
      <c r="K909" s="5">
        <f>13192 / 86400</f>
        <v>0.15268518518518517</v>
      </c>
      <c r="L909" s="5">
        <f>4908 / 86400</f>
        <v>5.6805555555555554E-2</v>
      </c>
    </row>
    <row r="910" spans="1:12" x14ac:dyDescent="0.25">
      <c r="A910" s="3">
        <v>45698.385613425926</v>
      </c>
      <c r="B910" t="s">
        <v>44</v>
      </c>
      <c r="C910" s="3">
        <v>45698.387291666666</v>
      </c>
      <c r="D910" t="s">
        <v>44</v>
      </c>
      <c r="E910" s="4">
        <v>7.3999999999999996E-2</v>
      </c>
      <c r="F910" s="4">
        <v>327468.40399999998</v>
      </c>
      <c r="G910" s="4">
        <v>327468.478</v>
      </c>
      <c r="H910" s="5">
        <f>59 / 86400</f>
        <v>6.8287037037037036E-4</v>
      </c>
      <c r="I910" t="s">
        <v>125</v>
      </c>
      <c r="J910" t="s">
        <v>132</v>
      </c>
      <c r="K910" s="5">
        <f>145 / 86400</f>
        <v>1.6782407407407408E-3</v>
      </c>
      <c r="L910" s="5">
        <f>61 / 86400</f>
        <v>7.0601851851851847E-4</v>
      </c>
    </row>
    <row r="911" spans="1:12" x14ac:dyDescent="0.25">
      <c r="A911" s="3">
        <v>45698.387997685189</v>
      </c>
      <c r="B911" t="s">
        <v>44</v>
      </c>
      <c r="C911" s="3">
        <v>45698.401990740742</v>
      </c>
      <c r="D911" t="s">
        <v>127</v>
      </c>
      <c r="E911" s="4">
        <v>0.88700000000000001</v>
      </c>
      <c r="F911" s="4">
        <v>327468.478</v>
      </c>
      <c r="G911" s="4">
        <v>327469.36499999999</v>
      </c>
      <c r="H911" s="5">
        <f>858 / 86400</f>
        <v>9.9305555555555553E-3</v>
      </c>
      <c r="I911" t="s">
        <v>136</v>
      </c>
      <c r="J911" t="s">
        <v>169</v>
      </c>
      <c r="K911" s="5">
        <f>1209 / 86400</f>
        <v>1.3993055555555555E-2</v>
      </c>
      <c r="L911" s="5">
        <f>650 / 86400</f>
        <v>7.5231481481481477E-3</v>
      </c>
    </row>
    <row r="912" spans="1:12" x14ac:dyDescent="0.25">
      <c r="A912" s="3">
        <v>45698.409513888888</v>
      </c>
      <c r="B912" t="s">
        <v>127</v>
      </c>
      <c r="C912" s="3">
        <v>45698.41238425926</v>
      </c>
      <c r="D912" t="s">
        <v>20</v>
      </c>
      <c r="E912" s="4">
        <v>0.42799999999999999</v>
      </c>
      <c r="F912" s="4">
        <v>327469.36499999999</v>
      </c>
      <c r="G912" s="4">
        <v>327469.79300000001</v>
      </c>
      <c r="H912" s="5">
        <f>139 / 86400</f>
        <v>1.6087962962962963E-3</v>
      </c>
      <c r="I912" t="s">
        <v>47</v>
      </c>
      <c r="J912" t="s">
        <v>61</v>
      </c>
      <c r="K912" s="5">
        <f>247 / 86400</f>
        <v>2.8587962962962963E-3</v>
      </c>
      <c r="L912" s="5">
        <f>878 / 86400</f>
        <v>1.0162037037037037E-2</v>
      </c>
    </row>
    <row r="913" spans="1:12" x14ac:dyDescent="0.25">
      <c r="A913" s="3">
        <v>45698.422546296293</v>
      </c>
      <c r="B913" t="s">
        <v>20</v>
      </c>
      <c r="C913" s="3">
        <v>45698.435763888891</v>
      </c>
      <c r="D913" t="s">
        <v>20</v>
      </c>
      <c r="E913" s="4">
        <v>0.17299999999999999</v>
      </c>
      <c r="F913" s="4">
        <v>327469.79300000001</v>
      </c>
      <c r="G913" s="4">
        <v>327469.96600000001</v>
      </c>
      <c r="H913" s="5">
        <f>1020 / 86400</f>
        <v>1.1805555555555555E-2</v>
      </c>
      <c r="I913" t="s">
        <v>138</v>
      </c>
      <c r="J913" t="s">
        <v>62</v>
      </c>
      <c r="K913" s="5">
        <f>1141 / 86400</f>
        <v>1.3206018518518518E-2</v>
      </c>
      <c r="L913" s="5">
        <f>761 / 86400</f>
        <v>8.8078703703703704E-3</v>
      </c>
    </row>
    <row r="914" spans="1:12" x14ac:dyDescent="0.25">
      <c r="A914" s="3">
        <v>45698.444571759261</v>
      </c>
      <c r="B914" t="s">
        <v>20</v>
      </c>
      <c r="C914" s="3">
        <v>45698.445833333331</v>
      </c>
      <c r="D914" t="s">
        <v>127</v>
      </c>
      <c r="E914" s="4">
        <v>0.40600000000000003</v>
      </c>
      <c r="F914" s="4">
        <v>327469.96600000001</v>
      </c>
      <c r="G914" s="4">
        <v>327470.37199999997</v>
      </c>
      <c r="H914" s="5">
        <f>0 / 86400</f>
        <v>0</v>
      </c>
      <c r="I914" t="s">
        <v>140</v>
      </c>
      <c r="J914" t="s">
        <v>97</v>
      </c>
      <c r="K914" s="5">
        <f>109 / 86400</f>
        <v>1.261574074074074E-3</v>
      </c>
      <c r="L914" s="5">
        <f>365 / 86400</f>
        <v>4.2245370370370371E-3</v>
      </c>
    </row>
    <row r="915" spans="1:12" x14ac:dyDescent="0.25">
      <c r="A915" s="3">
        <v>45698.450057870374</v>
      </c>
      <c r="B915" t="s">
        <v>127</v>
      </c>
      <c r="C915" s="3">
        <v>45698.574791666666</v>
      </c>
      <c r="D915" t="s">
        <v>369</v>
      </c>
      <c r="E915" s="4">
        <v>49.924999999999997</v>
      </c>
      <c r="F915" s="4">
        <v>327470.37199999997</v>
      </c>
      <c r="G915" s="4">
        <v>327520.29700000002</v>
      </c>
      <c r="H915" s="5">
        <f>3499 / 86400</f>
        <v>4.0497685185185185E-2</v>
      </c>
      <c r="I915" t="s">
        <v>32</v>
      </c>
      <c r="J915" t="s">
        <v>28</v>
      </c>
      <c r="K915" s="5">
        <f>10777 / 86400</f>
        <v>0.1247337962962963</v>
      </c>
      <c r="L915" s="5">
        <f>1049 / 86400</f>
        <v>1.2141203703703704E-2</v>
      </c>
    </row>
    <row r="916" spans="1:12" x14ac:dyDescent="0.25">
      <c r="A916" s="3">
        <v>45698.58693287037</v>
      </c>
      <c r="B916" t="s">
        <v>370</v>
      </c>
      <c r="C916" s="3">
        <v>45698.716631944444</v>
      </c>
      <c r="D916" t="s">
        <v>23</v>
      </c>
      <c r="E916" s="4">
        <v>55.722000000000001</v>
      </c>
      <c r="F916" s="4">
        <v>327520.29700000002</v>
      </c>
      <c r="G916" s="4">
        <v>327576.01899999997</v>
      </c>
      <c r="H916" s="5">
        <f>2800 / 86400</f>
        <v>3.2407407407407406E-2</v>
      </c>
      <c r="I916" t="s">
        <v>114</v>
      </c>
      <c r="J916" t="s">
        <v>25</v>
      </c>
      <c r="K916" s="5">
        <f>11206 / 86400</f>
        <v>0.12969907407407408</v>
      </c>
      <c r="L916" s="5">
        <f>384 / 86400</f>
        <v>4.4444444444444444E-3</v>
      </c>
    </row>
    <row r="917" spans="1:12" x14ac:dyDescent="0.25">
      <c r="A917" s="3">
        <v>45698.721076388887</v>
      </c>
      <c r="B917" t="s">
        <v>23</v>
      </c>
      <c r="C917" s="3">
        <v>45698.722858796296</v>
      </c>
      <c r="D917" t="s">
        <v>29</v>
      </c>
      <c r="E917" s="4">
        <v>0.50800000000000001</v>
      </c>
      <c r="F917" s="4">
        <v>327576.01899999997</v>
      </c>
      <c r="G917" s="4">
        <v>327576.527</v>
      </c>
      <c r="H917" s="5">
        <f>0 / 86400</f>
        <v>0</v>
      </c>
      <c r="I917" t="s">
        <v>147</v>
      </c>
      <c r="J917" t="s">
        <v>102</v>
      </c>
      <c r="K917" s="5">
        <f>153 / 86400</f>
        <v>1.7708333333333332E-3</v>
      </c>
      <c r="L917" s="5">
        <f>1746 / 86400</f>
        <v>2.0208333333333332E-2</v>
      </c>
    </row>
    <row r="918" spans="1:12" x14ac:dyDescent="0.25">
      <c r="A918" s="3">
        <v>45698.743067129632</v>
      </c>
      <c r="B918" t="s">
        <v>29</v>
      </c>
      <c r="C918" s="3">
        <v>45698.74417824074</v>
      </c>
      <c r="D918" t="s">
        <v>29</v>
      </c>
      <c r="E918" s="4">
        <v>4.5999999999999999E-2</v>
      </c>
      <c r="F918" s="4">
        <v>327576.527</v>
      </c>
      <c r="G918" s="4">
        <v>327576.57299999997</v>
      </c>
      <c r="H918" s="5">
        <f>39 / 86400</f>
        <v>4.5138888888888887E-4</v>
      </c>
      <c r="I918" t="s">
        <v>168</v>
      </c>
      <c r="J918" t="s">
        <v>132</v>
      </c>
      <c r="K918" s="5">
        <f>95 / 86400</f>
        <v>1.0995370370370371E-3</v>
      </c>
      <c r="L918" s="5">
        <f>1720 / 86400</f>
        <v>1.9907407407407408E-2</v>
      </c>
    </row>
    <row r="919" spans="1:12" x14ac:dyDescent="0.25">
      <c r="A919" s="3">
        <v>45698.764085648145</v>
      </c>
      <c r="B919" t="s">
        <v>29</v>
      </c>
      <c r="C919" s="3">
        <v>45698.76427083333</v>
      </c>
      <c r="D919" t="s">
        <v>29</v>
      </c>
      <c r="E919" s="4">
        <v>1E-3</v>
      </c>
      <c r="F919" s="4">
        <v>327576.57299999997</v>
      </c>
      <c r="G919" s="4">
        <v>327576.57400000002</v>
      </c>
      <c r="H919" s="5">
        <f>0 / 86400</f>
        <v>0</v>
      </c>
      <c r="I919" t="s">
        <v>126</v>
      </c>
      <c r="J919" t="s">
        <v>126</v>
      </c>
      <c r="K919" s="5">
        <f>16 / 86400</f>
        <v>1.8518518518518518E-4</v>
      </c>
      <c r="L919" s="5">
        <f>20366 / 86400</f>
        <v>0.23571759259259259</v>
      </c>
    </row>
    <row r="920" spans="1:12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 spans="1:12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 spans="1:12" s="10" customFormat="1" ht="20.100000000000001" customHeight="1" x14ac:dyDescent="0.35">
      <c r="A922" s="12" t="s">
        <v>428</v>
      </c>
      <c r="B922" s="12"/>
      <c r="C922" s="12"/>
      <c r="D922" s="12"/>
      <c r="E922" s="12"/>
      <c r="F922" s="12"/>
      <c r="G922" s="12"/>
      <c r="H922" s="12"/>
      <c r="I922" s="12"/>
      <c r="J922" s="12"/>
    </row>
    <row r="923" spans="1:12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 spans="1:12" ht="30" x14ac:dyDescent="0.25">
      <c r="A924" s="2" t="s">
        <v>5</v>
      </c>
      <c r="B924" s="2" t="s">
        <v>6</v>
      </c>
      <c r="C924" s="2" t="s">
        <v>7</v>
      </c>
      <c r="D924" s="2" t="s">
        <v>8</v>
      </c>
      <c r="E924" s="2" t="s">
        <v>9</v>
      </c>
      <c r="F924" s="2" t="s">
        <v>10</v>
      </c>
      <c r="G924" s="2" t="s">
        <v>11</v>
      </c>
      <c r="H924" s="2" t="s">
        <v>12</v>
      </c>
      <c r="I924" s="2" t="s">
        <v>13</v>
      </c>
      <c r="J924" s="2" t="s">
        <v>14</v>
      </c>
      <c r="K924" s="2" t="s">
        <v>15</v>
      </c>
      <c r="L924" s="2" t="s">
        <v>16</v>
      </c>
    </row>
    <row r="925" spans="1:12" x14ac:dyDescent="0.25">
      <c r="A925" s="3">
        <v>45698.04315972222</v>
      </c>
      <c r="B925" t="s">
        <v>29</v>
      </c>
      <c r="C925" s="3">
        <v>45698.04650462963</v>
      </c>
      <c r="D925" t="s">
        <v>29</v>
      </c>
      <c r="E925" s="4">
        <v>0.10299999999999999</v>
      </c>
      <c r="F925" s="4">
        <v>359921.30800000002</v>
      </c>
      <c r="G925" s="4">
        <v>359921.41100000002</v>
      </c>
      <c r="H925" s="5">
        <f>220 / 86400</f>
        <v>2.5462962962962965E-3</v>
      </c>
      <c r="I925" t="s">
        <v>89</v>
      </c>
      <c r="J925" t="s">
        <v>62</v>
      </c>
      <c r="K925" s="5">
        <f>289 / 86400</f>
        <v>3.3449074074074076E-3</v>
      </c>
      <c r="L925" s="5">
        <f>86110 / 86400</f>
        <v>0.99664351851851851</v>
      </c>
    </row>
    <row r="926" spans="1:12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 spans="1:12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 spans="1:12" s="10" customFormat="1" ht="20.100000000000001" customHeight="1" x14ac:dyDescent="0.35">
      <c r="A928" s="12" t="s">
        <v>429</v>
      </c>
      <c r="B928" s="12"/>
      <c r="C928" s="12"/>
      <c r="D928" s="12"/>
      <c r="E928" s="12"/>
      <c r="F928" s="12"/>
      <c r="G928" s="12"/>
      <c r="H928" s="12"/>
      <c r="I928" s="12"/>
      <c r="J928" s="12"/>
    </row>
    <row r="929" spans="1:12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 spans="1:12" ht="30" x14ac:dyDescent="0.25">
      <c r="A930" s="2" t="s">
        <v>5</v>
      </c>
      <c r="B930" s="2" t="s">
        <v>6</v>
      </c>
      <c r="C930" s="2" t="s">
        <v>7</v>
      </c>
      <c r="D930" s="2" t="s">
        <v>8</v>
      </c>
      <c r="E930" s="2" t="s">
        <v>9</v>
      </c>
      <c r="F930" s="2" t="s">
        <v>10</v>
      </c>
      <c r="G930" s="2" t="s">
        <v>11</v>
      </c>
      <c r="H930" s="2" t="s">
        <v>12</v>
      </c>
      <c r="I930" s="2" t="s">
        <v>13</v>
      </c>
      <c r="J930" s="2" t="s">
        <v>14</v>
      </c>
      <c r="K930" s="2" t="s">
        <v>15</v>
      </c>
      <c r="L930" s="2" t="s">
        <v>16</v>
      </c>
    </row>
    <row r="931" spans="1:12" x14ac:dyDescent="0.25">
      <c r="A931" s="3">
        <v>45698.282442129625</v>
      </c>
      <c r="B931" t="s">
        <v>90</v>
      </c>
      <c r="C931" s="3">
        <v>45698.407418981486</v>
      </c>
      <c r="D931" t="s">
        <v>371</v>
      </c>
      <c r="E931" s="4">
        <v>50.781999999999996</v>
      </c>
      <c r="F931" s="4">
        <v>81188.252999999997</v>
      </c>
      <c r="G931" s="4">
        <v>81239.035000000003</v>
      </c>
      <c r="H931" s="5">
        <f>3619 / 86400</f>
        <v>4.1886574074074076E-2</v>
      </c>
      <c r="I931" t="s">
        <v>24</v>
      </c>
      <c r="J931" t="s">
        <v>28</v>
      </c>
      <c r="K931" s="5">
        <f>10798 / 86400</f>
        <v>0.12497685185185185</v>
      </c>
      <c r="L931" s="5">
        <f>25115 / 86400</f>
        <v>0.29068287037037038</v>
      </c>
    </row>
    <row r="932" spans="1:12" x14ac:dyDescent="0.25">
      <c r="A932" s="3">
        <v>45698.415659722217</v>
      </c>
      <c r="B932" t="s">
        <v>371</v>
      </c>
      <c r="C932" s="3">
        <v>45698.53943287037</v>
      </c>
      <c r="D932" t="s">
        <v>342</v>
      </c>
      <c r="E932" s="4">
        <v>53.006999999999998</v>
      </c>
      <c r="F932" s="4">
        <v>81239.035000000003</v>
      </c>
      <c r="G932" s="4">
        <v>81292.042000000001</v>
      </c>
      <c r="H932" s="5">
        <f>2919 / 86400</f>
        <v>3.3784722222222223E-2</v>
      </c>
      <c r="I932" t="s">
        <v>18</v>
      </c>
      <c r="J932" t="s">
        <v>25</v>
      </c>
      <c r="K932" s="5">
        <f>10694 / 86400</f>
        <v>0.12377314814814815</v>
      </c>
      <c r="L932" s="5">
        <f>234 / 86400</f>
        <v>2.7083333333333334E-3</v>
      </c>
    </row>
    <row r="933" spans="1:12" x14ac:dyDescent="0.25">
      <c r="A933" s="3">
        <v>45698.542141203703</v>
      </c>
      <c r="B933" t="s">
        <v>342</v>
      </c>
      <c r="C933" s="3">
        <v>45698.545624999999</v>
      </c>
      <c r="D933" t="s">
        <v>90</v>
      </c>
      <c r="E933" s="4">
        <v>1.18</v>
      </c>
      <c r="F933" s="4">
        <v>81292.042000000001</v>
      </c>
      <c r="G933" s="4">
        <v>81293.221999999994</v>
      </c>
      <c r="H933" s="5">
        <f>39 / 86400</f>
        <v>4.5138888888888887E-4</v>
      </c>
      <c r="I933" t="s">
        <v>143</v>
      </c>
      <c r="J933" t="s">
        <v>31</v>
      </c>
      <c r="K933" s="5">
        <f>300 / 86400</f>
        <v>3.472222222222222E-3</v>
      </c>
      <c r="L933" s="5">
        <f>6703 / 86400</f>
        <v>7.7581018518518521E-2</v>
      </c>
    </row>
    <row r="934" spans="1:12" x14ac:dyDescent="0.25">
      <c r="A934" s="3">
        <v>45698.623206018514</v>
      </c>
      <c r="B934" t="s">
        <v>90</v>
      </c>
      <c r="C934" s="3">
        <v>45698.863159722227</v>
      </c>
      <c r="D934" t="s">
        <v>342</v>
      </c>
      <c r="E934" s="4">
        <v>95.183999999999997</v>
      </c>
      <c r="F934" s="4">
        <v>81293.221999999994</v>
      </c>
      <c r="G934" s="4">
        <v>81388.406000000003</v>
      </c>
      <c r="H934" s="5">
        <f>6317 / 86400</f>
        <v>7.3113425925925929E-2</v>
      </c>
      <c r="I934" t="s">
        <v>91</v>
      </c>
      <c r="J934" t="s">
        <v>28</v>
      </c>
      <c r="K934" s="5">
        <f>20732 / 86400</f>
        <v>0.2399537037037037</v>
      </c>
      <c r="L934" s="5">
        <f>361 / 86400</f>
        <v>4.178240740740741E-3</v>
      </c>
    </row>
    <row r="935" spans="1:12" x14ac:dyDescent="0.25">
      <c r="A935" s="3">
        <v>45698.867337962962</v>
      </c>
      <c r="B935" t="s">
        <v>342</v>
      </c>
      <c r="C935" s="3">
        <v>45698.867384259254</v>
      </c>
      <c r="D935" t="s">
        <v>342</v>
      </c>
      <c r="E935" s="4">
        <v>0</v>
      </c>
      <c r="F935" s="4">
        <v>81388.406000000003</v>
      </c>
      <c r="G935" s="4">
        <v>81388.406000000003</v>
      </c>
      <c r="H935" s="5">
        <f>0 / 86400</f>
        <v>0</v>
      </c>
      <c r="I935" t="s">
        <v>126</v>
      </c>
      <c r="J935" t="s">
        <v>126</v>
      </c>
      <c r="K935" s="5">
        <f>3 / 86400</f>
        <v>3.4722222222222222E-5</v>
      </c>
      <c r="L935" s="5">
        <f>91 / 86400</f>
        <v>1.0532407407407407E-3</v>
      </c>
    </row>
    <row r="936" spans="1:12" x14ac:dyDescent="0.25">
      <c r="A936" s="3">
        <v>45698.868437500001</v>
      </c>
      <c r="B936" t="s">
        <v>372</v>
      </c>
      <c r="C936" s="3">
        <v>45698.87299768519</v>
      </c>
      <c r="D936" t="s">
        <v>90</v>
      </c>
      <c r="E936" s="4">
        <v>1.1850000000000001</v>
      </c>
      <c r="F936" s="4">
        <v>81388.406000000003</v>
      </c>
      <c r="G936" s="4">
        <v>81389.591</v>
      </c>
      <c r="H936" s="5">
        <f>119 / 86400</f>
        <v>1.3773148148148147E-3</v>
      </c>
      <c r="I936" t="s">
        <v>211</v>
      </c>
      <c r="J936" t="s">
        <v>59</v>
      </c>
      <c r="K936" s="5">
        <f>394 / 86400</f>
        <v>4.5601851851851853E-3</v>
      </c>
      <c r="L936" s="5">
        <f>1021 / 86400</f>
        <v>1.1817129629629629E-2</v>
      </c>
    </row>
    <row r="937" spans="1:12" x14ac:dyDescent="0.25">
      <c r="A937" s="3">
        <v>45698.88481481481</v>
      </c>
      <c r="B937" t="s">
        <v>90</v>
      </c>
      <c r="C937" s="3">
        <v>45698.885613425926</v>
      </c>
      <c r="D937" t="s">
        <v>90</v>
      </c>
      <c r="E937" s="4">
        <v>2.4E-2</v>
      </c>
      <c r="F937" s="4">
        <v>81389.591</v>
      </c>
      <c r="G937" s="4">
        <v>81389.615000000005</v>
      </c>
      <c r="H937" s="5">
        <f>0 / 86400</f>
        <v>0</v>
      </c>
      <c r="I937" t="s">
        <v>132</v>
      </c>
      <c r="J937" t="s">
        <v>62</v>
      </c>
      <c r="K937" s="5">
        <f>68 / 86400</f>
        <v>7.8703703703703705E-4</v>
      </c>
      <c r="L937" s="5">
        <f>9882 / 86400</f>
        <v>0.114375</v>
      </c>
    </row>
    <row r="938" spans="1:12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 spans="1:12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 spans="1:12" s="10" customFormat="1" ht="20.100000000000001" customHeight="1" x14ac:dyDescent="0.35">
      <c r="A940" s="12" t="s">
        <v>430</v>
      </c>
      <c r="B940" s="12"/>
      <c r="C940" s="12"/>
      <c r="D940" s="12"/>
      <c r="E940" s="12"/>
      <c r="F940" s="12"/>
      <c r="G940" s="12"/>
      <c r="H940" s="12"/>
      <c r="I940" s="12"/>
      <c r="J940" s="12"/>
    </row>
    <row r="941" spans="1:12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 spans="1:12" ht="30" x14ac:dyDescent="0.25">
      <c r="A942" s="2" t="s">
        <v>5</v>
      </c>
      <c r="B942" s="2" t="s">
        <v>6</v>
      </c>
      <c r="C942" s="2" t="s">
        <v>7</v>
      </c>
      <c r="D942" s="2" t="s">
        <v>8</v>
      </c>
      <c r="E942" s="2" t="s">
        <v>9</v>
      </c>
      <c r="F942" s="2" t="s">
        <v>10</v>
      </c>
      <c r="G942" s="2" t="s">
        <v>11</v>
      </c>
      <c r="H942" s="2" t="s">
        <v>12</v>
      </c>
      <c r="I942" s="2" t="s">
        <v>13</v>
      </c>
      <c r="J942" s="2" t="s">
        <v>14</v>
      </c>
      <c r="K942" s="2" t="s">
        <v>15</v>
      </c>
      <c r="L942" s="2" t="s">
        <v>16</v>
      </c>
    </row>
    <row r="943" spans="1:12" x14ac:dyDescent="0.25">
      <c r="A943" s="3">
        <v>45698.20758101852</v>
      </c>
      <c r="B943" t="s">
        <v>92</v>
      </c>
      <c r="C943" s="3">
        <v>45698.211979166663</v>
      </c>
      <c r="D943" t="s">
        <v>142</v>
      </c>
      <c r="E943" s="4">
        <v>0.622</v>
      </c>
      <c r="F943" s="4">
        <v>468964.51</v>
      </c>
      <c r="G943" s="4">
        <v>468965.13199999998</v>
      </c>
      <c r="H943" s="5">
        <f>179 / 86400</f>
        <v>2.0717592592592593E-3</v>
      </c>
      <c r="I943" t="s">
        <v>147</v>
      </c>
      <c r="J943" t="s">
        <v>61</v>
      </c>
      <c r="K943" s="5">
        <f>380 / 86400</f>
        <v>4.3981481481481484E-3</v>
      </c>
      <c r="L943" s="5">
        <f>17950 / 86400</f>
        <v>0.20775462962962962</v>
      </c>
    </row>
    <row r="944" spans="1:12" x14ac:dyDescent="0.25">
      <c r="A944" s="3">
        <v>45698.212152777778</v>
      </c>
      <c r="B944" t="s">
        <v>142</v>
      </c>
      <c r="C944" s="3">
        <v>45698.215196759258</v>
      </c>
      <c r="D944" t="s">
        <v>142</v>
      </c>
      <c r="E944" s="4">
        <v>1.0999999999999999E-2</v>
      </c>
      <c r="F944" s="4">
        <v>468965.13199999998</v>
      </c>
      <c r="G944" s="4">
        <v>468965.14299999998</v>
      </c>
      <c r="H944" s="5">
        <f>259 / 86400</f>
        <v>2.9976851851851853E-3</v>
      </c>
      <c r="I944" t="s">
        <v>126</v>
      </c>
      <c r="J944" t="s">
        <v>126</v>
      </c>
      <c r="K944" s="5">
        <f>263 / 86400</f>
        <v>3.0439814814814813E-3</v>
      </c>
      <c r="L944" s="5">
        <f>276 / 86400</f>
        <v>3.1944444444444446E-3</v>
      </c>
    </row>
    <row r="945" spans="1:12" x14ac:dyDescent="0.25">
      <c r="A945" s="3">
        <v>45698.2183912037</v>
      </c>
      <c r="B945" t="s">
        <v>142</v>
      </c>
      <c r="C945" s="3">
        <v>45698.459548611107</v>
      </c>
      <c r="D945" t="s">
        <v>137</v>
      </c>
      <c r="E945" s="4">
        <v>102.069</v>
      </c>
      <c r="F945" s="4">
        <v>468965.14299999998</v>
      </c>
      <c r="G945" s="4">
        <v>469067.212</v>
      </c>
      <c r="H945" s="5">
        <f>7080 / 86400</f>
        <v>8.1944444444444445E-2</v>
      </c>
      <c r="I945" t="s">
        <v>93</v>
      </c>
      <c r="J945" t="s">
        <v>25</v>
      </c>
      <c r="K945" s="5">
        <f>20836 / 86400</f>
        <v>0.2411574074074074</v>
      </c>
      <c r="L945" s="5">
        <f>1056 / 86400</f>
        <v>1.2222222222222223E-2</v>
      </c>
    </row>
    <row r="946" spans="1:12" x14ac:dyDescent="0.25">
      <c r="A946" s="3">
        <v>45698.471770833334</v>
      </c>
      <c r="B946" t="s">
        <v>137</v>
      </c>
      <c r="C946" s="3">
        <v>45698.479629629626</v>
      </c>
      <c r="D946" t="s">
        <v>44</v>
      </c>
      <c r="E946" s="4">
        <v>0.95899999999999996</v>
      </c>
      <c r="F946" s="4">
        <v>469067.212</v>
      </c>
      <c r="G946" s="4">
        <v>469068.17099999997</v>
      </c>
      <c r="H946" s="5">
        <f>399 / 86400</f>
        <v>4.6180555555555558E-3</v>
      </c>
      <c r="I946" t="s">
        <v>147</v>
      </c>
      <c r="J946" t="s">
        <v>125</v>
      </c>
      <c r="K946" s="5">
        <f>678 / 86400</f>
        <v>7.8472222222222224E-3</v>
      </c>
      <c r="L946" s="5">
        <f>648 / 86400</f>
        <v>7.4999999999999997E-3</v>
      </c>
    </row>
    <row r="947" spans="1:12" x14ac:dyDescent="0.25">
      <c r="A947" s="3">
        <v>45698.487129629633</v>
      </c>
      <c r="B947" t="s">
        <v>44</v>
      </c>
      <c r="C947" s="3">
        <v>45698.48814814815</v>
      </c>
      <c r="D947" t="s">
        <v>92</v>
      </c>
      <c r="E947" s="4">
        <v>0.152</v>
      </c>
      <c r="F947" s="4">
        <v>469068.17099999997</v>
      </c>
      <c r="G947" s="4">
        <v>469068.32299999997</v>
      </c>
      <c r="H947" s="5">
        <f>19 / 86400</f>
        <v>2.199074074074074E-4</v>
      </c>
      <c r="I947" t="s">
        <v>138</v>
      </c>
      <c r="J947" t="s">
        <v>61</v>
      </c>
      <c r="K947" s="5">
        <f>87 / 86400</f>
        <v>1.0069444444444444E-3</v>
      </c>
      <c r="L947" s="5">
        <f>2224 / 86400</f>
        <v>2.5740740740740741E-2</v>
      </c>
    </row>
    <row r="948" spans="1:12" x14ac:dyDescent="0.25">
      <c r="A948" s="3">
        <v>45698.513888888891</v>
      </c>
      <c r="B948" t="s">
        <v>92</v>
      </c>
      <c r="C948" s="3">
        <v>45698.631921296299</v>
      </c>
      <c r="D948" t="s">
        <v>373</v>
      </c>
      <c r="E948" s="4">
        <v>47.860999999999997</v>
      </c>
      <c r="F948" s="4">
        <v>469068.32299999997</v>
      </c>
      <c r="G948" s="4">
        <v>469116.18400000001</v>
      </c>
      <c r="H948" s="5">
        <f>3900 / 86400</f>
        <v>4.5138888888888888E-2</v>
      </c>
      <c r="I948" t="s">
        <v>32</v>
      </c>
      <c r="J948" t="s">
        <v>28</v>
      </c>
      <c r="K948" s="5">
        <f>10198 / 86400</f>
        <v>0.11803240740740741</v>
      </c>
      <c r="L948" s="5">
        <f>467 / 86400</f>
        <v>5.4050925925925924E-3</v>
      </c>
    </row>
    <row r="949" spans="1:12" x14ac:dyDescent="0.25">
      <c r="A949" s="3">
        <v>45698.637326388889</v>
      </c>
      <c r="B949" t="s">
        <v>150</v>
      </c>
      <c r="C949" s="3">
        <v>45698.753738425927</v>
      </c>
      <c r="D949" t="s">
        <v>123</v>
      </c>
      <c r="E949" s="4">
        <v>46.883000000000003</v>
      </c>
      <c r="F949" s="4">
        <v>469116.18400000001</v>
      </c>
      <c r="G949" s="4">
        <v>469163.06699999998</v>
      </c>
      <c r="H949" s="5">
        <f>3621 / 86400</f>
        <v>4.1909722222222223E-2</v>
      </c>
      <c r="I949" t="s">
        <v>78</v>
      </c>
      <c r="J949" t="s">
        <v>28</v>
      </c>
      <c r="K949" s="5">
        <f>10058 / 86400</f>
        <v>0.11641203703703704</v>
      </c>
      <c r="L949" s="5">
        <f>762 / 86400</f>
        <v>8.819444444444444E-3</v>
      </c>
    </row>
    <row r="950" spans="1:12" x14ac:dyDescent="0.25">
      <c r="A950" s="3">
        <v>45698.762557870374</v>
      </c>
      <c r="B950" t="s">
        <v>123</v>
      </c>
      <c r="C950" s="3">
        <v>45698.970219907409</v>
      </c>
      <c r="D950" t="s">
        <v>64</v>
      </c>
      <c r="E950" s="4">
        <v>96.162000000000006</v>
      </c>
      <c r="F950" s="4">
        <v>469163.06699999998</v>
      </c>
      <c r="G950" s="4">
        <v>469259.22899999999</v>
      </c>
      <c r="H950" s="5">
        <f>5598 / 86400</f>
        <v>6.4791666666666664E-2</v>
      </c>
      <c r="I950" t="s">
        <v>38</v>
      </c>
      <c r="J950" t="s">
        <v>33</v>
      </c>
      <c r="K950" s="5">
        <f>17942 / 86400</f>
        <v>0.20766203703703703</v>
      </c>
      <c r="L950" s="5">
        <f>508 / 86400</f>
        <v>5.8796296296296296E-3</v>
      </c>
    </row>
    <row r="951" spans="1:12" x14ac:dyDescent="0.25">
      <c r="A951" s="3">
        <v>45698.976099537038</v>
      </c>
      <c r="B951" t="s">
        <v>64</v>
      </c>
      <c r="C951" s="3">
        <v>45698.980509259258</v>
      </c>
      <c r="D951" t="s">
        <v>92</v>
      </c>
      <c r="E951" s="4">
        <v>0.85799999999999998</v>
      </c>
      <c r="F951" s="4">
        <v>469259.22899999999</v>
      </c>
      <c r="G951" s="4">
        <v>469260.087</v>
      </c>
      <c r="H951" s="5">
        <f>120 / 86400</f>
        <v>1.3888888888888889E-3</v>
      </c>
      <c r="I951" t="s">
        <v>229</v>
      </c>
      <c r="J951" t="s">
        <v>168</v>
      </c>
      <c r="K951" s="5">
        <f>380 / 86400</f>
        <v>4.3981481481481484E-3</v>
      </c>
      <c r="L951" s="5">
        <f>1683 / 86400</f>
        <v>1.9479166666666665E-2</v>
      </c>
    </row>
    <row r="952" spans="1:12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 spans="1:12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 spans="1:12" s="10" customFormat="1" ht="20.100000000000001" customHeight="1" x14ac:dyDescent="0.35">
      <c r="A954" s="12" t="s">
        <v>431</v>
      </c>
      <c r="B954" s="12"/>
      <c r="C954" s="12"/>
      <c r="D954" s="12"/>
      <c r="E954" s="12"/>
      <c r="F954" s="12"/>
      <c r="G954" s="12"/>
      <c r="H954" s="12"/>
      <c r="I954" s="12"/>
      <c r="J954" s="12"/>
    </row>
    <row r="955" spans="1:12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 spans="1:12" ht="30" x14ac:dyDescent="0.25">
      <c r="A956" s="2" t="s">
        <v>5</v>
      </c>
      <c r="B956" s="2" t="s">
        <v>6</v>
      </c>
      <c r="C956" s="2" t="s">
        <v>7</v>
      </c>
      <c r="D956" s="2" t="s">
        <v>8</v>
      </c>
      <c r="E956" s="2" t="s">
        <v>9</v>
      </c>
      <c r="F956" s="2" t="s">
        <v>10</v>
      </c>
      <c r="G956" s="2" t="s">
        <v>11</v>
      </c>
      <c r="H956" s="2" t="s">
        <v>12</v>
      </c>
      <c r="I956" s="2" t="s">
        <v>13</v>
      </c>
      <c r="J956" s="2" t="s">
        <v>14</v>
      </c>
      <c r="K956" s="2" t="s">
        <v>15</v>
      </c>
      <c r="L956" s="2" t="s">
        <v>16</v>
      </c>
    </row>
    <row r="957" spans="1:12" x14ac:dyDescent="0.25">
      <c r="A957" s="3">
        <v>45698.204699074078</v>
      </c>
      <c r="B957" t="s">
        <v>94</v>
      </c>
      <c r="C957" s="3">
        <v>45698.205092592594</v>
      </c>
      <c r="D957" t="s">
        <v>94</v>
      </c>
      <c r="E957" s="4">
        <v>1.4999999999999999E-2</v>
      </c>
      <c r="F957" s="4">
        <v>428139.92</v>
      </c>
      <c r="G957" s="4">
        <v>428139.935</v>
      </c>
      <c r="H957" s="5">
        <f>0 / 86400</f>
        <v>0</v>
      </c>
      <c r="I957" t="s">
        <v>125</v>
      </c>
      <c r="J957" t="s">
        <v>132</v>
      </c>
      <c r="K957" s="5">
        <f>34 / 86400</f>
        <v>3.9351851851851852E-4</v>
      </c>
      <c r="L957" s="5">
        <f>21184 / 86400</f>
        <v>0.24518518518518517</v>
      </c>
    </row>
    <row r="958" spans="1:12" x14ac:dyDescent="0.25">
      <c r="A958" s="3">
        <v>45698.245578703703</v>
      </c>
      <c r="B958" t="s">
        <v>94</v>
      </c>
      <c r="C958" s="3">
        <v>45698.24627314815</v>
      </c>
      <c r="D958" t="s">
        <v>94</v>
      </c>
      <c r="E958" s="4">
        <v>5.2999999999999999E-2</v>
      </c>
      <c r="F958" s="4">
        <v>428139.935</v>
      </c>
      <c r="G958" s="4">
        <v>428139.98800000001</v>
      </c>
      <c r="H958" s="5">
        <f>0 / 86400</f>
        <v>0</v>
      </c>
      <c r="I958" t="s">
        <v>168</v>
      </c>
      <c r="J958" t="s">
        <v>169</v>
      </c>
      <c r="K958" s="5">
        <f>60 / 86400</f>
        <v>6.9444444444444447E-4</v>
      </c>
      <c r="L958" s="5">
        <f>2516 / 86400</f>
        <v>2.9120370370370369E-2</v>
      </c>
    </row>
    <row r="959" spans="1:12" x14ac:dyDescent="0.25">
      <c r="A959" s="3">
        <v>45698.275393518517</v>
      </c>
      <c r="B959" t="s">
        <v>94</v>
      </c>
      <c r="C959" s="3">
        <v>45698.275671296295</v>
      </c>
      <c r="D959" t="s">
        <v>94</v>
      </c>
      <c r="E959" s="4">
        <v>0</v>
      </c>
      <c r="F959" s="4">
        <v>428139.98800000001</v>
      </c>
      <c r="G959" s="4">
        <v>428139.98800000001</v>
      </c>
      <c r="H959" s="5">
        <f>19 / 86400</f>
        <v>2.199074074074074E-4</v>
      </c>
      <c r="I959" t="s">
        <v>126</v>
      </c>
      <c r="J959" t="s">
        <v>126</v>
      </c>
      <c r="K959" s="5">
        <f>23 / 86400</f>
        <v>2.6620370370370372E-4</v>
      </c>
      <c r="L959" s="5">
        <f>108 / 86400</f>
        <v>1.25E-3</v>
      </c>
    </row>
    <row r="960" spans="1:12" x14ac:dyDescent="0.25">
      <c r="A960" s="3">
        <v>45698.276921296296</v>
      </c>
      <c r="B960" t="s">
        <v>94</v>
      </c>
      <c r="C960" s="3">
        <v>45698.406412037039</v>
      </c>
      <c r="D960" t="s">
        <v>374</v>
      </c>
      <c r="E960" s="4">
        <v>52.371000000000002</v>
      </c>
      <c r="F960" s="4">
        <v>428139.98800000001</v>
      </c>
      <c r="G960" s="4">
        <v>428192.359</v>
      </c>
      <c r="H960" s="5">
        <f>3880 / 86400</f>
        <v>4.490740740740741E-2</v>
      </c>
      <c r="I960" t="s">
        <v>40</v>
      </c>
      <c r="J960" t="s">
        <v>28</v>
      </c>
      <c r="K960" s="5">
        <f>11187 / 86400</f>
        <v>0.12947916666666667</v>
      </c>
      <c r="L960" s="5">
        <f>102 / 86400</f>
        <v>1.1805555555555556E-3</v>
      </c>
    </row>
    <row r="961" spans="1:12" x14ac:dyDescent="0.25">
      <c r="A961" s="3">
        <v>45698.407592592594</v>
      </c>
      <c r="B961" t="s">
        <v>375</v>
      </c>
      <c r="C961" s="3">
        <v>45698.538888888885</v>
      </c>
      <c r="D961" t="s">
        <v>95</v>
      </c>
      <c r="E961" s="4">
        <v>20.975999999999999</v>
      </c>
      <c r="F961" s="4">
        <v>428192.36</v>
      </c>
      <c r="G961" s="4">
        <v>428213.33600000001</v>
      </c>
      <c r="H961" s="5">
        <f>9311 / 86400</f>
        <v>0.1077662037037037</v>
      </c>
      <c r="I961" t="s">
        <v>155</v>
      </c>
      <c r="J961" t="s">
        <v>89</v>
      </c>
      <c r="K961" s="5">
        <f>11344 / 86400</f>
        <v>0.1312962962962963</v>
      </c>
      <c r="L961" s="5">
        <f>372 / 86400</f>
        <v>4.3055555555555555E-3</v>
      </c>
    </row>
    <row r="962" spans="1:12" x14ac:dyDescent="0.25">
      <c r="A962" s="3">
        <v>45698.543194444443</v>
      </c>
      <c r="B962" t="s">
        <v>95</v>
      </c>
      <c r="C962" s="3">
        <v>45698.546527777777</v>
      </c>
      <c r="D962" t="s">
        <v>95</v>
      </c>
      <c r="E962" s="4">
        <v>0</v>
      </c>
      <c r="F962" s="4">
        <v>428213.33600000001</v>
      </c>
      <c r="G962" s="4">
        <v>428213.33600000001</v>
      </c>
      <c r="H962" s="5">
        <f>279 / 86400</f>
        <v>3.2291666666666666E-3</v>
      </c>
      <c r="I962" t="s">
        <v>126</v>
      </c>
      <c r="J962" t="s">
        <v>126</v>
      </c>
      <c r="K962" s="5">
        <f>288 / 86400</f>
        <v>3.3333333333333335E-3</v>
      </c>
      <c r="L962" s="5">
        <f>456 / 86400</f>
        <v>5.2777777777777779E-3</v>
      </c>
    </row>
    <row r="963" spans="1:12" x14ac:dyDescent="0.25">
      <c r="A963" s="3">
        <v>45698.551805555559</v>
      </c>
      <c r="B963" t="s">
        <v>95</v>
      </c>
      <c r="C963" s="3">
        <v>45698.55368055556</v>
      </c>
      <c r="D963" t="s">
        <v>95</v>
      </c>
      <c r="E963" s="4">
        <v>0</v>
      </c>
      <c r="F963" s="4">
        <v>428213.33600000001</v>
      </c>
      <c r="G963" s="4">
        <v>428213.33600000001</v>
      </c>
      <c r="H963" s="5">
        <f>159 / 86400</f>
        <v>1.8402777777777777E-3</v>
      </c>
      <c r="I963" t="s">
        <v>126</v>
      </c>
      <c r="J963" t="s">
        <v>126</v>
      </c>
      <c r="K963" s="5">
        <f>162 / 86400</f>
        <v>1.8749999999999999E-3</v>
      </c>
      <c r="L963" s="5">
        <f>2393 / 86400</f>
        <v>2.7696759259259258E-2</v>
      </c>
    </row>
    <row r="964" spans="1:12" x14ac:dyDescent="0.25">
      <c r="A964" s="3">
        <v>45698.581377314811</v>
      </c>
      <c r="B964" t="s">
        <v>95</v>
      </c>
      <c r="C964" s="3">
        <v>45698.583969907406</v>
      </c>
      <c r="D964" t="s">
        <v>95</v>
      </c>
      <c r="E964" s="4">
        <v>0</v>
      </c>
      <c r="F964" s="4">
        <v>428213.33600000001</v>
      </c>
      <c r="G964" s="4">
        <v>428213.33600000001</v>
      </c>
      <c r="H964" s="5">
        <f>219 / 86400</f>
        <v>2.5347222222222221E-3</v>
      </c>
      <c r="I964" t="s">
        <v>126</v>
      </c>
      <c r="J964" t="s">
        <v>126</v>
      </c>
      <c r="K964" s="5">
        <f>224 / 86400</f>
        <v>2.5925925925925925E-3</v>
      </c>
      <c r="L964" s="5">
        <f>189 / 86400</f>
        <v>2.1875000000000002E-3</v>
      </c>
    </row>
    <row r="965" spans="1:12" x14ac:dyDescent="0.25">
      <c r="A965" s="3">
        <v>45698.586157407408</v>
      </c>
      <c r="B965" t="s">
        <v>95</v>
      </c>
      <c r="C965" s="3">
        <v>45698.586400462962</v>
      </c>
      <c r="D965" t="s">
        <v>95</v>
      </c>
      <c r="E965" s="4">
        <v>0</v>
      </c>
      <c r="F965" s="4">
        <v>428213.33600000001</v>
      </c>
      <c r="G965" s="4">
        <v>428213.33600000001</v>
      </c>
      <c r="H965" s="5">
        <f>19 / 86400</f>
        <v>2.199074074074074E-4</v>
      </c>
      <c r="I965" t="s">
        <v>126</v>
      </c>
      <c r="J965" t="s">
        <v>126</v>
      </c>
      <c r="K965" s="5">
        <f>21 / 86400</f>
        <v>2.4305555555555555E-4</v>
      </c>
      <c r="L965" s="5">
        <f>232 / 86400</f>
        <v>2.685185185185185E-3</v>
      </c>
    </row>
    <row r="966" spans="1:12" x14ac:dyDescent="0.25">
      <c r="A966" s="3">
        <v>45698.589085648149</v>
      </c>
      <c r="B966" t="s">
        <v>95</v>
      </c>
      <c r="C966" s="3">
        <v>45698.589212962965</v>
      </c>
      <c r="D966" t="s">
        <v>95</v>
      </c>
      <c r="E966" s="4">
        <v>0</v>
      </c>
      <c r="F966" s="4">
        <v>428213.33600000001</v>
      </c>
      <c r="G966" s="4">
        <v>428213.33600000001</v>
      </c>
      <c r="H966" s="5">
        <f>0 / 86400</f>
        <v>0</v>
      </c>
      <c r="I966" t="s">
        <v>126</v>
      </c>
      <c r="J966" t="s">
        <v>126</v>
      </c>
      <c r="K966" s="5">
        <f>11 / 86400</f>
        <v>1.273148148148148E-4</v>
      </c>
      <c r="L966" s="5">
        <f>311 / 86400</f>
        <v>3.5995370370370369E-3</v>
      </c>
    </row>
    <row r="967" spans="1:12" x14ac:dyDescent="0.25">
      <c r="A967" s="3">
        <v>45698.592812499999</v>
      </c>
      <c r="B967" t="s">
        <v>95</v>
      </c>
      <c r="C967" s="3">
        <v>45698.59302083333</v>
      </c>
      <c r="D967" t="s">
        <v>95</v>
      </c>
      <c r="E967" s="4">
        <v>0</v>
      </c>
      <c r="F967" s="4">
        <v>428213.33600000001</v>
      </c>
      <c r="G967" s="4">
        <v>428213.33600000001</v>
      </c>
      <c r="H967" s="5">
        <f>0 / 86400</f>
        <v>0</v>
      </c>
      <c r="I967" t="s">
        <v>126</v>
      </c>
      <c r="J967" t="s">
        <v>126</v>
      </c>
      <c r="K967" s="5">
        <f>18 / 86400</f>
        <v>2.0833333333333335E-4</v>
      </c>
      <c r="L967" s="5">
        <f>196 / 86400</f>
        <v>2.2685185185185187E-3</v>
      </c>
    </row>
    <row r="968" spans="1:12" x14ac:dyDescent="0.25">
      <c r="A968" s="3">
        <v>45698.595289351855</v>
      </c>
      <c r="B968" t="s">
        <v>95</v>
      </c>
      <c r="C968" s="3">
        <v>45698.842766203699</v>
      </c>
      <c r="D968" t="s">
        <v>95</v>
      </c>
      <c r="E968" s="4">
        <v>0</v>
      </c>
      <c r="F968" s="4">
        <v>428213.33600000001</v>
      </c>
      <c r="G968" s="4">
        <v>428213.33600000001</v>
      </c>
      <c r="H968" s="5">
        <f>21379 / 86400</f>
        <v>0.24744212962962964</v>
      </c>
      <c r="I968" t="s">
        <v>126</v>
      </c>
      <c r="J968" t="s">
        <v>126</v>
      </c>
      <c r="K968" s="5">
        <f>21382 / 86400</f>
        <v>0.24747685185185186</v>
      </c>
      <c r="L968" s="5">
        <f>229 / 86400</f>
        <v>2.650462962962963E-3</v>
      </c>
    </row>
    <row r="969" spans="1:12" x14ac:dyDescent="0.25">
      <c r="A969" s="3">
        <v>45698.845416666663</v>
      </c>
      <c r="B969" t="s">
        <v>95</v>
      </c>
      <c r="C969" s="3">
        <v>45698.846805555557</v>
      </c>
      <c r="D969" t="s">
        <v>95</v>
      </c>
      <c r="E969" s="4">
        <v>0</v>
      </c>
      <c r="F969" s="4">
        <v>428213.33600000001</v>
      </c>
      <c r="G969" s="4">
        <v>428213.33600000001</v>
      </c>
      <c r="H969" s="5">
        <f>99 / 86400</f>
        <v>1.1458333333333333E-3</v>
      </c>
      <c r="I969" t="s">
        <v>126</v>
      </c>
      <c r="J969" t="s">
        <v>126</v>
      </c>
      <c r="K969" s="5">
        <f>120 / 86400</f>
        <v>1.3888888888888889E-3</v>
      </c>
      <c r="L969" s="5">
        <f>817 / 86400</f>
        <v>9.4560185185185181E-3</v>
      </c>
    </row>
    <row r="970" spans="1:12" x14ac:dyDescent="0.25">
      <c r="A970" s="3">
        <v>45698.856261574074</v>
      </c>
      <c r="B970" t="s">
        <v>95</v>
      </c>
      <c r="C970" s="3">
        <v>45698.859305555554</v>
      </c>
      <c r="D970" t="s">
        <v>95</v>
      </c>
      <c r="E970" s="4">
        <v>0</v>
      </c>
      <c r="F970" s="4">
        <v>428213.33600000001</v>
      </c>
      <c r="G970" s="4">
        <v>428213.33600000001</v>
      </c>
      <c r="H970" s="5">
        <f>259 / 86400</f>
        <v>2.9976851851851853E-3</v>
      </c>
      <c r="I970" t="s">
        <v>126</v>
      </c>
      <c r="J970" t="s">
        <v>126</v>
      </c>
      <c r="K970" s="5">
        <f>263 / 86400</f>
        <v>3.0439814814814813E-3</v>
      </c>
      <c r="L970" s="5">
        <f>12155 / 86400</f>
        <v>0.14068287037037036</v>
      </c>
    </row>
    <row r="971" spans="1:12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 spans="1:12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 spans="1:12" s="10" customFormat="1" ht="20.100000000000001" customHeight="1" x14ac:dyDescent="0.35">
      <c r="A973" s="12" t="s">
        <v>432</v>
      </c>
      <c r="B973" s="12"/>
      <c r="C973" s="12"/>
      <c r="D973" s="12"/>
      <c r="E973" s="12"/>
      <c r="F973" s="12"/>
      <c r="G973" s="12"/>
      <c r="H973" s="12"/>
      <c r="I973" s="12"/>
      <c r="J973" s="12"/>
    </row>
    <row r="974" spans="1:12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 spans="1:12" ht="30" x14ac:dyDescent="0.25">
      <c r="A975" s="2" t="s">
        <v>5</v>
      </c>
      <c r="B975" s="2" t="s">
        <v>6</v>
      </c>
      <c r="C975" s="2" t="s">
        <v>7</v>
      </c>
      <c r="D975" s="2" t="s">
        <v>8</v>
      </c>
      <c r="E975" s="2" t="s">
        <v>9</v>
      </c>
      <c r="F975" s="2" t="s">
        <v>10</v>
      </c>
      <c r="G975" s="2" t="s">
        <v>11</v>
      </c>
      <c r="H975" s="2" t="s">
        <v>12</v>
      </c>
      <c r="I975" s="2" t="s">
        <v>13</v>
      </c>
      <c r="J975" s="2" t="s">
        <v>14</v>
      </c>
      <c r="K975" s="2" t="s">
        <v>15</v>
      </c>
      <c r="L975" s="2" t="s">
        <v>16</v>
      </c>
    </row>
    <row r="976" spans="1:12" x14ac:dyDescent="0.25">
      <c r="A976" s="3">
        <v>45698.213958333334</v>
      </c>
      <c r="B976" t="s">
        <v>29</v>
      </c>
      <c r="C976" s="3">
        <v>45698.233888888892</v>
      </c>
      <c r="D976" t="s">
        <v>376</v>
      </c>
      <c r="E976" s="4">
        <v>1.393</v>
      </c>
      <c r="F976" s="4">
        <v>574898.50199999998</v>
      </c>
      <c r="G976" s="4">
        <v>574899.89500000002</v>
      </c>
      <c r="H976" s="5">
        <f>1259 / 86400</f>
        <v>1.457175925925926E-2</v>
      </c>
      <c r="I976" t="s">
        <v>171</v>
      </c>
      <c r="J976" t="s">
        <v>169</v>
      </c>
      <c r="K976" s="5">
        <f>1722 / 86400</f>
        <v>1.9930555555555556E-2</v>
      </c>
      <c r="L976" s="5">
        <f>20692 / 86400</f>
        <v>0.23949074074074075</v>
      </c>
    </row>
    <row r="977" spans="1:12" x14ac:dyDescent="0.25">
      <c r="A977" s="3">
        <v>45698.259421296301</v>
      </c>
      <c r="B977" t="s">
        <v>376</v>
      </c>
      <c r="C977" s="3">
        <v>45698.398622685185</v>
      </c>
      <c r="D977" t="s">
        <v>320</v>
      </c>
      <c r="E977" s="4">
        <v>62.719000000000001</v>
      </c>
      <c r="F977" s="4">
        <v>574899.89500000002</v>
      </c>
      <c r="G977" s="4">
        <v>574962.61399999994</v>
      </c>
      <c r="H977" s="5">
        <f>3571 / 86400</f>
        <v>4.1331018518518517E-2</v>
      </c>
      <c r="I977" t="s">
        <v>18</v>
      </c>
      <c r="J977" t="s">
        <v>33</v>
      </c>
      <c r="K977" s="5">
        <f>12027 / 86400</f>
        <v>0.13920138888888889</v>
      </c>
      <c r="L977" s="5">
        <f>675 / 86400</f>
        <v>7.8125E-3</v>
      </c>
    </row>
    <row r="978" spans="1:12" x14ac:dyDescent="0.25">
      <c r="A978" s="3">
        <v>45698.406435185185</v>
      </c>
      <c r="B978" t="s">
        <v>320</v>
      </c>
      <c r="C978" s="3">
        <v>45698.409189814818</v>
      </c>
      <c r="D978" t="s">
        <v>123</v>
      </c>
      <c r="E978" s="4">
        <v>0.73399999999999999</v>
      </c>
      <c r="F978" s="4">
        <v>574962.61399999994</v>
      </c>
      <c r="G978" s="4">
        <v>574963.348</v>
      </c>
      <c r="H978" s="5">
        <f>99 / 86400</f>
        <v>1.1458333333333333E-3</v>
      </c>
      <c r="I978" t="s">
        <v>211</v>
      </c>
      <c r="J978" t="s">
        <v>59</v>
      </c>
      <c r="K978" s="5">
        <f>238 / 86400</f>
        <v>2.7546296296296294E-3</v>
      </c>
      <c r="L978" s="5">
        <f>400 / 86400</f>
        <v>4.6296296296296294E-3</v>
      </c>
    </row>
    <row r="979" spans="1:12" x14ac:dyDescent="0.25">
      <c r="A979" s="3">
        <v>45698.413819444446</v>
      </c>
      <c r="B979" t="s">
        <v>123</v>
      </c>
      <c r="C979" s="3">
        <v>45698.417800925927</v>
      </c>
      <c r="D979" t="s">
        <v>135</v>
      </c>
      <c r="E979" s="4">
        <v>1.367</v>
      </c>
      <c r="F979" s="4">
        <v>574963.348</v>
      </c>
      <c r="G979" s="4">
        <v>574964.71499999997</v>
      </c>
      <c r="H979" s="5">
        <f>0 / 86400</f>
        <v>0</v>
      </c>
      <c r="I979" t="s">
        <v>149</v>
      </c>
      <c r="J979" t="s">
        <v>31</v>
      </c>
      <c r="K979" s="5">
        <f>344 / 86400</f>
        <v>3.9814814814814817E-3</v>
      </c>
      <c r="L979" s="5">
        <f>2516 / 86400</f>
        <v>2.9120370370370369E-2</v>
      </c>
    </row>
    <row r="980" spans="1:12" x14ac:dyDescent="0.25">
      <c r="A980" s="3">
        <v>45698.446921296301</v>
      </c>
      <c r="B980" t="s">
        <v>135</v>
      </c>
      <c r="C980" s="3">
        <v>45698.57199074074</v>
      </c>
      <c r="D980" t="s">
        <v>343</v>
      </c>
      <c r="E980" s="4">
        <v>51.497</v>
      </c>
      <c r="F980" s="4">
        <v>574964.71499999997</v>
      </c>
      <c r="G980" s="4">
        <v>575016.21200000006</v>
      </c>
      <c r="H980" s="5">
        <f>3259 / 86400</f>
        <v>3.771990740740741E-2</v>
      </c>
      <c r="I980" t="s">
        <v>96</v>
      </c>
      <c r="J980" t="s">
        <v>28</v>
      </c>
      <c r="K980" s="5">
        <f>10805 / 86400</f>
        <v>0.12505787037037036</v>
      </c>
      <c r="L980" s="5">
        <f>3539 / 86400</f>
        <v>4.0960648148148149E-2</v>
      </c>
    </row>
    <row r="981" spans="1:12" x14ac:dyDescent="0.25">
      <c r="A981" s="3">
        <v>45698.612951388888</v>
      </c>
      <c r="B981" t="s">
        <v>343</v>
      </c>
      <c r="C981" s="3">
        <v>45698.941527777773</v>
      </c>
      <c r="D981" t="s">
        <v>29</v>
      </c>
      <c r="E981" s="4">
        <v>78.247</v>
      </c>
      <c r="F981" s="4">
        <v>575016.21200000006</v>
      </c>
      <c r="G981" s="4">
        <v>575094.45900000003</v>
      </c>
      <c r="H981" s="5">
        <f>15184 / 86400</f>
        <v>0.17574074074074075</v>
      </c>
      <c r="I981" t="s">
        <v>83</v>
      </c>
      <c r="J981" t="s">
        <v>129</v>
      </c>
      <c r="K981" s="5">
        <f>28389 / 86400</f>
        <v>0.3285763888888889</v>
      </c>
      <c r="L981" s="5">
        <f>5051 / 86400</f>
        <v>5.846064814814815E-2</v>
      </c>
    </row>
    <row r="982" spans="1:12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 spans="1:12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 spans="1:12" s="10" customFormat="1" ht="20.100000000000001" customHeight="1" x14ac:dyDescent="0.35">
      <c r="A984" s="12" t="s">
        <v>433</v>
      </c>
      <c r="B984" s="12"/>
      <c r="C984" s="12"/>
      <c r="D984" s="12"/>
      <c r="E984" s="12"/>
      <c r="F984" s="12"/>
      <c r="G984" s="12"/>
      <c r="H984" s="12"/>
      <c r="I984" s="12"/>
      <c r="J984" s="12"/>
    </row>
    <row r="985" spans="1:12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2" ht="30" x14ac:dyDescent="0.25">
      <c r="A986" s="2" t="s">
        <v>5</v>
      </c>
      <c r="B986" s="2" t="s">
        <v>6</v>
      </c>
      <c r="C986" s="2" t="s">
        <v>7</v>
      </c>
      <c r="D986" s="2" t="s">
        <v>8</v>
      </c>
      <c r="E986" s="2" t="s">
        <v>9</v>
      </c>
      <c r="F986" s="2" t="s">
        <v>10</v>
      </c>
      <c r="G986" s="2" t="s">
        <v>11</v>
      </c>
      <c r="H986" s="2" t="s">
        <v>12</v>
      </c>
      <c r="I986" s="2" t="s">
        <v>13</v>
      </c>
      <c r="J986" s="2" t="s">
        <v>14</v>
      </c>
      <c r="K986" s="2" t="s">
        <v>15</v>
      </c>
      <c r="L986" s="2" t="s">
        <v>16</v>
      </c>
    </row>
    <row r="987" spans="1:12" x14ac:dyDescent="0.25">
      <c r="A987" s="3">
        <v>45698.236516203702</v>
      </c>
      <c r="B987" t="s">
        <v>98</v>
      </c>
      <c r="C987" s="3">
        <v>45698.264050925922</v>
      </c>
      <c r="D987" t="s">
        <v>377</v>
      </c>
      <c r="E987" s="4">
        <v>5.2160000000000002</v>
      </c>
      <c r="F987" s="4">
        <v>415940.11800000002</v>
      </c>
      <c r="G987" s="4">
        <v>415945.33399999997</v>
      </c>
      <c r="H987" s="5">
        <f>1570 / 86400</f>
        <v>1.8171296296296297E-2</v>
      </c>
      <c r="I987" t="s">
        <v>195</v>
      </c>
      <c r="J987" t="s">
        <v>168</v>
      </c>
      <c r="K987" s="5">
        <f>2379 / 86400</f>
        <v>2.7534722222222221E-2</v>
      </c>
      <c r="L987" s="5">
        <f>20436 / 86400</f>
        <v>0.23652777777777778</v>
      </c>
    </row>
    <row r="988" spans="1:12" x14ac:dyDescent="0.25">
      <c r="A988" s="3">
        <v>45698.264062499999</v>
      </c>
      <c r="B988" t="s">
        <v>377</v>
      </c>
      <c r="C988" s="3">
        <v>45698.560208333336</v>
      </c>
      <c r="D988" t="s">
        <v>64</v>
      </c>
      <c r="E988" s="4">
        <v>132.70099999999999</v>
      </c>
      <c r="F988" s="4">
        <v>415945.33399999997</v>
      </c>
      <c r="G988" s="4">
        <v>416078.03499999997</v>
      </c>
      <c r="H988" s="5">
        <f>7794 / 86400</f>
        <v>9.0208333333333335E-2</v>
      </c>
      <c r="I988" t="s">
        <v>27</v>
      </c>
      <c r="J988" t="s">
        <v>33</v>
      </c>
      <c r="K988" s="5">
        <f>25586 / 86400</f>
        <v>0.29613425925925924</v>
      </c>
      <c r="L988" s="5">
        <f>2103 / 86400</f>
        <v>2.4340277777777777E-2</v>
      </c>
    </row>
    <row r="989" spans="1:12" x14ac:dyDescent="0.25">
      <c r="A989" s="3">
        <v>45698.584548611107</v>
      </c>
      <c r="B989" t="s">
        <v>64</v>
      </c>
      <c r="C989" s="3">
        <v>45698.802233796298</v>
      </c>
      <c r="D989" t="s">
        <v>98</v>
      </c>
      <c r="E989" s="4">
        <v>71.471999999999994</v>
      </c>
      <c r="F989" s="4">
        <v>416078.03499999997</v>
      </c>
      <c r="G989" s="4">
        <v>416149.50699999998</v>
      </c>
      <c r="H989" s="5">
        <f>7240 / 86400</f>
        <v>8.3796296296296299E-2</v>
      </c>
      <c r="I989" t="s">
        <v>156</v>
      </c>
      <c r="J989" t="s">
        <v>31</v>
      </c>
      <c r="K989" s="5">
        <f>18808 / 86400</f>
        <v>0.21768518518518518</v>
      </c>
      <c r="L989" s="5">
        <f>17086 / 86400</f>
        <v>0.19775462962962964</v>
      </c>
    </row>
    <row r="990" spans="1:12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 spans="1:12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 spans="1:12" s="10" customFormat="1" ht="20.100000000000001" customHeight="1" x14ac:dyDescent="0.35">
      <c r="A992" s="12" t="s">
        <v>434</v>
      </c>
      <c r="B992" s="12"/>
      <c r="C992" s="12"/>
      <c r="D992" s="12"/>
      <c r="E992" s="12"/>
      <c r="F992" s="12"/>
      <c r="G992" s="12"/>
      <c r="H992" s="12"/>
      <c r="I992" s="12"/>
      <c r="J992" s="12"/>
    </row>
    <row r="993" spans="1:12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 spans="1:12" ht="30" x14ac:dyDescent="0.25">
      <c r="A994" s="2" t="s">
        <v>5</v>
      </c>
      <c r="B994" s="2" t="s">
        <v>6</v>
      </c>
      <c r="C994" s="2" t="s">
        <v>7</v>
      </c>
      <c r="D994" s="2" t="s">
        <v>8</v>
      </c>
      <c r="E994" s="2" t="s">
        <v>9</v>
      </c>
      <c r="F994" s="2" t="s">
        <v>10</v>
      </c>
      <c r="G994" s="2" t="s">
        <v>11</v>
      </c>
      <c r="H994" s="2" t="s">
        <v>12</v>
      </c>
      <c r="I994" s="2" t="s">
        <v>13</v>
      </c>
      <c r="J994" s="2" t="s">
        <v>14</v>
      </c>
      <c r="K994" s="2" t="s">
        <v>15</v>
      </c>
      <c r="L994" s="2" t="s">
        <v>16</v>
      </c>
    </row>
    <row r="995" spans="1:12" x14ac:dyDescent="0.25">
      <c r="A995" s="3">
        <v>45698.372071759259</v>
      </c>
      <c r="B995" t="s">
        <v>99</v>
      </c>
      <c r="C995" s="3">
        <v>45698.385474537034</v>
      </c>
      <c r="D995" t="s">
        <v>123</v>
      </c>
      <c r="E995" s="4">
        <v>9.0559999999999992</v>
      </c>
      <c r="F995" s="4">
        <v>400209.53399999999</v>
      </c>
      <c r="G995" s="4">
        <v>400218.59</v>
      </c>
      <c r="H995" s="5">
        <f>319 / 86400</f>
        <v>3.6921296296296298E-3</v>
      </c>
      <c r="I995" t="s">
        <v>188</v>
      </c>
      <c r="J995" t="s">
        <v>140</v>
      </c>
      <c r="K995" s="5">
        <f>1158 / 86400</f>
        <v>1.3402777777777777E-2</v>
      </c>
      <c r="L995" s="5">
        <f>32442 / 86400</f>
        <v>0.37548611111111113</v>
      </c>
    </row>
    <row r="996" spans="1:12" x14ac:dyDescent="0.25">
      <c r="A996" s="3">
        <v>45698.388888888891</v>
      </c>
      <c r="B996" t="s">
        <v>123</v>
      </c>
      <c r="C996" s="3">
        <v>45698.398900462962</v>
      </c>
      <c r="D996" t="s">
        <v>142</v>
      </c>
      <c r="E996" s="4">
        <v>2.1459999999999999</v>
      </c>
      <c r="F996" s="4">
        <v>400218.59</v>
      </c>
      <c r="G996" s="4">
        <v>400220.73599999998</v>
      </c>
      <c r="H996" s="5">
        <f>320 / 86400</f>
        <v>3.7037037037037038E-3</v>
      </c>
      <c r="I996" t="s">
        <v>149</v>
      </c>
      <c r="J996" t="s">
        <v>138</v>
      </c>
      <c r="K996" s="5">
        <f>864 / 86400</f>
        <v>0.01</v>
      </c>
      <c r="L996" s="5">
        <f>115 / 86400</f>
        <v>1.3310185185185185E-3</v>
      </c>
    </row>
    <row r="997" spans="1:12" x14ac:dyDescent="0.25">
      <c r="A997" s="3">
        <v>45698.400231481486</v>
      </c>
      <c r="B997" t="s">
        <v>142</v>
      </c>
      <c r="C997" s="3">
        <v>45698.432824074072</v>
      </c>
      <c r="D997" t="s">
        <v>144</v>
      </c>
      <c r="E997" s="4">
        <v>18.396999999999998</v>
      </c>
      <c r="F997" s="4">
        <v>400220.73599999998</v>
      </c>
      <c r="G997" s="4">
        <v>400239.13299999997</v>
      </c>
      <c r="H997" s="5">
        <f>719 / 86400</f>
        <v>8.3217592592592596E-3</v>
      </c>
      <c r="I997" t="s">
        <v>40</v>
      </c>
      <c r="J997" t="s">
        <v>36</v>
      </c>
      <c r="K997" s="5">
        <f>2815 / 86400</f>
        <v>3.2581018518518516E-2</v>
      </c>
      <c r="L997" s="5">
        <f>8 / 86400</f>
        <v>9.2592592592592588E-5</v>
      </c>
    </row>
    <row r="998" spans="1:12" x14ac:dyDescent="0.25">
      <c r="A998" s="3">
        <v>45698.432916666672</v>
      </c>
      <c r="B998" t="s">
        <v>144</v>
      </c>
      <c r="C998" s="3">
        <v>45698.435046296298</v>
      </c>
      <c r="D998" t="s">
        <v>162</v>
      </c>
      <c r="E998" s="4">
        <v>1.194</v>
      </c>
      <c r="F998" s="4">
        <v>400239.13299999997</v>
      </c>
      <c r="G998" s="4">
        <v>400240.32699999999</v>
      </c>
      <c r="H998" s="5">
        <f>42 / 86400</f>
        <v>4.861111111111111E-4</v>
      </c>
      <c r="I998" t="s">
        <v>203</v>
      </c>
      <c r="J998" t="s">
        <v>47</v>
      </c>
      <c r="K998" s="5">
        <f>184 / 86400</f>
        <v>2.1296296296296298E-3</v>
      </c>
      <c r="L998" s="5">
        <f>3 / 86400</f>
        <v>3.4722222222222222E-5</v>
      </c>
    </row>
    <row r="999" spans="1:12" x14ac:dyDescent="0.25">
      <c r="A999" s="3">
        <v>45698.435081018513</v>
      </c>
      <c r="B999" t="s">
        <v>162</v>
      </c>
      <c r="C999" s="3">
        <v>45698.435648148152</v>
      </c>
      <c r="D999" t="s">
        <v>162</v>
      </c>
      <c r="E999" s="4">
        <v>0.20100000000000001</v>
      </c>
      <c r="F999" s="4">
        <v>400240.32699999999</v>
      </c>
      <c r="G999" s="4">
        <v>400240.52799999999</v>
      </c>
      <c r="H999" s="5">
        <f>0 / 86400</f>
        <v>0</v>
      </c>
      <c r="I999" t="s">
        <v>47</v>
      </c>
      <c r="J999" t="s">
        <v>57</v>
      </c>
      <c r="K999" s="5">
        <f>49 / 86400</f>
        <v>5.6712962962962967E-4</v>
      </c>
      <c r="L999" s="5">
        <f>43 / 86400</f>
        <v>4.9768518518518521E-4</v>
      </c>
    </row>
    <row r="1000" spans="1:12" x14ac:dyDescent="0.25">
      <c r="A1000" s="3">
        <v>45698.43614583333</v>
      </c>
      <c r="B1000" t="s">
        <v>162</v>
      </c>
      <c r="C1000" s="3">
        <v>45698.436168981483</v>
      </c>
      <c r="D1000" t="s">
        <v>162</v>
      </c>
      <c r="E1000" s="4">
        <v>0</v>
      </c>
      <c r="F1000" s="4">
        <v>400240.52799999999</v>
      </c>
      <c r="G1000" s="4">
        <v>400240.52799999999</v>
      </c>
      <c r="H1000" s="5">
        <f>0 / 86400</f>
        <v>0</v>
      </c>
      <c r="I1000" t="s">
        <v>126</v>
      </c>
      <c r="J1000" t="s">
        <v>126</v>
      </c>
      <c r="K1000" s="5">
        <f>2 / 86400</f>
        <v>2.3148148148148147E-5</v>
      </c>
      <c r="L1000" s="5">
        <f>130 / 86400</f>
        <v>1.5046296296296296E-3</v>
      </c>
    </row>
    <row r="1001" spans="1:12" x14ac:dyDescent="0.25">
      <c r="A1001" s="3">
        <v>45698.437673611115</v>
      </c>
      <c r="B1001" t="s">
        <v>162</v>
      </c>
      <c r="C1001" s="3">
        <v>45698.441261574073</v>
      </c>
      <c r="D1001" t="s">
        <v>204</v>
      </c>
      <c r="E1001" s="4">
        <v>2.3969999999999998</v>
      </c>
      <c r="F1001" s="4">
        <v>400240.52799999999</v>
      </c>
      <c r="G1001" s="4">
        <v>400242.92499999999</v>
      </c>
      <c r="H1001" s="5">
        <f>40 / 86400</f>
        <v>4.6296296296296298E-4</v>
      </c>
      <c r="I1001" t="s">
        <v>145</v>
      </c>
      <c r="J1001" t="s">
        <v>140</v>
      </c>
      <c r="K1001" s="5">
        <f>309 / 86400</f>
        <v>3.5763888888888889E-3</v>
      </c>
      <c r="L1001" s="5">
        <f>17 / 86400</f>
        <v>1.9675925925925926E-4</v>
      </c>
    </row>
    <row r="1002" spans="1:12" x14ac:dyDescent="0.25">
      <c r="A1002" s="3">
        <v>45698.441458333335</v>
      </c>
      <c r="B1002" t="s">
        <v>204</v>
      </c>
      <c r="C1002" s="3">
        <v>45698.443981481483</v>
      </c>
      <c r="D1002" t="s">
        <v>192</v>
      </c>
      <c r="E1002" s="4">
        <v>1.6539999999999999</v>
      </c>
      <c r="F1002" s="4">
        <v>400242.92499999999</v>
      </c>
      <c r="G1002" s="4">
        <v>400244.57900000003</v>
      </c>
      <c r="H1002" s="5">
        <f>0 / 86400</f>
        <v>0</v>
      </c>
      <c r="I1002" t="s">
        <v>229</v>
      </c>
      <c r="J1002" t="s">
        <v>185</v>
      </c>
      <c r="K1002" s="5">
        <f>218 / 86400</f>
        <v>2.5231481481481481E-3</v>
      </c>
      <c r="L1002" s="5">
        <f>698 / 86400</f>
        <v>8.0787037037037043E-3</v>
      </c>
    </row>
    <row r="1003" spans="1:12" x14ac:dyDescent="0.25">
      <c r="A1003" s="3">
        <v>45698.452060185184</v>
      </c>
      <c r="B1003" t="s">
        <v>192</v>
      </c>
      <c r="C1003" s="3">
        <v>45698.455601851849</v>
      </c>
      <c r="D1003" t="s">
        <v>111</v>
      </c>
      <c r="E1003" s="4">
        <v>1.292</v>
      </c>
      <c r="F1003" s="4">
        <v>400244.57900000003</v>
      </c>
      <c r="G1003" s="4">
        <v>400245.87099999998</v>
      </c>
      <c r="H1003" s="5">
        <f>20 / 86400</f>
        <v>2.3148148148148149E-4</v>
      </c>
      <c r="I1003" t="s">
        <v>22</v>
      </c>
      <c r="J1003" t="s">
        <v>57</v>
      </c>
      <c r="K1003" s="5">
        <f>305 / 86400</f>
        <v>3.5300925925925925E-3</v>
      </c>
      <c r="L1003" s="5">
        <f>1090 / 86400</f>
        <v>1.2615740740740742E-2</v>
      </c>
    </row>
    <row r="1004" spans="1:12" x14ac:dyDescent="0.25">
      <c r="A1004" s="3">
        <v>45698.468217592592</v>
      </c>
      <c r="B1004" t="s">
        <v>111</v>
      </c>
      <c r="C1004" s="3">
        <v>45698.472152777773</v>
      </c>
      <c r="D1004" t="s">
        <v>111</v>
      </c>
      <c r="E1004" s="4">
        <v>1.456</v>
      </c>
      <c r="F1004" s="4">
        <v>400245.87099999998</v>
      </c>
      <c r="G1004" s="4">
        <v>400247.32699999999</v>
      </c>
      <c r="H1004" s="5">
        <f>80 / 86400</f>
        <v>9.2592592592592596E-4</v>
      </c>
      <c r="I1004" t="s">
        <v>185</v>
      </c>
      <c r="J1004" t="s">
        <v>57</v>
      </c>
      <c r="K1004" s="5">
        <f>340 / 86400</f>
        <v>3.9351851851851848E-3</v>
      </c>
      <c r="L1004" s="5">
        <f>383 / 86400</f>
        <v>4.43287037037037E-3</v>
      </c>
    </row>
    <row r="1005" spans="1:12" x14ac:dyDescent="0.25">
      <c r="A1005" s="3">
        <v>45698.476585648154</v>
      </c>
      <c r="B1005" t="s">
        <v>111</v>
      </c>
      <c r="C1005" s="3">
        <v>45698.476909722223</v>
      </c>
      <c r="D1005" t="s">
        <v>111</v>
      </c>
      <c r="E1005" s="4">
        <v>5.0000000000000001E-3</v>
      </c>
      <c r="F1005" s="4">
        <v>400247.32699999999</v>
      </c>
      <c r="G1005" s="4">
        <v>400247.33199999999</v>
      </c>
      <c r="H1005" s="5">
        <f>19 / 86400</f>
        <v>2.199074074074074E-4</v>
      </c>
      <c r="I1005" t="s">
        <v>126</v>
      </c>
      <c r="J1005" t="s">
        <v>62</v>
      </c>
      <c r="K1005" s="5">
        <f>28 / 86400</f>
        <v>3.2407407407407406E-4</v>
      </c>
      <c r="L1005" s="5">
        <f>6 / 86400</f>
        <v>6.9444444444444444E-5</v>
      </c>
    </row>
    <row r="1006" spans="1:12" x14ac:dyDescent="0.25">
      <c r="A1006" s="3">
        <v>45698.476979166662</v>
      </c>
      <c r="B1006" t="s">
        <v>111</v>
      </c>
      <c r="C1006" s="3">
        <v>45698.477662037039</v>
      </c>
      <c r="D1006" t="s">
        <v>111</v>
      </c>
      <c r="E1006" s="4">
        <v>6.7000000000000004E-2</v>
      </c>
      <c r="F1006" s="4">
        <v>400247.33199999999</v>
      </c>
      <c r="G1006" s="4">
        <v>400247.39899999998</v>
      </c>
      <c r="H1006" s="5">
        <f>5 / 86400</f>
        <v>5.7870370370370373E-5</v>
      </c>
      <c r="I1006" t="s">
        <v>138</v>
      </c>
      <c r="J1006" t="s">
        <v>43</v>
      </c>
      <c r="K1006" s="5">
        <f>59 / 86400</f>
        <v>6.8287037037037036E-4</v>
      </c>
      <c r="L1006" s="5">
        <f>14213 / 86400</f>
        <v>0.16450231481481481</v>
      </c>
    </row>
    <row r="1007" spans="1:12" x14ac:dyDescent="0.25">
      <c r="A1007" s="3">
        <v>45698.642164351855</v>
      </c>
      <c r="B1007" t="s">
        <v>378</v>
      </c>
      <c r="C1007" s="3">
        <v>45698.660567129627</v>
      </c>
      <c r="D1007" t="s">
        <v>23</v>
      </c>
      <c r="E1007" s="4">
        <v>6.37</v>
      </c>
      <c r="F1007" s="4">
        <v>400247.39899999998</v>
      </c>
      <c r="G1007" s="4">
        <v>400253.76899999997</v>
      </c>
      <c r="H1007" s="5">
        <f>660 / 86400</f>
        <v>7.6388888888888886E-3</v>
      </c>
      <c r="I1007" t="s">
        <v>189</v>
      </c>
      <c r="J1007" t="s">
        <v>31</v>
      </c>
      <c r="K1007" s="5">
        <f>1590 / 86400</f>
        <v>1.8402777777777778E-2</v>
      </c>
      <c r="L1007" s="5">
        <f>1580 / 86400</f>
        <v>1.8287037037037036E-2</v>
      </c>
    </row>
    <row r="1008" spans="1:12" x14ac:dyDescent="0.25">
      <c r="A1008" s="3">
        <v>45698.678854166668</v>
      </c>
      <c r="B1008" t="s">
        <v>23</v>
      </c>
      <c r="C1008" s="3">
        <v>45698.806932870371</v>
      </c>
      <c r="D1008" t="s">
        <v>278</v>
      </c>
      <c r="E1008" s="4">
        <v>30.28</v>
      </c>
      <c r="F1008" s="4">
        <v>400253.76899999997</v>
      </c>
      <c r="G1008" s="4">
        <v>400284.049</v>
      </c>
      <c r="H1008" s="5">
        <f>5402 / 86400</f>
        <v>6.2523148148148147E-2</v>
      </c>
      <c r="I1008" t="s">
        <v>66</v>
      </c>
      <c r="J1008" t="s">
        <v>129</v>
      </c>
      <c r="K1008" s="5">
        <f>11066 / 86400</f>
        <v>0.12807870370370369</v>
      </c>
      <c r="L1008" s="5">
        <f>1680 / 86400</f>
        <v>1.9444444444444445E-2</v>
      </c>
    </row>
    <row r="1009" spans="1:12" x14ac:dyDescent="0.25">
      <c r="A1009" s="3">
        <v>45698.826377314814</v>
      </c>
      <c r="B1009" t="s">
        <v>278</v>
      </c>
      <c r="C1009" s="3">
        <v>45698.966041666667</v>
      </c>
      <c r="D1009" t="s">
        <v>379</v>
      </c>
      <c r="E1009" s="4">
        <v>46.128999999999998</v>
      </c>
      <c r="F1009" s="4">
        <v>400284.049</v>
      </c>
      <c r="G1009" s="4">
        <v>400330.17800000001</v>
      </c>
      <c r="H1009" s="5">
        <f>4520 / 86400</f>
        <v>5.2314814814814814E-2</v>
      </c>
      <c r="I1009" t="s">
        <v>188</v>
      </c>
      <c r="J1009" t="s">
        <v>31</v>
      </c>
      <c r="K1009" s="5">
        <f>12067 / 86400</f>
        <v>0.13966435185185186</v>
      </c>
      <c r="L1009" s="5">
        <f>1441 / 86400</f>
        <v>1.667824074074074E-2</v>
      </c>
    </row>
    <row r="1010" spans="1:12" x14ac:dyDescent="0.25">
      <c r="A1010" s="3">
        <v>45698.982719907406</v>
      </c>
      <c r="B1010" t="s">
        <v>379</v>
      </c>
      <c r="C1010" s="3">
        <v>45698.993217592593</v>
      </c>
      <c r="D1010" t="s">
        <v>100</v>
      </c>
      <c r="E1010" s="4">
        <v>3.601</v>
      </c>
      <c r="F1010" s="4">
        <v>400330.17800000001</v>
      </c>
      <c r="G1010" s="4">
        <v>400333.77899999998</v>
      </c>
      <c r="H1010" s="5">
        <f>259 / 86400</f>
        <v>2.9976851851851853E-3</v>
      </c>
      <c r="I1010" t="s">
        <v>42</v>
      </c>
      <c r="J1010" t="s">
        <v>31</v>
      </c>
      <c r="K1010" s="5">
        <f>907 / 86400</f>
        <v>1.0497685185185185E-2</v>
      </c>
      <c r="L1010" s="5">
        <f>585 / 86400</f>
        <v>6.7708333333333336E-3</v>
      </c>
    </row>
    <row r="1011" spans="1:12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</row>
    <row r="1012" spans="1:12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</row>
    <row r="1013" spans="1:12" s="10" customFormat="1" ht="20.100000000000001" customHeight="1" x14ac:dyDescent="0.35">
      <c r="A1013" s="12" t="s">
        <v>435</v>
      </c>
      <c r="B1013" s="12"/>
      <c r="C1013" s="12"/>
      <c r="D1013" s="12"/>
      <c r="E1013" s="12"/>
      <c r="F1013" s="12"/>
      <c r="G1013" s="12"/>
      <c r="H1013" s="12"/>
      <c r="I1013" s="12"/>
      <c r="J1013" s="12"/>
    </row>
    <row r="1014" spans="1:12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</row>
    <row r="1015" spans="1:12" ht="30" x14ac:dyDescent="0.25">
      <c r="A1015" s="2" t="s">
        <v>5</v>
      </c>
      <c r="B1015" s="2" t="s">
        <v>6</v>
      </c>
      <c r="C1015" s="2" t="s">
        <v>7</v>
      </c>
      <c r="D1015" s="2" t="s">
        <v>8</v>
      </c>
      <c r="E1015" s="2" t="s">
        <v>9</v>
      </c>
      <c r="F1015" s="2" t="s">
        <v>10</v>
      </c>
      <c r="G1015" s="2" t="s">
        <v>11</v>
      </c>
      <c r="H1015" s="2" t="s">
        <v>12</v>
      </c>
      <c r="I1015" s="2" t="s">
        <v>13</v>
      </c>
      <c r="J1015" s="2" t="s">
        <v>14</v>
      </c>
      <c r="K1015" s="2" t="s">
        <v>15</v>
      </c>
      <c r="L1015" s="2" t="s">
        <v>16</v>
      </c>
    </row>
    <row r="1016" spans="1:12" x14ac:dyDescent="0.25">
      <c r="A1016" s="3">
        <v>45698.203981481478</v>
      </c>
      <c r="B1016" t="s">
        <v>29</v>
      </c>
      <c r="C1016" s="3">
        <v>45698.415682870371</v>
      </c>
      <c r="D1016" t="s">
        <v>123</v>
      </c>
      <c r="E1016" s="4">
        <v>97.474999999999994</v>
      </c>
      <c r="F1016" s="4">
        <v>382001.924</v>
      </c>
      <c r="G1016" s="4">
        <v>382099.39899999998</v>
      </c>
      <c r="H1016" s="5">
        <f>5060 / 86400</f>
        <v>5.8564814814814813E-2</v>
      </c>
      <c r="I1016" t="s">
        <v>232</v>
      </c>
      <c r="J1016" t="s">
        <v>33</v>
      </c>
      <c r="K1016" s="5">
        <f>18291 / 86400</f>
        <v>0.2117013888888889</v>
      </c>
      <c r="L1016" s="5">
        <f>18078 / 86400</f>
        <v>0.20923611111111112</v>
      </c>
    </row>
    <row r="1017" spans="1:12" x14ac:dyDescent="0.25">
      <c r="A1017" s="3">
        <v>45698.420937499999</v>
      </c>
      <c r="B1017" t="s">
        <v>123</v>
      </c>
      <c r="C1017" s="3">
        <v>45698.423784722225</v>
      </c>
      <c r="D1017" t="s">
        <v>49</v>
      </c>
      <c r="E1017" s="4">
        <v>1.0109999999999999</v>
      </c>
      <c r="F1017" s="4">
        <v>382099.39899999998</v>
      </c>
      <c r="G1017" s="4">
        <v>382100.41</v>
      </c>
      <c r="H1017" s="5">
        <f>20 / 86400</f>
        <v>2.3148148148148149E-4</v>
      </c>
      <c r="I1017" t="s">
        <v>196</v>
      </c>
      <c r="J1017" t="s">
        <v>57</v>
      </c>
      <c r="K1017" s="5">
        <f>245 / 86400</f>
        <v>2.8356481481481483E-3</v>
      </c>
      <c r="L1017" s="5">
        <f>2234 / 86400</f>
        <v>2.585648148148148E-2</v>
      </c>
    </row>
    <row r="1018" spans="1:12" x14ac:dyDescent="0.25">
      <c r="A1018" s="3">
        <v>45698.449641203704</v>
      </c>
      <c r="B1018" t="s">
        <v>49</v>
      </c>
      <c r="C1018" s="3">
        <v>45698.44976851852</v>
      </c>
      <c r="D1018" t="s">
        <v>49</v>
      </c>
      <c r="E1018" s="4">
        <v>0</v>
      </c>
      <c r="F1018" s="4">
        <v>382100.41</v>
      </c>
      <c r="G1018" s="4">
        <v>382100.41</v>
      </c>
      <c r="H1018" s="5">
        <f>0 / 86400</f>
        <v>0</v>
      </c>
      <c r="I1018" t="s">
        <v>126</v>
      </c>
      <c r="J1018" t="s">
        <v>126</v>
      </c>
      <c r="K1018" s="5">
        <f>10 / 86400</f>
        <v>1.1574074074074075E-4</v>
      </c>
      <c r="L1018" s="5">
        <f>3347 / 86400</f>
        <v>3.8738425925925926E-2</v>
      </c>
    </row>
    <row r="1019" spans="1:12" x14ac:dyDescent="0.25">
      <c r="A1019" s="3">
        <v>45698.488506944443</v>
      </c>
      <c r="B1019" t="s">
        <v>49</v>
      </c>
      <c r="C1019" s="3">
        <v>45698.494062500002</v>
      </c>
      <c r="D1019" t="s">
        <v>137</v>
      </c>
      <c r="E1019" s="4">
        <v>1.141</v>
      </c>
      <c r="F1019" s="4">
        <v>382100.41</v>
      </c>
      <c r="G1019" s="4">
        <v>382101.55099999998</v>
      </c>
      <c r="H1019" s="5">
        <f>119 / 86400</f>
        <v>1.3773148148148147E-3</v>
      </c>
      <c r="I1019" t="s">
        <v>185</v>
      </c>
      <c r="J1019" t="s">
        <v>138</v>
      </c>
      <c r="K1019" s="5">
        <f>479 / 86400</f>
        <v>5.5439814814814813E-3</v>
      </c>
      <c r="L1019" s="5">
        <f>1303 / 86400</f>
        <v>1.5081018518518518E-2</v>
      </c>
    </row>
    <row r="1020" spans="1:12" x14ac:dyDescent="0.25">
      <c r="A1020" s="3">
        <v>45698.509143518517</v>
      </c>
      <c r="B1020" t="s">
        <v>137</v>
      </c>
      <c r="C1020" s="3">
        <v>45698.577453703707</v>
      </c>
      <c r="D1020" t="s">
        <v>214</v>
      </c>
      <c r="E1020" s="4">
        <v>35.302999999999997</v>
      </c>
      <c r="F1020" s="4">
        <v>382101.55099999998</v>
      </c>
      <c r="G1020" s="4">
        <v>382136.85399999999</v>
      </c>
      <c r="H1020" s="5">
        <f>1679 / 86400</f>
        <v>1.9432870370370371E-2</v>
      </c>
      <c r="I1020" t="s">
        <v>156</v>
      </c>
      <c r="J1020" t="s">
        <v>147</v>
      </c>
      <c r="K1020" s="5">
        <f>5901 / 86400</f>
        <v>6.8298611111111115E-2</v>
      </c>
      <c r="L1020" s="5">
        <f>46 / 86400</f>
        <v>5.3240740740740744E-4</v>
      </c>
    </row>
    <row r="1021" spans="1:12" x14ac:dyDescent="0.25">
      <c r="A1021" s="3">
        <v>45698.577986111108</v>
      </c>
      <c r="B1021" t="s">
        <v>214</v>
      </c>
      <c r="C1021" s="3">
        <v>45698.634942129633</v>
      </c>
      <c r="D1021" t="s">
        <v>380</v>
      </c>
      <c r="E1021" s="4">
        <v>15.031000000000001</v>
      </c>
      <c r="F1021" s="4">
        <v>382136.85399999999</v>
      </c>
      <c r="G1021" s="4">
        <v>382151.88500000001</v>
      </c>
      <c r="H1021" s="5">
        <f>2040 / 86400</f>
        <v>2.361111111111111E-2</v>
      </c>
      <c r="I1021" t="s">
        <v>215</v>
      </c>
      <c r="J1021" t="s">
        <v>59</v>
      </c>
      <c r="K1021" s="5">
        <f>4920 / 86400</f>
        <v>5.6944444444444443E-2</v>
      </c>
      <c r="L1021" s="5">
        <f>55 / 86400</f>
        <v>6.3657407407407413E-4</v>
      </c>
    </row>
    <row r="1022" spans="1:12" x14ac:dyDescent="0.25">
      <c r="A1022" s="3">
        <v>45698.635578703703</v>
      </c>
      <c r="B1022" t="s">
        <v>380</v>
      </c>
      <c r="C1022" s="3">
        <v>45698.77444444444</v>
      </c>
      <c r="D1022" t="s">
        <v>127</v>
      </c>
      <c r="E1022" s="4">
        <v>50.268000000000001</v>
      </c>
      <c r="F1022" s="4">
        <v>382151.88500000001</v>
      </c>
      <c r="G1022" s="4">
        <v>382202.15299999999</v>
      </c>
      <c r="H1022" s="5">
        <f>4199 / 86400</f>
        <v>4.8599537037037038E-2</v>
      </c>
      <c r="I1022" t="s">
        <v>173</v>
      </c>
      <c r="J1022" t="s">
        <v>57</v>
      </c>
      <c r="K1022" s="5">
        <f>11997 / 86400</f>
        <v>0.13885416666666667</v>
      </c>
      <c r="L1022" s="5">
        <f>45 / 86400</f>
        <v>5.2083333333333333E-4</v>
      </c>
    </row>
    <row r="1023" spans="1:12" x14ac:dyDescent="0.25">
      <c r="A1023" s="3">
        <v>45698.774965277778</v>
      </c>
      <c r="B1023" t="s">
        <v>127</v>
      </c>
      <c r="C1023" s="3">
        <v>45698.775601851856</v>
      </c>
      <c r="D1023" t="s">
        <v>123</v>
      </c>
      <c r="E1023" s="4">
        <v>6.0999999999999999E-2</v>
      </c>
      <c r="F1023" s="4">
        <v>382202.15299999999</v>
      </c>
      <c r="G1023" s="4">
        <v>382202.21399999998</v>
      </c>
      <c r="H1023" s="5">
        <f>0 / 86400</f>
        <v>0</v>
      </c>
      <c r="I1023" t="s">
        <v>61</v>
      </c>
      <c r="J1023" t="s">
        <v>43</v>
      </c>
      <c r="K1023" s="5">
        <f>55 / 86400</f>
        <v>6.3657407407407413E-4</v>
      </c>
      <c r="L1023" s="5">
        <f>397 / 86400</f>
        <v>4.5949074074074078E-3</v>
      </c>
    </row>
    <row r="1024" spans="1:12" x14ac:dyDescent="0.25">
      <c r="A1024" s="3">
        <v>45698.78019675926</v>
      </c>
      <c r="B1024" t="s">
        <v>123</v>
      </c>
      <c r="C1024" s="3">
        <v>45698.781412037039</v>
      </c>
      <c r="D1024" t="s">
        <v>342</v>
      </c>
      <c r="E1024" s="4">
        <v>0.28299999999999997</v>
      </c>
      <c r="F1024" s="4">
        <v>382202.21399999998</v>
      </c>
      <c r="G1024" s="4">
        <v>382202.49699999997</v>
      </c>
      <c r="H1024" s="5">
        <f>0 / 86400</f>
        <v>0</v>
      </c>
      <c r="I1024" t="s">
        <v>25</v>
      </c>
      <c r="J1024" t="s">
        <v>129</v>
      </c>
      <c r="K1024" s="5">
        <f>104 / 86400</f>
        <v>1.2037037037037038E-3</v>
      </c>
      <c r="L1024" s="5">
        <f>197 / 86400</f>
        <v>2.2800925925925927E-3</v>
      </c>
    </row>
    <row r="1025" spans="1:12" x14ac:dyDescent="0.25">
      <c r="A1025" s="3">
        <v>45698.783692129626</v>
      </c>
      <c r="B1025" t="s">
        <v>342</v>
      </c>
      <c r="C1025" s="3">
        <v>45698.836759259255</v>
      </c>
      <c r="D1025" t="s">
        <v>29</v>
      </c>
      <c r="E1025" s="4">
        <v>31.760999999999999</v>
      </c>
      <c r="F1025" s="4">
        <v>382202.49699999997</v>
      </c>
      <c r="G1025" s="4">
        <v>382234.25799999997</v>
      </c>
      <c r="H1025" s="5">
        <f>782 / 86400</f>
        <v>9.0509259259259258E-3</v>
      </c>
      <c r="I1025" t="s">
        <v>30</v>
      </c>
      <c r="J1025" t="s">
        <v>171</v>
      </c>
      <c r="K1025" s="5">
        <f>4584 / 86400</f>
        <v>5.3055555555555557E-2</v>
      </c>
      <c r="L1025" s="5">
        <f>302 / 86400</f>
        <v>3.4953703703703705E-3</v>
      </c>
    </row>
    <row r="1026" spans="1:12" x14ac:dyDescent="0.25">
      <c r="A1026" s="3">
        <v>45698.840254629627</v>
      </c>
      <c r="B1026" t="s">
        <v>29</v>
      </c>
      <c r="C1026" s="3">
        <v>45698.842534722222</v>
      </c>
      <c r="D1026" t="s">
        <v>29</v>
      </c>
      <c r="E1026" s="4">
        <v>3.4000000000000002E-2</v>
      </c>
      <c r="F1026" s="4">
        <v>382234.25799999997</v>
      </c>
      <c r="G1026" s="4">
        <v>382234.29200000002</v>
      </c>
      <c r="H1026" s="5">
        <f>159 / 86400</f>
        <v>1.8402777777777777E-3</v>
      </c>
      <c r="I1026" t="s">
        <v>132</v>
      </c>
      <c r="J1026" t="s">
        <v>62</v>
      </c>
      <c r="K1026" s="5">
        <f>196 / 86400</f>
        <v>2.2685185185185187E-3</v>
      </c>
      <c r="L1026" s="5">
        <f>13604 / 86400</f>
        <v>0.15745370370370371</v>
      </c>
    </row>
    <row r="1027" spans="1:12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2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</row>
    <row r="1029" spans="1:12" s="10" customFormat="1" ht="20.100000000000001" customHeight="1" x14ac:dyDescent="0.35">
      <c r="A1029" s="12" t="s">
        <v>436</v>
      </c>
      <c r="B1029" s="12"/>
      <c r="C1029" s="12"/>
      <c r="D1029" s="12"/>
      <c r="E1029" s="12"/>
      <c r="F1029" s="12"/>
      <c r="G1029" s="12"/>
      <c r="H1029" s="12"/>
      <c r="I1029" s="12"/>
      <c r="J1029" s="12"/>
    </row>
    <row r="1030" spans="1:12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2" ht="30" x14ac:dyDescent="0.25">
      <c r="A1031" s="2" t="s">
        <v>5</v>
      </c>
      <c r="B1031" s="2" t="s">
        <v>6</v>
      </c>
      <c r="C1031" s="2" t="s">
        <v>7</v>
      </c>
      <c r="D1031" s="2" t="s">
        <v>8</v>
      </c>
      <c r="E1031" s="2" t="s">
        <v>9</v>
      </c>
      <c r="F1031" s="2" t="s">
        <v>10</v>
      </c>
      <c r="G1031" s="2" t="s">
        <v>11</v>
      </c>
      <c r="H1031" s="2" t="s">
        <v>12</v>
      </c>
      <c r="I1031" s="2" t="s">
        <v>13</v>
      </c>
      <c r="J1031" s="2" t="s">
        <v>14</v>
      </c>
      <c r="K1031" s="2" t="s">
        <v>15</v>
      </c>
      <c r="L1031" s="2" t="s">
        <v>16</v>
      </c>
    </row>
    <row r="1032" spans="1:12" x14ac:dyDescent="0.25">
      <c r="A1032" s="3">
        <v>45698.29478009259</v>
      </c>
      <c r="B1032" t="s">
        <v>20</v>
      </c>
      <c r="C1032" s="3">
        <v>45698.302418981482</v>
      </c>
      <c r="D1032" t="s">
        <v>137</v>
      </c>
      <c r="E1032" s="4">
        <v>1.867</v>
      </c>
      <c r="F1032" s="4">
        <v>545535.93099999998</v>
      </c>
      <c r="G1032" s="4">
        <v>545537.79799999995</v>
      </c>
      <c r="H1032" s="5">
        <f>279 / 86400</f>
        <v>3.2291666666666666E-3</v>
      </c>
      <c r="I1032" t="s">
        <v>206</v>
      </c>
      <c r="J1032" t="s">
        <v>129</v>
      </c>
      <c r="K1032" s="5">
        <f>660 / 86400</f>
        <v>7.6388888888888886E-3</v>
      </c>
      <c r="L1032" s="5">
        <f>26113 / 86400</f>
        <v>0.30223379629629632</v>
      </c>
    </row>
    <row r="1033" spans="1:12" x14ac:dyDescent="0.25">
      <c r="A1033" s="3">
        <v>45698.309872685189</v>
      </c>
      <c r="B1033" t="s">
        <v>137</v>
      </c>
      <c r="C1033" s="3">
        <v>45698.435532407406</v>
      </c>
      <c r="D1033" t="s">
        <v>319</v>
      </c>
      <c r="E1033" s="4">
        <v>50.816000000000003</v>
      </c>
      <c r="F1033" s="4">
        <v>545537.79799999995</v>
      </c>
      <c r="G1033" s="4">
        <v>545588.61399999994</v>
      </c>
      <c r="H1033" s="5">
        <f>3558 / 86400</f>
        <v>4.1180555555555554E-2</v>
      </c>
      <c r="I1033" t="s">
        <v>40</v>
      </c>
      <c r="J1033" t="s">
        <v>28</v>
      </c>
      <c r="K1033" s="5">
        <f>10856 / 86400</f>
        <v>0.12564814814814815</v>
      </c>
      <c r="L1033" s="5">
        <f>1919 / 86400</f>
        <v>2.2210648148148149E-2</v>
      </c>
    </row>
    <row r="1034" spans="1:12" x14ac:dyDescent="0.25">
      <c r="A1034" s="3">
        <v>45698.457743055551</v>
      </c>
      <c r="B1034" t="s">
        <v>319</v>
      </c>
      <c r="C1034" s="3">
        <v>45698.578958333332</v>
      </c>
      <c r="D1034" t="s">
        <v>326</v>
      </c>
      <c r="E1034" s="4">
        <v>48.975999999999999</v>
      </c>
      <c r="F1034" s="4">
        <v>545588.61399999994</v>
      </c>
      <c r="G1034" s="4">
        <v>545637.59</v>
      </c>
      <c r="H1034" s="5">
        <f>3090 / 86400</f>
        <v>3.5763888888888887E-2</v>
      </c>
      <c r="I1034" t="s">
        <v>66</v>
      </c>
      <c r="J1034" t="s">
        <v>28</v>
      </c>
      <c r="K1034" s="5">
        <f>10473 / 86400</f>
        <v>0.12121527777777778</v>
      </c>
      <c r="L1034" s="5">
        <f>128 / 86400</f>
        <v>1.4814814814814814E-3</v>
      </c>
    </row>
    <row r="1035" spans="1:12" x14ac:dyDescent="0.25">
      <c r="A1035" s="3">
        <v>45698.580439814818</v>
      </c>
      <c r="B1035" t="s">
        <v>326</v>
      </c>
      <c r="C1035" s="3">
        <v>45698.581469907411</v>
      </c>
      <c r="D1035" t="s">
        <v>326</v>
      </c>
      <c r="E1035" s="4">
        <v>2.1999999999999999E-2</v>
      </c>
      <c r="F1035" s="4">
        <v>545637.59</v>
      </c>
      <c r="G1035" s="4">
        <v>545637.61199999996</v>
      </c>
      <c r="H1035" s="5">
        <f>40 / 86400</f>
        <v>4.6296296296296298E-4</v>
      </c>
      <c r="I1035" t="s">
        <v>132</v>
      </c>
      <c r="J1035" t="s">
        <v>62</v>
      </c>
      <c r="K1035" s="5">
        <f>89 / 86400</f>
        <v>1.0300925925925926E-3</v>
      </c>
      <c r="L1035" s="5">
        <f>4022 / 86400</f>
        <v>4.6550925925925926E-2</v>
      </c>
    </row>
    <row r="1036" spans="1:12" x14ac:dyDescent="0.25">
      <c r="A1036" s="3">
        <v>45698.628020833334</v>
      </c>
      <c r="B1036" t="s">
        <v>326</v>
      </c>
      <c r="C1036" s="3">
        <v>45698.740219907406</v>
      </c>
      <c r="D1036" t="s">
        <v>373</v>
      </c>
      <c r="E1036" s="4">
        <v>46.847000000000001</v>
      </c>
      <c r="F1036" s="4">
        <v>545637.61199999996</v>
      </c>
      <c r="G1036" s="4">
        <v>545684.45900000003</v>
      </c>
      <c r="H1036" s="5">
        <f>3098 / 86400</f>
        <v>3.5856481481481482E-2</v>
      </c>
      <c r="I1036" t="s">
        <v>232</v>
      </c>
      <c r="J1036" t="s">
        <v>28</v>
      </c>
      <c r="K1036" s="5">
        <f>9694 / 86400</f>
        <v>0.11219907407407408</v>
      </c>
      <c r="L1036" s="5">
        <f>90 / 86400</f>
        <v>1.0416666666666667E-3</v>
      </c>
    </row>
    <row r="1037" spans="1:12" x14ac:dyDescent="0.25">
      <c r="A1037" s="3">
        <v>45698.741261574076</v>
      </c>
      <c r="B1037" t="s">
        <v>373</v>
      </c>
      <c r="C1037" s="3">
        <v>45698.874722222223</v>
      </c>
      <c r="D1037" t="s">
        <v>123</v>
      </c>
      <c r="E1037" s="4">
        <v>46.64</v>
      </c>
      <c r="F1037" s="4">
        <v>545684.45900000003</v>
      </c>
      <c r="G1037" s="4">
        <v>545731.09900000005</v>
      </c>
      <c r="H1037" s="5">
        <f>3560 / 86400</f>
        <v>4.1203703703703701E-2</v>
      </c>
      <c r="I1037" t="s">
        <v>247</v>
      </c>
      <c r="J1037" t="s">
        <v>57</v>
      </c>
      <c r="K1037" s="5">
        <f>11531 / 86400</f>
        <v>0.13346064814814815</v>
      </c>
      <c r="L1037" s="5">
        <f>458 / 86400</f>
        <v>5.3009259259259259E-3</v>
      </c>
    </row>
    <row r="1038" spans="1:12" x14ac:dyDescent="0.25">
      <c r="A1038" s="3">
        <v>45698.880023148144</v>
      </c>
      <c r="B1038" t="s">
        <v>123</v>
      </c>
      <c r="C1038" s="3">
        <v>45698.882210648153</v>
      </c>
      <c r="D1038" t="s">
        <v>20</v>
      </c>
      <c r="E1038" s="4">
        <v>0.50800000000000001</v>
      </c>
      <c r="F1038" s="4">
        <v>545731.09900000005</v>
      </c>
      <c r="G1038" s="4">
        <v>545731.60699999996</v>
      </c>
      <c r="H1038" s="5">
        <f>20 / 86400</f>
        <v>2.3148148148148149E-4</v>
      </c>
      <c r="I1038" t="s">
        <v>140</v>
      </c>
      <c r="J1038" t="s">
        <v>129</v>
      </c>
      <c r="K1038" s="5">
        <f>188 / 86400</f>
        <v>2.1759259259259258E-3</v>
      </c>
      <c r="L1038" s="5">
        <f>10176 / 86400</f>
        <v>0.11777777777777777</v>
      </c>
    </row>
    <row r="1039" spans="1:12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2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2" s="10" customFormat="1" ht="20.100000000000001" customHeight="1" x14ac:dyDescent="0.35">
      <c r="A1041" s="12" t="s">
        <v>437</v>
      </c>
      <c r="B1041" s="12"/>
      <c r="C1041" s="12"/>
      <c r="D1041" s="12"/>
      <c r="E1041" s="12"/>
      <c r="F1041" s="12"/>
      <c r="G1041" s="12"/>
      <c r="H1041" s="12"/>
      <c r="I1041" s="12"/>
      <c r="J1041" s="12"/>
    </row>
    <row r="1042" spans="1:12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2" ht="30" x14ac:dyDescent="0.25">
      <c r="A1043" s="2" t="s">
        <v>5</v>
      </c>
      <c r="B1043" s="2" t="s">
        <v>6</v>
      </c>
      <c r="C1043" s="2" t="s">
        <v>7</v>
      </c>
      <c r="D1043" s="2" t="s">
        <v>8</v>
      </c>
      <c r="E1043" s="2" t="s">
        <v>9</v>
      </c>
      <c r="F1043" s="2" t="s">
        <v>10</v>
      </c>
      <c r="G1043" s="2" t="s">
        <v>11</v>
      </c>
      <c r="H1043" s="2" t="s">
        <v>12</v>
      </c>
      <c r="I1043" s="2" t="s">
        <v>13</v>
      </c>
      <c r="J1043" s="2" t="s">
        <v>14</v>
      </c>
      <c r="K1043" s="2" t="s">
        <v>15</v>
      </c>
      <c r="L1043" s="2" t="s">
        <v>16</v>
      </c>
    </row>
    <row r="1044" spans="1:12" x14ac:dyDescent="0.25">
      <c r="A1044" s="3">
        <v>45698</v>
      </c>
      <c r="B1044" t="s">
        <v>101</v>
      </c>
      <c r="C1044" s="3">
        <v>45698.051226851851</v>
      </c>
      <c r="D1044" t="s">
        <v>100</v>
      </c>
      <c r="E1044" s="4">
        <v>38.755000000000003</v>
      </c>
      <c r="F1044" s="4">
        <v>102745.08900000001</v>
      </c>
      <c r="G1044" s="4">
        <v>102783.844</v>
      </c>
      <c r="H1044" s="5">
        <f>941 / 86400</f>
        <v>1.0891203703703703E-2</v>
      </c>
      <c r="I1044" t="s">
        <v>76</v>
      </c>
      <c r="J1044" t="s">
        <v>158</v>
      </c>
      <c r="K1044" s="5">
        <f>4426 / 86400</f>
        <v>5.122685185185185E-2</v>
      </c>
      <c r="L1044" s="5">
        <f>226 / 86400</f>
        <v>2.6157407407407405E-3</v>
      </c>
    </row>
    <row r="1045" spans="1:12" x14ac:dyDescent="0.25">
      <c r="A1045" s="3">
        <v>45698.053842592592</v>
      </c>
      <c r="B1045" t="s">
        <v>100</v>
      </c>
      <c r="C1045" s="3">
        <v>45698.05505787037</v>
      </c>
      <c r="D1045" t="s">
        <v>372</v>
      </c>
      <c r="E1045" s="4">
        <v>0.35899999999999999</v>
      </c>
      <c r="F1045" s="4">
        <v>102783.844</v>
      </c>
      <c r="G1045" s="4">
        <v>102784.20299999999</v>
      </c>
      <c r="H1045" s="5">
        <f>0 / 86400</f>
        <v>0</v>
      </c>
      <c r="I1045" t="s">
        <v>140</v>
      </c>
      <c r="J1045" t="s">
        <v>102</v>
      </c>
      <c r="K1045" s="5">
        <f>105 / 86400</f>
        <v>1.2152777777777778E-3</v>
      </c>
      <c r="L1045" s="5">
        <f>252 / 86400</f>
        <v>2.9166666666666668E-3</v>
      </c>
    </row>
    <row r="1046" spans="1:12" x14ac:dyDescent="0.25">
      <c r="A1046" s="3">
        <v>45698.057974537034</v>
      </c>
      <c r="B1046" t="s">
        <v>372</v>
      </c>
      <c r="C1046" s="3">
        <v>45698.059016203704</v>
      </c>
      <c r="D1046" t="s">
        <v>94</v>
      </c>
      <c r="E1046" s="4">
        <v>0.59899999999999998</v>
      </c>
      <c r="F1046" s="4">
        <v>102784.20299999999</v>
      </c>
      <c r="G1046" s="4">
        <v>102784.802</v>
      </c>
      <c r="H1046" s="5">
        <f>0 / 86400</f>
        <v>0</v>
      </c>
      <c r="I1046" t="s">
        <v>141</v>
      </c>
      <c r="J1046" t="s">
        <v>36</v>
      </c>
      <c r="K1046" s="5">
        <f>90 / 86400</f>
        <v>1.0416666666666667E-3</v>
      </c>
      <c r="L1046" s="5">
        <f>1721 / 86400</f>
        <v>1.9918981481481482E-2</v>
      </c>
    </row>
    <row r="1047" spans="1:12" x14ac:dyDescent="0.25">
      <c r="A1047" s="3">
        <v>45698.078935185185</v>
      </c>
      <c r="B1047" t="s">
        <v>94</v>
      </c>
      <c r="C1047" s="3">
        <v>45698.079861111109</v>
      </c>
      <c r="D1047" t="s">
        <v>94</v>
      </c>
      <c r="E1047" s="4">
        <v>6.0999999999999999E-2</v>
      </c>
      <c r="F1047" s="4">
        <v>102784.802</v>
      </c>
      <c r="G1047" s="4">
        <v>102784.863</v>
      </c>
      <c r="H1047" s="5">
        <f>20 / 86400</f>
        <v>2.3148148148148149E-4</v>
      </c>
      <c r="I1047" t="s">
        <v>138</v>
      </c>
      <c r="J1047" t="s">
        <v>169</v>
      </c>
      <c r="K1047" s="5">
        <f>80 / 86400</f>
        <v>9.2592592592592596E-4</v>
      </c>
      <c r="L1047" s="5">
        <f>10400 / 86400</f>
        <v>0.12037037037037036</v>
      </c>
    </row>
    <row r="1048" spans="1:12" x14ac:dyDescent="0.25">
      <c r="A1048" s="3">
        <v>45698.200231481482</v>
      </c>
      <c r="B1048" t="s">
        <v>94</v>
      </c>
      <c r="C1048" s="3">
        <v>45698.200983796298</v>
      </c>
      <c r="D1048" t="s">
        <v>94</v>
      </c>
      <c r="E1048" s="4">
        <v>0</v>
      </c>
      <c r="F1048" s="4">
        <v>102784.863</v>
      </c>
      <c r="G1048" s="4">
        <v>102784.863</v>
      </c>
      <c r="H1048" s="5">
        <f>58 / 86400</f>
        <v>6.7129629629629625E-4</v>
      </c>
      <c r="I1048" t="s">
        <v>126</v>
      </c>
      <c r="J1048" t="s">
        <v>126</v>
      </c>
      <c r="K1048" s="5">
        <f>65 / 86400</f>
        <v>7.5231481481481482E-4</v>
      </c>
      <c r="L1048" s="5">
        <f>7926 / 86400</f>
        <v>9.1736111111111115E-2</v>
      </c>
    </row>
    <row r="1049" spans="1:12" x14ac:dyDescent="0.25">
      <c r="A1049" s="3">
        <v>45698.292719907404</v>
      </c>
      <c r="B1049" t="s">
        <v>94</v>
      </c>
      <c r="C1049" s="3">
        <v>45698.461851851855</v>
      </c>
      <c r="D1049" t="s">
        <v>44</v>
      </c>
      <c r="E1049" s="4">
        <v>78.150000000000006</v>
      </c>
      <c r="F1049" s="4">
        <v>102784.863</v>
      </c>
      <c r="G1049" s="4">
        <v>102863.01300000001</v>
      </c>
      <c r="H1049" s="5">
        <f>4620 / 86400</f>
        <v>5.347222222222222E-2</v>
      </c>
      <c r="I1049" t="s">
        <v>381</v>
      </c>
      <c r="J1049" t="s">
        <v>33</v>
      </c>
      <c r="K1049" s="5">
        <f>14613 / 86400</f>
        <v>0.16913194444444443</v>
      </c>
      <c r="L1049" s="5">
        <f>568 / 86400</f>
        <v>6.5740740740740742E-3</v>
      </c>
    </row>
    <row r="1050" spans="1:12" x14ac:dyDescent="0.25">
      <c r="A1050" s="3">
        <v>45698.468425925923</v>
      </c>
      <c r="B1050" t="s">
        <v>44</v>
      </c>
      <c r="C1050" s="3">
        <v>45698.469490740739</v>
      </c>
      <c r="D1050" t="s">
        <v>128</v>
      </c>
      <c r="E1050" s="4">
        <v>7.1999999999999995E-2</v>
      </c>
      <c r="F1050" s="4">
        <v>102863.01300000001</v>
      </c>
      <c r="G1050" s="4">
        <v>102863.08500000001</v>
      </c>
      <c r="H1050" s="5">
        <f>58 / 86400</f>
        <v>6.7129629629629625E-4</v>
      </c>
      <c r="I1050" t="s">
        <v>97</v>
      </c>
      <c r="J1050" t="s">
        <v>169</v>
      </c>
      <c r="K1050" s="5">
        <f>92 / 86400</f>
        <v>1.0648148148148149E-3</v>
      </c>
      <c r="L1050" s="5">
        <f>1496 / 86400</f>
        <v>1.7314814814814814E-2</v>
      </c>
    </row>
    <row r="1051" spans="1:12" x14ac:dyDescent="0.25">
      <c r="A1051" s="3">
        <v>45698.486805555556</v>
      </c>
      <c r="B1051" t="s">
        <v>128</v>
      </c>
      <c r="C1051" s="3">
        <v>45698.490312499998</v>
      </c>
      <c r="D1051" t="s">
        <v>135</v>
      </c>
      <c r="E1051" s="4">
        <v>1.095</v>
      </c>
      <c r="F1051" s="4">
        <v>102863.08500000001</v>
      </c>
      <c r="G1051" s="4">
        <v>102864.18</v>
      </c>
      <c r="H1051" s="5">
        <f>57 / 86400</f>
        <v>6.5972222222222224E-4</v>
      </c>
      <c r="I1051" t="s">
        <v>206</v>
      </c>
      <c r="J1051" t="s">
        <v>97</v>
      </c>
      <c r="K1051" s="5">
        <f>303 / 86400</f>
        <v>3.5069444444444445E-3</v>
      </c>
      <c r="L1051" s="5">
        <f>1733 / 86400</f>
        <v>2.0057870370370372E-2</v>
      </c>
    </row>
    <row r="1052" spans="1:12" x14ac:dyDescent="0.25">
      <c r="A1052" s="3">
        <v>45698.510370370372</v>
      </c>
      <c r="B1052" t="s">
        <v>135</v>
      </c>
      <c r="C1052" s="3">
        <v>45698.733078703706</v>
      </c>
      <c r="D1052" t="s">
        <v>123</v>
      </c>
      <c r="E1052" s="4">
        <v>101.723</v>
      </c>
      <c r="F1052" s="4">
        <v>102864.18</v>
      </c>
      <c r="G1052" s="4">
        <v>102965.90300000001</v>
      </c>
      <c r="H1052" s="5">
        <f>6040 / 86400</f>
        <v>6.9907407407407404E-2</v>
      </c>
      <c r="I1052" t="s">
        <v>91</v>
      </c>
      <c r="J1052" t="s">
        <v>33</v>
      </c>
      <c r="K1052" s="5">
        <f>19242 / 86400</f>
        <v>0.22270833333333334</v>
      </c>
      <c r="L1052" s="5">
        <f>999 / 86400</f>
        <v>1.15625E-2</v>
      </c>
    </row>
    <row r="1053" spans="1:12" x14ac:dyDescent="0.25">
      <c r="A1053" s="3">
        <v>45698.744641203702</v>
      </c>
      <c r="B1053" t="s">
        <v>123</v>
      </c>
      <c r="C1053" s="3">
        <v>45698.75236111111</v>
      </c>
      <c r="D1053" t="s">
        <v>127</v>
      </c>
      <c r="E1053" s="4">
        <v>2.3039999999999998</v>
      </c>
      <c r="F1053" s="4">
        <v>102965.90300000001</v>
      </c>
      <c r="G1053" s="4">
        <v>102968.20699999999</v>
      </c>
      <c r="H1053" s="5">
        <f>101 / 86400</f>
        <v>1.1689814814814816E-3</v>
      </c>
      <c r="I1053" t="s">
        <v>229</v>
      </c>
      <c r="J1053" t="s">
        <v>102</v>
      </c>
      <c r="K1053" s="5">
        <f>667 / 86400</f>
        <v>7.7199074074074071E-3</v>
      </c>
      <c r="L1053" s="5">
        <f>4297 / 86400</f>
        <v>4.9733796296296297E-2</v>
      </c>
    </row>
    <row r="1054" spans="1:12" x14ac:dyDescent="0.25">
      <c r="A1054" s="3">
        <v>45698.802094907413</v>
      </c>
      <c r="B1054" t="s">
        <v>127</v>
      </c>
      <c r="C1054" s="3">
        <v>45698.900104166663</v>
      </c>
      <c r="D1054" t="s">
        <v>348</v>
      </c>
      <c r="E1054" s="4">
        <v>49.597999999999999</v>
      </c>
      <c r="F1054" s="4">
        <v>102968.20699999999</v>
      </c>
      <c r="G1054" s="4">
        <v>103017.80499999999</v>
      </c>
      <c r="H1054" s="5">
        <f>2581 / 86400</f>
        <v>2.9872685185185186E-2</v>
      </c>
      <c r="I1054" t="s">
        <v>38</v>
      </c>
      <c r="J1054" t="s">
        <v>136</v>
      </c>
      <c r="K1054" s="5">
        <f>8468 / 86400</f>
        <v>9.8009259259259254E-2</v>
      </c>
      <c r="L1054" s="5">
        <f>418 / 86400</f>
        <v>4.8379629629629632E-3</v>
      </c>
    </row>
    <row r="1055" spans="1:12" x14ac:dyDescent="0.25">
      <c r="A1055" s="3">
        <v>45698.904942129629</v>
      </c>
      <c r="B1055" t="s">
        <v>348</v>
      </c>
      <c r="C1055" s="3">
        <v>45698.99998842593</v>
      </c>
      <c r="D1055" t="s">
        <v>94</v>
      </c>
      <c r="E1055" s="4">
        <v>47.101999999999997</v>
      </c>
      <c r="F1055" s="4">
        <v>103017.80499999999</v>
      </c>
      <c r="G1055" s="4">
        <v>103064.90700000001</v>
      </c>
      <c r="H1055" s="5">
        <f>2859 / 86400</f>
        <v>3.3090277777777781E-2</v>
      </c>
      <c r="I1055" t="s">
        <v>156</v>
      </c>
      <c r="J1055" t="s">
        <v>136</v>
      </c>
      <c r="K1055" s="5">
        <f>8212 / 86400</f>
        <v>9.5046296296296295E-2</v>
      </c>
      <c r="L1055" s="5">
        <f>0 / 86400</f>
        <v>0</v>
      </c>
    </row>
    <row r="1056" spans="1:12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 spans="1:12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</row>
    <row r="1058" spans="1:12" s="10" customFormat="1" ht="20.100000000000001" customHeight="1" x14ac:dyDescent="0.35">
      <c r="A1058" s="12" t="s">
        <v>438</v>
      </c>
      <c r="B1058" s="12"/>
      <c r="C1058" s="12"/>
      <c r="D1058" s="12"/>
      <c r="E1058" s="12"/>
      <c r="F1058" s="12"/>
      <c r="G1058" s="12"/>
      <c r="H1058" s="12"/>
      <c r="I1058" s="12"/>
      <c r="J1058" s="12"/>
    </row>
    <row r="1059" spans="1:12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</row>
    <row r="1060" spans="1:12" ht="30" x14ac:dyDescent="0.25">
      <c r="A1060" s="2" t="s">
        <v>5</v>
      </c>
      <c r="B1060" s="2" t="s">
        <v>6</v>
      </c>
      <c r="C1060" s="2" t="s">
        <v>7</v>
      </c>
      <c r="D1060" s="2" t="s">
        <v>8</v>
      </c>
      <c r="E1060" s="2" t="s">
        <v>9</v>
      </c>
      <c r="F1060" s="2" t="s">
        <v>10</v>
      </c>
      <c r="G1060" s="2" t="s">
        <v>11</v>
      </c>
      <c r="H1060" s="2" t="s">
        <v>12</v>
      </c>
      <c r="I1060" s="2" t="s">
        <v>13</v>
      </c>
      <c r="J1060" s="2" t="s">
        <v>14</v>
      </c>
      <c r="K1060" s="2" t="s">
        <v>15</v>
      </c>
      <c r="L1060" s="2" t="s">
        <v>16</v>
      </c>
    </row>
    <row r="1061" spans="1:12" x14ac:dyDescent="0.25">
      <c r="A1061" s="3">
        <v>45698.258460648147</v>
      </c>
      <c r="B1061" t="s">
        <v>29</v>
      </c>
      <c r="C1061" s="3">
        <v>45698.278263888889</v>
      </c>
      <c r="D1061" t="s">
        <v>29</v>
      </c>
      <c r="E1061" s="4">
        <v>6.2089999999999996</v>
      </c>
      <c r="F1061" s="4">
        <v>53737.932999999997</v>
      </c>
      <c r="G1061" s="4">
        <v>53744.142</v>
      </c>
      <c r="H1061" s="5">
        <f>177 / 86400</f>
        <v>2.0486111111111113E-3</v>
      </c>
      <c r="I1061" t="s">
        <v>42</v>
      </c>
      <c r="J1061" t="s">
        <v>97</v>
      </c>
      <c r="K1061" s="5">
        <f>1711 / 86400</f>
        <v>1.9803240740740739E-2</v>
      </c>
      <c r="L1061" s="5">
        <f>45348 / 86400</f>
        <v>0.52486111111111111</v>
      </c>
    </row>
    <row r="1062" spans="1:12" x14ac:dyDescent="0.25">
      <c r="A1062" s="3">
        <v>45698.544664351852</v>
      </c>
      <c r="B1062" t="s">
        <v>29</v>
      </c>
      <c r="C1062" s="3">
        <v>45698.550185185188</v>
      </c>
      <c r="D1062" t="s">
        <v>362</v>
      </c>
      <c r="E1062" s="4">
        <v>1.1419999999999999</v>
      </c>
      <c r="F1062" s="4">
        <v>53744.142</v>
      </c>
      <c r="G1062" s="4">
        <v>53745.284</v>
      </c>
      <c r="H1062" s="5">
        <f>77 / 86400</f>
        <v>8.9120370370370373E-4</v>
      </c>
      <c r="I1062" t="s">
        <v>147</v>
      </c>
      <c r="J1062" t="s">
        <v>138</v>
      </c>
      <c r="K1062" s="5">
        <f>477 / 86400</f>
        <v>5.5208333333333333E-3</v>
      </c>
      <c r="L1062" s="5">
        <f>142 / 86400</f>
        <v>1.6435185185185185E-3</v>
      </c>
    </row>
    <row r="1063" spans="1:12" x14ac:dyDescent="0.25">
      <c r="A1063" s="3">
        <v>45698.551828703705</v>
      </c>
      <c r="B1063" t="s">
        <v>362</v>
      </c>
      <c r="C1063" s="3">
        <v>45698.555706018524</v>
      </c>
      <c r="D1063" t="s">
        <v>29</v>
      </c>
      <c r="E1063" s="4">
        <v>1.198</v>
      </c>
      <c r="F1063" s="4">
        <v>53745.284</v>
      </c>
      <c r="G1063" s="4">
        <v>53746.482000000004</v>
      </c>
      <c r="H1063" s="5">
        <f>40 / 86400</f>
        <v>4.6296296296296298E-4</v>
      </c>
      <c r="I1063" t="s">
        <v>185</v>
      </c>
      <c r="J1063" t="s">
        <v>97</v>
      </c>
      <c r="K1063" s="5">
        <f>335 / 86400</f>
        <v>3.8773148148148148E-3</v>
      </c>
      <c r="L1063" s="5">
        <f>33903 / 86400</f>
        <v>0.39239583333333333</v>
      </c>
    </row>
    <row r="1064" spans="1:12" x14ac:dyDescent="0.25">
      <c r="A1064" s="3">
        <v>45698.948101851856</v>
      </c>
      <c r="B1064" t="s">
        <v>29</v>
      </c>
      <c r="C1064" s="3">
        <v>45698.948796296296</v>
      </c>
      <c r="D1064" t="s">
        <v>29</v>
      </c>
      <c r="E1064" s="4">
        <v>0</v>
      </c>
      <c r="F1064" s="4">
        <v>53746.482000000004</v>
      </c>
      <c r="G1064" s="4">
        <v>53746.482000000004</v>
      </c>
      <c r="H1064" s="5">
        <f>38 / 86400</f>
        <v>4.3981481481481481E-4</v>
      </c>
      <c r="I1064" t="s">
        <v>126</v>
      </c>
      <c r="J1064" t="s">
        <v>126</v>
      </c>
      <c r="K1064" s="5">
        <f>60 / 86400</f>
        <v>6.9444444444444447E-4</v>
      </c>
      <c r="L1064" s="5">
        <f>4423 / 86400</f>
        <v>5.1192129629629629E-2</v>
      </c>
    </row>
    <row r="1065" spans="1:12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</row>
    <row r="1066" spans="1:12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</row>
    <row r="1067" spans="1:12" s="10" customFormat="1" ht="20.100000000000001" customHeight="1" x14ac:dyDescent="0.35">
      <c r="A1067" s="12" t="s">
        <v>439</v>
      </c>
      <c r="B1067" s="12"/>
      <c r="C1067" s="12"/>
      <c r="D1067" s="12"/>
      <c r="E1067" s="12"/>
      <c r="F1067" s="12"/>
      <c r="G1067" s="12"/>
      <c r="H1067" s="12"/>
      <c r="I1067" s="12"/>
      <c r="J1067" s="12"/>
    </row>
    <row r="1068" spans="1:12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</row>
    <row r="1069" spans="1:12" ht="30" x14ac:dyDescent="0.25">
      <c r="A1069" s="2" t="s">
        <v>5</v>
      </c>
      <c r="B1069" s="2" t="s">
        <v>6</v>
      </c>
      <c r="C1069" s="2" t="s">
        <v>7</v>
      </c>
      <c r="D1069" s="2" t="s">
        <v>8</v>
      </c>
      <c r="E1069" s="2" t="s">
        <v>9</v>
      </c>
      <c r="F1069" s="2" t="s">
        <v>10</v>
      </c>
      <c r="G1069" s="2" t="s">
        <v>11</v>
      </c>
      <c r="H1069" s="2" t="s">
        <v>12</v>
      </c>
      <c r="I1069" s="2" t="s">
        <v>13</v>
      </c>
      <c r="J1069" s="2" t="s">
        <v>14</v>
      </c>
      <c r="K1069" s="2" t="s">
        <v>15</v>
      </c>
      <c r="L1069" s="2" t="s">
        <v>16</v>
      </c>
    </row>
    <row r="1070" spans="1:12" x14ac:dyDescent="0.25">
      <c r="A1070" s="3">
        <v>45698.395960648151</v>
      </c>
      <c r="B1070" t="s">
        <v>103</v>
      </c>
      <c r="C1070" s="3">
        <v>45698.642824074079</v>
      </c>
      <c r="D1070" t="s">
        <v>382</v>
      </c>
      <c r="E1070" s="4">
        <v>99.141000000000005</v>
      </c>
      <c r="F1070" s="4">
        <v>77998.774000000005</v>
      </c>
      <c r="G1070" s="4">
        <v>78097.914999999994</v>
      </c>
      <c r="H1070" s="5">
        <f>7838 / 86400</f>
        <v>9.0717592592592586E-2</v>
      </c>
      <c r="I1070" t="s">
        <v>60</v>
      </c>
      <c r="J1070" t="s">
        <v>28</v>
      </c>
      <c r="K1070" s="5">
        <f>21329 / 86400</f>
        <v>0.24686342592592592</v>
      </c>
      <c r="L1070" s="5">
        <f>35704 / 86400</f>
        <v>0.41324074074074074</v>
      </c>
    </row>
    <row r="1071" spans="1:12" x14ac:dyDescent="0.25">
      <c r="A1071" s="3">
        <v>45698.660104166665</v>
      </c>
      <c r="B1071" t="s">
        <v>382</v>
      </c>
      <c r="C1071" s="3">
        <v>45698.900127314817</v>
      </c>
      <c r="D1071" t="s">
        <v>123</v>
      </c>
      <c r="E1071" s="4">
        <v>91.453999999999994</v>
      </c>
      <c r="F1071" s="4">
        <v>78097.914999999994</v>
      </c>
      <c r="G1071" s="4">
        <v>78189.369000000006</v>
      </c>
      <c r="H1071" s="5">
        <f>7819 / 86400</f>
        <v>9.0497685185185181E-2</v>
      </c>
      <c r="I1071" t="s">
        <v>38</v>
      </c>
      <c r="J1071" t="s">
        <v>19</v>
      </c>
      <c r="K1071" s="5">
        <f>20738 / 86400</f>
        <v>0.24002314814814815</v>
      </c>
      <c r="L1071" s="5">
        <f>448 / 86400</f>
        <v>5.185185185185185E-3</v>
      </c>
    </row>
    <row r="1072" spans="1:12" x14ac:dyDescent="0.25">
      <c r="A1072" s="3">
        <v>45698.905312499999</v>
      </c>
      <c r="B1072" t="s">
        <v>123</v>
      </c>
      <c r="C1072" s="3">
        <v>45698.906134259261</v>
      </c>
      <c r="D1072" t="s">
        <v>64</v>
      </c>
      <c r="E1072" s="4">
        <v>0.20599999999999999</v>
      </c>
      <c r="F1072" s="4">
        <v>78189.369000000006</v>
      </c>
      <c r="G1072" s="4">
        <v>78189.574999999997</v>
      </c>
      <c r="H1072" s="5">
        <f>0 / 86400</f>
        <v>0</v>
      </c>
      <c r="I1072" t="s">
        <v>136</v>
      </c>
      <c r="J1072" t="s">
        <v>129</v>
      </c>
      <c r="K1072" s="5">
        <f>71 / 86400</f>
        <v>8.2175925925925927E-4</v>
      </c>
      <c r="L1072" s="5">
        <f>259 / 86400</f>
        <v>2.9976851851851853E-3</v>
      </c>
    </row>
    <row r="1073" spans="1:12" x14ac:dyDescent="0.25">
      <c r="A1073" s="3">
        <v>45698.909131944441</v>
      </c>
      <c r="B1073" t="s">
        <v>64</v>
      </c>
      <c r="C1073" s="3">
        <v>45698.916979166665</v>
      </c>
      <c r="D1073" t="s">
        <v>103</v>
      </c>
      <c r="E1073" s="4">
        <v>0.95899999999999996</v>
      </c>
      <c r="F1073" s="4">
        <v>78189.574999999997</v>
      </c>
      <c r="G1073" s="4">
        <v>78190.534</v>
      </c>
      <c r="H1073" s="5">
        <f>420 / 86400</f>
        <v>4.8611111111111112E-3</v>
      </c>
      <c r="I1073" t="s">
        <v>147</v>
      </c>
      <c r="J1073" t="s">
        <v>125</v>
      </c>
      <c r="K1073" s="5">
        <f>678 / 86400</f>
        <v>7.8472222222222224E-3</v>
      </c>
      <c r="L1073" s="5">
        <f>7172 / 86400</f>
        <v>8.3009259259259255E-2</v>
      </c>
    </row>
    <row r="1074" spans="1:12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</row>
    <row r="1075" spans="1:12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</row>
    <row r="1076" spans="1:12" s="10" customFormat="1" ht="20.100000000000001" customHeight="1" x14ac:dyDescent="0.35">
      <c r="A1076" s="12" t="s">
        <v>440</v>
      </c>
      <c r="B1076" s="12"/>
      <c r="C1076" s="12"/>
      <c r="D1076" s="12"/>
      <c r="E1076" s="12"/>
      <c r="F1076" s="12"/>
      <c r="G1076" s="12"/>
      <c r="H1076" s="12"/>
      <c r="I1076" s="12"/>
      <c r="J1076" s="12"/>
    </row>
    <row r="1077" spans="1:12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</row>
    <row r="1078" spans="1:12" ht="30" x14ac:dyDescent="0.25">
      <c r="A1078" s="2" t="s">
        <v>5</v>
      </c>
      <c r="B1078" s="2" t="s">
        <v>6</v>
      </c>
      <c r="C1078" s="2" t="s">
        <v>7</v>
      </c>
      <c r="D1078" s="2" t="s">
        <v>8</v>
      </c>
      <c r="E1078" s="2" t="s">
        <v>9</v>
      </c>
      <c r="F1078" s="2" t="s">
        <v>10</v>
      </c>
      <c r="G1078" s="2" t="s">
        <v>11</v>
      </c>
      <c r="H1078" s="2" t="s">
        <v>12</v>
      </c>
      <c r="I1078" s="2" t="s">
        <v>13</v>
      </c>
      <c r="J1078" s="2" t="s">
        <v>14</v>
      </c>
      <c r="K1078" s="2" t="s">
        <v>15</v>
      </c>
      <c r="L1078" s="2" t="s">
        <v>16</v>
      </c>
    </row>
    <row r="1079" spans="1:12" x14ac:dyDescent="0.25">
      <c r="A1079" s="3">
        <v>45698.00481481482</v>
      </c>
      <c r="B1079" t="s">
        <v>79</v>
      </c>
      <c r="C1079" s="3">
        <v>45698.012766203705</v>
      </c>
      <c r="D1079" t="s">
        <v>365</v>
      </c>
      <c r="E1079" s="4">
        <v>3.4049999999999998</v>
      </c>
      <c r="F1079" s="4">
        <v>39362.639999999999</v>
      </c>
      <c r="G1079" s="4">
        <v>39366.044999999998</v>
      </c>
      <c r="H1079" s="5">
        <f>150 / 86400</f>
        <v>1.736111111111111E-3</v>
      </c>
      <c r="I1079" t="s">
        <v>42</v>
      </c>
      <c r="J1079" t="s">
        <v>25</v>
      </c>
      <c r="K1079" s="5">
        <f>687 / 86400</f>
        <v>7.951388888888888E-3</v>
      </c>
      <c r="L1079" s="5">
        <f>19041 / 86400</f>
        <v>0.22038194444444445</v>
      </c>
    </row>
    <row r="1080" spans="1:12" x14ac:dyDescent="0.25">
      <c r="A1080" s="3">
        <v>45698.228333333333</v>
      </c>
      <c r="B1080" t="s">
        <v>365</v>
      </c>
      <c r="C1080" s="3">
        <v>45698.230011574073</v>
      </c>
      <c r="D1080" t="s">
        <v>365</v>
      </c>
      <c r="E1080" s="4">
        <v>2.7E-2</v>
      </c>
      <c r="F1080" s="4">
        <v>39366.044999999998</v>
      </c>
      <c r="G1080" s="4">
        <v>39366.072</v>
      </c>
      <c r="H1080" s="5">
        <f>90 / 86400</f>
        <v>1.0416666666666667E-3</v>
      </c>
      <c r="I1080" t="s">
        <v>62</v>
      </c>
      <c r="J1080" t="s">
        <v>62</v>
      </c>
      <c r="K1080" s="5">
        <f>145 / 86400</f>
        <v>1.6782407407407408E-3</v>
      </c>
      <c r="L1080" s="5">
        <f>892 / 86400</f>
        <v>1.0324074074074074E-2</v>
      </c>
    </row>
    <row r="1081" spans="1:12" x14ac:dyDescent="0.25">
      <c r="A1081" s="3">
        <v>45698.240335648152</v>
      </c>
      <c r="B1081" t="s">
        <v>365</v>
      </c>
      <c r="C1081" s="3">
        <v>45698.382071759261</v>
      </c>
      <c r="D1081" t="s">
        <v>44</v>
      </c>
      <c r="E1081" s="4">
        <v>66.519000000000005</v>
      </c>
      <c r="F1081" s="4">
        <v>39366.072</v>
      </c>
      <c r="G1081" s="4">
        <v>39432.591</v>
      </c>
      <c r="H1081" s="5">
        <f>3989 / 86400</f>
        <v>4.6168981481481484E-2</v>
      </c>
      <c r="I1081" t="s">
        <v>30</v>
      </c>
      <c r="J1081" t="s">
        <v>22</v>
      </c>
      <c r="K1081" s="5">
        <f>12246 / 86400</f>
        <v>0.14173611111111112</v>
      </c>
      <c r="L1081" s="5">
        <f>1582 / 86400</f>
        <v>1.8310185185185186E-2</v>
      </c>
    </row>
    <row r="1082" spans="1:12" x14ac:dyDescent="0.25">
      <c r="A1082" s="3">
        <v>45698.400381944448</v>
      </c>
      <c r="B1082" t="s">
        <v>44</v>
      </c>
      <c r="C1082" s="3">
        <v>45698.408206018517</v>
      </c>
      <c r="D1082" t="s">
        <v>135</v>
      </c>
      <c r="E1082" s="4">
        <v>1.887</v>
      </c>
      <c r="F1082" s="4">
        <v>39432.591</v>
      </c>
      <c r="G1082" s="4">
        <v>39434.478000000003</v>
      </c>
      <c r="H1082" s="5">
        <f>89 / 86400</f>
        <v>1.0300925925925926E-3</v>
      </c>
      <c r="I1082" t="s">
        <v>229</v>
      </c>
      <c r="J1082" t="s">
        <v>129</v>
      </c>
      <c r="K1082" s="5">
        <f>676 / 86400</f>
        <v>7.8240740740740736E-3</v>
      </c>
      <c r="L1082" s="5">
        <f>1702 / 86400</f>
        <v>1.9699074074074074E-2</v>
      </c>
    </row>
    <row r="1083" spans="1:12" x14ac:dyDescent="0.25">
      <c r="A1083" s="3">
        <v>45698.427905092598</v>
      </c>
      <c r="B1083" t="s">
        <v>135</v>
      </c>
      <c r="C1083" s="3">
        <v>45698.432037037041</v>
      </c>
      <c r="D1083" t="s">
        <v>64</v>
      </c>
      <c r="E1083" s="4">
        <v>0.93200000000000005</v>
      </c>
      <c r="F1083" s="4">
        <v>39434.478000000003</v>
      </c>
      <c r="G1083" s="4">
        <v>39435.410000000003</v>
      </c>
      <c r="H1083" s="5">
        <f>150 / 86400</f>
        <v>1.736111111111111E-3</v>
      </c>
      <c r="I1083" t="s">
        <v>145</v>
      </c>
      <c r="J1083" t="s">
        <v>138</v>
      </c>
      <c r="K1083" s="5">
        <f>357 / 86400</f>
        <v>4.1319444444444442E-3</v>
      </c>
      <c r="L1083" s="5">
        <f>176 / 86400</f>
        <v>2.0370370370370369E-3</v>
      </c>
    </row>
    <row r="1084" spans="1:12" x14ac:dyDescent="0.25">
      <c r="A1084" s="3">
        <v>45698.434074074074</v>
      </c>
      <c r="B1084" t="s">
        <v>323</v>
      </c>
      <c r="C1084" s="3">
        <v>45698.647465277776</v>
      </c>
      <c r="D1084" t="s">
        <v>123</v>
      </c>
      <c r="E1084" s="4">
        <v>92.58</v>
      </c>
      <c r="F1084" s="4">
        <v>39435.410000000003</v>
      </c>
      <c r="G1084" s="4">
        <v>39527.99</v>
      </c>
      <c r="H1084" s="5">
        <f>6324 / 86400</f>
        <v>7.3194444444444451E-2</v>
      </c>
      <c r="I1084" t="s">
        <v>88</v>
      </c>
      <c r="J1084" t="s">
        <v>25</v>
      </c>
      <c r="K1084" s="5">
        <f>18437 / 86400</f>
        <v>0.21339120370370371</v>
      </c>
      <c r="L1084" s="5">
        <f>345 / 86400</f>
        <v>3.9930555555555552E-3</v>
      </c>
    </row>
    <row r="1085" spans="1:12" x14ac:dyDescent="0.25">
      <c r="A1085" s="3">
        <v>45698.651458333334</v>
      </c>
      <c r="B1085" t="s">
        <v>123</v>
      </c>
      <c r="C1085" s="3">
        <v>45698.99998842593</v>
      </c>
      <c r="D1085" t="s">
        <v>104</v>
      </c>
      <c r="E1085" s="4">
        <v>150.126</v>
      </c>
      <c r="F1085" s="4">
        <v>39527.99</v>
      </c>
      <c r="G1085" s="4">
        <v>39678.116000000002</v>
      </c>
      <c r="H1085" s="5">
        <f>9932 / 86400</f>
        <v>0.1149537037037037</v>
      </c>
      <c r="I1085" t="s">
        <v>88</v>
      </c>
      <c r="J1085" t="s">
        <v>25</v>
      </c>
      <c r="K1085" s="5">
        <f>30113 / 86400</f>
        <v>0.3485300925925926</v>
      </c>
      <c r="L1085" s="5">
        <f>0 / 86400</f>
        <v>0</v>
      </c>
    </row>
    <row r="1086" spans="1:12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</row>
    <row r="1087" spans="1:12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</row>
    <row r="1088" spans="1:12" s="10" customFormat="1" ht="20.100000000000001" customHeight="1" x14ac:dyDescent="0.35">
      <c r="A1088" s="12" t="s">
        <v>441</v>
      </c>
      <c r="B1088" s="12"/>
      <c r="C1088" s="12"/>
      <c r="D1088" s="12"/>
      <c r="E1088" s="12"/>
      <c r="F1088" s="12"/>
      <c r="G1088" s="12"/>
      <c r="H1088" s="12"/>
      <c r="I1088" s="12"/>
      <c r="J1088" s="12"/>
    </row>
    <row r="1089" spans="1:12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</row>
    <row r="1090" spans="1:12" ht="30" x14ac:dyDescent="0.25">
      <c r="A1090" s="2" t="s">
        <v>5</v>
      </c>
      <c r="B1090" s="2" t="s">
        <v>6</v>
      </c>
      <c r="C1090" s="2" t="s">
        <v>7</v>
      </c>
      <c r="D1090" s="2" t="s">
        <v>8</v>
      </c>
      <c r="E1090" s="2" t="s">
        <v>9</v>
      </c>
      <c r="F1090" s="2" t="s">
        <v>10</v>
      </c>
      <c r="G1090" s="2" t="s">
        <v>11</v>
      </c>
      <c r="H1090" s="2" t="s">
        <v>12</v>
      </c>
      <c r="I1090" s="2" t="s">
        <v>13</v>
      </c>
      <c r="J1090" s="2" t="s">
        <v>14</v>
      </c>
      <c r="K1090" s="2" t="s">
        <v>15</v>
      </c>
      <c r="L1090" s="2" t="s">
        <v>16</v>
      </c>
    </row>
    <row r="1091" spans="1:12" x14ac:dyDescent="0.25">
      <c r="A1091" s="3">
        <v>45698.252164351856</v>
      </c>
      <c r="B1091" t="s">
        <v>105</v>
      </c>
      <c r="C1091" s="3">
        <v>45698.320462962962</v>
      </c>
      <c r="D1091" t="s">
        <v>137</v>
      </c>
      <c r="E1091" s="4">
        <v>35.124000000000002</v>
      </c>
      <c r="F1091" s="4">
        <v>191565.27100000001</v>
      </c>
      <c r="G1091" s="4">
        <v>191600.39499999999</v>
      </c>
      <c r="H1091" s="5">
        <f>1338 / 86400</f>
        <v>1.5486111111111112E-2</v>
      </c>
      <c r="I1091" t="s">
        <v>40</v>
      </c>
      <c r="J1091" t="s">
        <v>136</v>
      </c>
      <c r="K1091" s="5">
        <f>5901 / 86400</f>
        <v>6.8298611111111115E-2</v>
      </c>
      <c r="L1091" s="5">
        <f>22671 / 86400</f>
        <v>0.26239583333333333</v>
      </c>
    </row>
    <row r="1092" spans="1:12" x14ac:dyDescent="0.25">
      <c r="A1092" s="3">
        <v>45698.330694444448</v>
      </c>
      <c r="B1092" t="s">
        <v>137</v>
      </c>
      <c r="C1092" s="3">
        <v>45698.448530092588</v>
      </c>
      <c r="D1092" t="s">
        <v>343</v>
      </c>
      <c r="E1092" s="4">
        <v>51.1</v>
      </c>
      <c r="F1092" s="4">
        <v>191600.39499999999</v>
      </c>
      <c r="G1092" s="4">
        <v>191651.495</v>
      </c>
      <c r="H1092" s="5">
        <f>2501 / 86400</f>
        <v>2.8946759259259259E-2</v>
      </c>
      <c r="I1092" t="s">
        <v>124</v>
      </c>
      <c r="J1092" t="s">
        <v>25</v>
      </c>
      <c r="K1092" s="5">
        <f>10181 / 86400</f>
        <v>0.11783564814814815</v>
      </c>
      <c r="L1092" s="5">
        <f>977 / 86400</f>
        <v>1.1307870370370371E-2</v>
      </c>
    </row>
    <row r="1093" spans="1:12" x14ac:dyDescent="0.25">
      <c r="A1093" s="3">
        <v>45698.459837962961</v>
      </c>
      <c r="B1093" t="s">
        <v>343</v>
      </c>
      <c r="C1093" s="3">
        <v>45698.598402777774</v>
      </c>
      <c r="D1093" t="s">
        <v>49</v>
      </c>
      <c r="E1093" s="4">
        <v>50.334000000000003</v>
      </c>
      <c r="F1093" s="4">
        <v>191651.495</v>
      </c>
      <c r="G1093" s="4">
        <v>191701.829</v>
      </c>
      <c r="H1093" s="5">
        <f>3880 / 86400</f>
        <v>4.490740740740741E-2</v>
      </c>
      <c r="I1093" t="s">
        <v>156</v>
      </c>
      <c r="J1093" t="s">
        <v>57</v>
      </c>
      <c r="K1093" s="5">
        <f>11971 / 86400</f>
        <v>0.13855324074074074</v>
      </c>
      <c r="L1093" s="5">
        <f>529 / 86400</f>
        <v>6.122685185185185E-3</v>
      </c>
    </row>
    <row r="1094" spans="1:12" x14ac:dyDescent="0.25">
      <c r="A1094" s="3">
        <v>45698.604525462964</v>
      </c>
      <c r="B1094" t="s">
        <v>49</v>
      </c>
      <c r="C1094" s="3">
        <v>45698.605034722219</v>
      </c>
      <c r="D1094" t="s">
        <v>49</v>
      </c>
      <c r="E1094" s="4">
        <v>2.5000000000000001E-2</v>
      </c>
      <c r="F1094" s="4">
        <v>191701.829</v>
      </c>
      <c r="G1094" s="4">
        <v>191701.85399999999</v>
      </c>
      <c r="H1094" s="5">
        <f>20 / 86400</f>
        <v>2.3148148148148149E-4</v>
      </c>
      <c r="I1094" t="s">
        <v>138</v>
      </c>
      <c r="J1094" t="s">
        <v>132</v>
      </c>
      <c r="K1094" s="5">
        <f>43 / 86400</f>
        <v>4.9768518518518521E-4</v>
      </c>
      <c r="L1094" s="5">
        <f>2775 / 86400</f>
        <v>3.2118055555555552E-2</v>
      </c>
    </row>
    <row r="1095" spans="1:12" x14ac:dyDescent="0.25">
      <c r="A1095" s="3">
        <v>45698.637152777781</v>
      </c>
      <c r="B1095" t="s">
        <v>49</v>
      </c>
      <c r="C1095" s="3">
        <v>45698.639293981483</v>
      </c>
      <c r="D1095" t="s">
        <v>320</v>
      </c>
      <c r="E1095" s="4">
        <v>0.371</v>
      </c>
      <c r="F1095" s="4">
        <v>191701.85399999999</v>
      </c>
      <c r="G1095" s="4">
        <v>191702.22500000001</v>
      </c>
      <c r="H1095" s="5">
        <f>20 / 86400</f>
        <v>2.3148148148148149E-4</v>
      </c>
      <c r="I1095" t="s">
        <v>97</v>
      </c>
      <c r="J1095" t="s">
        <v>89</v>
      </c>
      <c r="K1095" s="5">
        <f>184 / 86400</f>
        <v>2.1296296296296298E-3</v>
      </c>
      <c r="L1095" s="5">
        <f>133 / 86400</f>
        <v>1.5393518518518519E-3</v>
      </c>
    </row>
    <row r="1096" spans="1:12" x14ac:dyDescent="0.25">
      <c r="A1096" s="3">
        <v>45698.640833333338</v>
      </c>
      <c r="B1096" t="s">
        <v>320</v>
      </c>
      <c r="C1096" s="3">
        <v>45698.641076388885</v>
      </c>
      <c r="D1096" t="s">
        <v>320</v>
      </c>
      <c r="E1096" s="4">
        <v>0</v>
      </c>
      <c r="F1096" s="4">
        <v>191702.22500000001</v>
      </c>
      <c r="G1096" s="4">
        <v>191702.22500000001</v>
      </c>
      <c r="H1096" s="5">
        <f>0 / 86400</f>
        <v>0</v>
      </c>
      <c r="I1096" t="s">
        <v>126</v>
      </c>
      <c r="J1096" t="s">
        <v>126</v>
      </c>
      <c r="K1096" s="5">
        <f>20 / 86400</f>
        <v>2.3148148148148149E-4</v>
      </c>
      <c r="L1096" s="5">
        <f>1354 / 86400</f>
        <v>1.5671296296296298E-2</v>
      </c>
    </row>
    <row r="1097" spans="1:12" x14ac:dyDescent="0.25">
      <c r="A1097" s="3">
        <v>45698.656747685185</v>
      </c>
      <c r="B1097" t="s">
        <v>320</v>
      </c>
      <c r="C1097" s="3">
        <v>45698.657800925925</v>
      </c>
      <c r="D1097" t="s">
        <v>320</v>
      </c>
      <c r="E1097" s="4">
        <v>3.6999999999999998E-2</v>
      </c>
      <c r="F1097" s="4">
        <v>191702.22500000001</v>
      </c>
      <c r="G1097" s="4">
        <v>191702.26199999999</v>
      </c>
      <c r="H1097" s="5">
        <f>0 / 86400</f>
        <v>0</v>
      </c>
      <c r="I1097" t="s">
        <v>125</v>
      </c>
      <c r="J1097" t="s">
        <v>62</v>
      </c>
      <c r="K1097" s="5">
        <f>90 / 86400</f>
        <v>1.0416666666666667E-3</v>
      </c>
      <c r="L1097" s="5">
        <f>4206 / 86400</f>
        <v>4.8680555555555553E-2</v>
      </c>
    </row>
    <row r="1098" spans="1:12" x14ac:dyDescent="0.25">
      <c r="A1098" s="3">
        <v>45698.70648148148</v>
      </c>
      <c r="B1098" t="s">
        <v>320</v>
      </c>
      <c r="C1098" s="3">
        <v>45698.706990740742</v>
      </c>
      <c r="D1098" t="s">
        <v>320</v>
      </c>
      <c r="E1098" s="4">
        <v>3.7999999999999999E-2</v>
      </c>
      <c r="F1098" s="4">
        <v>191702.26199999999</v>
      </c>
      <c r="G1098" s="4">
        <v>191702.3</v>
      </c>
      <c r="H1098" s="5">
        <f>0 / 86400</f>
        <v>0</v>
      </c>
      <c r="I1098" t="s">
        <v>61</v>
      </c>
      <c r="J1098" t="s">
        <v>169</v>
      </c>
      <c r="K1098" s="5">
        <f>43 / 86400</f>
        <v>4.9768518518518521E-4</v>
      </c>
      <c r="L1098" s="5">
        <f>156 / 86400</f>
        <v>1.8055555555555555E-3</v>
      </c>
    </row>
    <row r="1099" spans="1:12" x14ac:dyDescent="0.25">
      <c r="A1099" s="3">
        <v>45698.708796296298</v>
      </c>
      <c r="B1099" t="s">
        <v>320</v>
      </c>
      <c r="C1099" s="3">
        <v>45698.714502314819</v>
      </c>
      <c r="D1099" t="s">
        <v>123</v>
      </c>
      <c r="E1099" s="4">
        <v>0.71499999999999997</v>
      </c>
      <c r="F1099" s="4">
        <v>191702.3</v>
      </c>
      <c r="G1099" s="4">
        <v>191703.01500000001</v>
      </c>
      <c r="H1099" s="5">
        <f>299 / 86400</f>
        <v>3.460648148148148E-3</v>
      </c>
      <c r="I1099" t="s">
        <v>134</v>
      </c>
      <c r="J1099" t="s">
        <v>125</v>
      </c>
      <c r="K1099" s="5">
        <f>493 / 86400</f>
        <v>5.7060185185185183E-3</v>
      </c>
      <c r="L1099" s="5">
        <f>353 / 86400</f>
        <v>4.0856481481481481E-3</v>
      </c>
    </row>
    <row r="1100" spans="1:12" x14ac:dyDescent="0.25">
      <c r="A1100" s="3">
        <v>45698.718587962961</v>
      </c>
      <c r="B1100" t="s">
        <v>123</v>
      </c>
      <c r="C1100" s="3">
        <v>45698.827731481477</v>
      </c>
      <c r="D1100" t="s">
        <v>373</v>
      </c>
      <c r="E1100" s="4">
        <v>47.061999999999998</v>
      </c>
      <c r="F1100" s="4">
        <v>191703.01500000001</v>
      </c>
      <c r="G1100" s="4">
        <v>191750.07699999999</v>
      </c>
      <c r="H1100" s="5">
        <f>2519 / 86400</f>
        <v>2.9155092592592594E-2</v>
      </c>
      <c r="I1100" t="s">
        <v>24</v>
      </c>
      <c r="J1100" t="s">
        <v>25</v>
      </c>
      <c r="K1100" s="5">
        <f>9430 / 86400</f>
        <v>0.10914351851851851</v>
      </c>
      <c r="L1100" s="5">
        <f>154 / 86400</f>
        <v>1.7824074074074075E-3</v>
      </c>
    </row>
    <row r="1101" spans="1:12" x14ac:dyDescent="0.25">
      <c r="A1101" s="3">
        <v>45698.829513888893</v>
      </c>
      <c r="B1101" t="s">
        <v>373</v>
      </c>
      <c r="C1101" s="3">
        <v>45698.99998842593</v>
      </c>
      <c r="D1101" t="s">
        <v>106</v>
      </c>
      <c r="E1101" s="4">
        <v>68.638000000000005</v>
      </c>
      <c r="F1101" s="4">
        <v>191750.08100000001</v>
      </c>
      <c r="G1101" s="4">
        <v>191818.71900000001</v>
      </c>
      <c r="H1101" s="5">
        <f>4780 / 86400</f>
        <v>5.5324074074074074E-2</v>
      </c>
      <c r="I1101" t="s">
        <v>332</v>
      </c>
      <c r="J1101" t="s">
        <v>28</v>
      </c>
      <c r="K1101" s="5">
        <f>14729 / 86400</f>
        <v>0.17047453703703705</v>
      </c>
      <c r="L1101" s="5">
        <f>0 / 86400</f>
        <v>0</v>
      </c>
    </row>
    <row r="1102" spans="1:12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</row>
    <row r="1103" spans="1:12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</row>
    <row r="1104" spans="1:12" s="10" customFormat="1" ht="20.100000000000001" customHeight="1" x14ac:dyDescent="0.35">
      <c r="A1104" s="12" t="s">
        <v>452</v>
      </c>
      <c r="B1104" s="12"/>
      <c r="C1104" s="12"/>
      <c r="D1104" s="12"/>
      <c r="E1104" s="12"/>
      <c r="F1104" s="12"/>
      <c r="G1104" s="12"/>
      <c r="H1104" s="12"/>
      <c r="I1104" s="12"/>
      <c r="J1104" s="12"/>
    </row>
    <row r="1105" spans="1:12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</row>
    <row r="1106" spans="1:12" ht="30" x14ac:dyDescent="0.25">
      <c r="A1106" s="2" t="s">
        <v>5</v>
      </c>
      <c r="B1106" s="2" t="s">
        <v>6</v>
      </c>
      <c r="C1106" s="2" t="s">
        <v>7</v>
      </c>
      <c r="D1106" s="2" t="s">
        <v>8</v>
      </c>
      <c r="E1106" s="2" t="s">
        <v>9</v>
      </c>
      <c r="F1106" s="2" t="s">
        <v>10</v>
      </c>
      <c r="G1106" s="2" t="s">
        <v>11</v>
      </c>
      <c r="H1106" s="2" t="s">
        <v>12</v>
      </c>
      <c r="I1106" s="2" t="s">
        <v>13</v>
      </c>
      <c r="J1106" s="2" t="s">
        <v>14</v>
      </c>
      <c r="K1106" s="2" t="s">
        <v>15</v>
      </c>
      <c r="L1106" s="2" t="s">
        <v>16</v>
      </c>
    </row>
    <row r="1107" spans="1:12" x14ac:dyDescent="0.25">
      <c r="A1107" s="3">
        <v>45698.2112962963</v>
      </c>
      <c r="B1107" t="s">
        <v>90</v>
      </c>
      <c r="C1107" s="3">
        <v>45698.454155092593</v>
      </c>
      <c r="D1107" t="s">
        <v>123</v>
      </c>
      <c r="E1107" s="4">
        <v>101.64100000000001</v>
      </c>
      <c r="F1107" s="4">
        <v>521937.02399999998</v>
      </c>
      <c r="G1107" s="4">
        <v>522038.66499999998</v>
      </c>
      <c r="H1107" s="5">
        <f>7159 / 86400</f>
        <v>8.2858796296296292E-2</v>
      </c>
      <c r="I1107" t="s">
        <v>108</v>
      </c>
      <c r="J1107" t="s">
        <v>28</v>
      </c>
      <c r="K1107" s="5">
        <f>20982 / 86400</f>
        <v>0.24284722222222221</v>
      </c>
      <c r="L1107" s="5">
        <f>18748 / 86400</f>
        <v>0.21699074074074073</v>
      </c>
    </row>
    <row r="1108" spans="1:12" x14ac:dyDescent="0.25">
      <c r="A1108" s="3">
        <v>45698.459849537037</v>
      </c>
      <c r="B1108" t="s">
        <v>123</v>
      </c>
      <c r="C1108" s="3">
        <v>45698.461805555555</v>
      </c>
      <c r="D1108" t="s">
        <v>123</v>
      </c>
      <c r="E1108" s="4">
        <v>0</v>
      </c>
      <c r="F1108" s="4">
        <v>522038.66499999998</v>
      </c>
      <c r="G1108" s="4">
        <v>522038.66499999998</v>
      </c>
      <c r="H1108" s="5">
        <f>159 / 86400</f>
        <v>1.8402777777777777E-3</v>
      </c>
      <c r="I1108" t="s">
        <v>126</v>
      </c>
      <c r="J1108" t="s">
        <v>126</v>
      </c>
      <c r="K1108" s="5">
        <f>169 / 86400</f>
        <v>1.9560185185185184E-3</v>
      </c>
      <c r="L1108" s="5">
        <f>434 / 86400</f>
        <v>5.0231481481481481E-3</v>
      </c>
    </row>
    <row r="1109" spans="1:12" x14ac:dyDescent="0.25">
      <c r="A1109" s="3">
        <v>45698.466828703706</v>
      </c>
      <c r="B1109" t="s">
        <v>123</v>
      </c>
      <c r="C1109" s="3">
        <v>45698.470914351856</v>
      </c>
      <c r="D1109" t="s">
        <v>320</v>
      </c>
      <c r="E1109" s="4">
        <v>0.69699999999999995</v>
      </c>
      <c r="F1109" s="4">
        <v>522038.66499999998</v>
      </c>
      <c r="G1109" s="4">
        <v>522039.36200000002</v>
      </c>
      <c r="H1109" s="5">
        <f>179 / 86400</f>
        <v>2.0717592592592593E-3</v>
      </c>
      <c r="I1109" t="s">
        <v>163</v>
      </c>
      <c r="J1109" t="s">
        <v>89</v>
      </c>
      <c r="K1109" s="5">
        <f>353 / 86400</f>
        <v>4.0856481481481481E-3</v>
      </c>
      <c r="L1109" s="5">
        <f>2411 / 86400</f>
        <v>2.7905092592592592E-2</v>
      </c>
    </row>
    <row r="1110" spans="1:12" x14ac:dyDescent="0.25">
      <c r="A1110" s="3">
        <v>45698.498819444445</v>
      </c>
      <c r="B1110" t="s">
        <v>320</v>
      </c>
      <c r="C1110" s="3">
        <v>45698.503379629634</v>
      </c>
      <c r="D1110" t="s">
        <v>137</v>
      </c>
      <c r="E1110" s="4">
        <v>1.0760000000000001</v>
      </c>
      <c r="F1110" s="4">
        <v>522039.36200000002</v>
      </c>
      <c r="G1110" s="4">
        <v>522040.43800000002</v>
      </c>
      <c r="H1110" s="5">
        <f>46 / 86400</f>
        <v>5.3240740740740744E-4</v>
      </c>
      <c r="I1110" t="s">
        <v>36</v>
      </c>
      <c r="J1110" t="s">
        <v>129</v>
      </c>
      <c r="K1110" s="5">
        <f>394 / 86400</f>
        <v>4.5601851851851853E-3</v>
      </c>
      <c r="L1110" s="5">
        <f>1754 / 86400</f>
        <v>2.0300925925925927E-2</v>
      </c>
    </row>
    <row r="1111" spans="1:12" x14ac:dyDescent="0.25">
      <c r="A1111" s="3">
        <v>45698.523680555554</v>
      </c>
      <c r="B1111" t="s">
        <v>137</v>
      </c>
      <c r="C1111" s="3">
        <v>45698.791296296295</v>
      </c>
      <c r="D1111" t="s">
        <v>123</v>
      </c>
      <c r="E1111" s="4">
        <v>101.741</v>
      </c>
      <c r="F1111" s="4">
        <v>522040.43800000002</v>
      </c>
      <c r="G1111" s="4">
        <v>522142.179</v>
      </c>
      <c r="H1111" s="5">
        <f>9101 / 86400</f>
        <v>0.10533564814814815</v>
      </c>
      <c r="I1111" t="s">
        <v>35</v>
      </c>
      <c r="J1111" t="s">
        <v>19</v>
      </c>
      <c r="K1111" s="5">
        <f>23122 / 86400</f>
        <v>0.26761574074074074</v>
      </c>
      <c r="L1111" s="5">
        <f>268 / 86400</f>
        <v>3.1018518518518517E-3</v>
      </c>
    </row>
    <row r="1112" spans="1:12" x14ac:dyDescent="0.25">
      <c r="A1112" s="3">
        <v>45698.794398148151</v>
      </c>
      <c r="B1112" t="s">
        <v>123</v>
      </c>
      <c r="C1112" s="3">
        <v>45698.988692129627</v>
      </c>
      <c r="D1112" t="s">
        <v>383</v>
      </c>
      <c r="E1112" s="4">
        <v>93.572000000000003</v>
      </c>
      <c r="F1112" s="4">
        <v>522142.179</v>
      </c>
      <c r="G1112" s="4">
        <v>522235.75099999999</v>
      </c>
      <c r="H1112" s="5">
        <f>4360 / 86400</f>
        <v>5.0462962962962966E-2</v>
      </c>
      <c r="I1112" t="s">
        <v>30</v>
      </c>
      <c r="J1112" t="s">
        <v>22</v>
      </c>
      <c r="K1112" s="5">
        <f>16787 / 86400</f>
        <v>0.19429398148148147</v>
      </c>
      <c r="L1112" s="5">
        <f>920 / 86400</f>
        <v>1.0648148148148148E-2</v>
      </c>
    </row>
    <row r="1113" spans="1:12" x14ac:dyDescent="0.25">
      <c r="A1113" s="3">
        <v>45698.999340277776</v>
      </c>
      <c r="B1113" t="s">
        <v>383</v>
      </c>
      <c r="C1113" s="3">
        <v>45698.99998842593</v>
      </c>
      <c r="D1113" t="s">
        <v>107</v>
      </c>
      <c r="E1113" s="4">
        <v>7.0000000000000007E-2</v>
      </c>
      <c r="F1113" s="4">
        <v>522235.75099999999</v>
      </c>
      <c r="G1113" s="4">
        <v>522235.821</v>
      </c>
      <c r="H1113" s="5">
        <f>19 / 86400</f>
        <v>2.199074074074074E-4</v>
      </c>
      <c r="I1113" t="s">
        <v>61</v>
      </c>
      <c r="J1113" t="s">
        <v>125</v>
      </c>
      <c r="K1113" s="5">
        <f>56 / 86400</f>
        <v>6.4814814814814813E-4</v>
      </c>
      <c r="L1113" s="5">
        <f>0 / 86400</f>
        <v>0</v>
      </c>
    </row>
    <row r="1114" spans="1:12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</row>
    <row r="1115" spans="1:12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</row>
    <row r="1116" spans="1:12" s="10" customFormat="1" ht="20.100000000000001" customHeight="1" x14ac:dyDescent="0.35">
      <c r="A1116" s="12" t="s">
        <v>453</v>
      </c>
      <c r="B1116" s="12"/>
      <c r="C1116" s="12"/>
      <c r="D1116" s="12"/>
      <c r="E1116" s="12"/>
      <c r="F1116" s="12"/>
      <c r="G1116" s="12"/>
      <c r="H1116" s="12"/>
      <c r="I1116" s="12"/>
      <c r="J1116" s="12"/>
    </row>
    <row r="1117" spans="1:12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</row>
    <row r="1118" spans="1:12" ht="30" x14ac:dyDescent="0.25">
      <c r="A1118" s="2" t="s">
        <v>5</v>
      </c>
      <c r="B1118" s="2" t="s">
        <v>6</v>
      </c>
      <c r="C1118" s="2" t="s">
        <v>7</v>
      </c>
      <c r="D1118" s="2" t="s">
        <v>8</v>
      </c>
      <c r="E1118" s="2" t="s">
        <v>9</v>
      </c>
      <c r="F1118" s="2" t="s">
        <v>10</v>
      </c>
      <c r="G1118" s="2" t="s">
        <v>11</v>
      </c>
      <c r="H1118" s="2" t="s">
        <v>12</v>
      </c>
      <c r="I1118" s="2" t="s">
        <v>13</v>
      </c>
      <c r="J1118" s="2" t="s">
        <v>14</v>
      </c>
      <c r="K1118" s="2" t="s">
        <v>15</v>
      </c>
      <c r="L1118" s="2" t="s">
        <v>16</v>
      </c>
    </row>
    <row r="1119" spans="1:12" x14ac:dyDescent="0.25">
      <c r="A1119" s="3">
        <v>45698.270740740743</v>
      </c>
      <c r="B1119" t="s">
        <v>94</v>
      </c>
      <c r="C1119" s="3">
        <v>45698.277905092589</v>
      </c>
      <c r="D1119" t="s">
        <v>137</v>
      </c>
      <c r="E1119" s="4">
        <v>2.198</v>
      </c>
      <c r="F1119" s="4">
        <v>22397.012999999999</v>
      </c>
      <c r="G1119" s="4">
        <v>22399.210999999999</v>
      </c>
      <c r="H1119" s="5">
        <f>99 / 86400</f>
        <v>1.1458333333333333E-3</v>
      </c>
      <c r="I1119" t="s">
        <v>141</v>
      </c>
      <c r="J1119" t="s">
        <v>97</v>
      </c>
      <c r="K1119" s="5">
        <f>619 / 86400</f>
        <v>7.1643518518518514E-3</v>
      </c>
      <c r="L1119" s="5">
        <f>24539 / 86400</f>
        <v>0.28401620370370373</v>
      </c>
    </row>
    <row r="1120" spans="1:12" x14ac:dyDescent="0.25">
      <c r="A1120" s="3">
        <v>45698.291180555556</v>
      </c>
      <c r="B1120" t="s">
        <v>137</v>
      </c>
      <c r="C1120" s="3">
        <v>45698.414398148147</v>
      </c>
      <c r="D1120" t="s">
        <v>343</v>
      </c>
      <c r="E1120" s="4">
        <v>51.113</v>
      </c>
      <c r="F1120" s="4">
        <v>22399.210999999999</v>
      </c>
      <c r="G1120" s="4">
        <v>22450.324000000001</v>
      </c>
      <c r="H1120" s="5">
        <f>3080 / 86400</f>
        <v>3.5648148148148151E-2</v>
      </c>
      <c r="I1120" t="s">
        <v>52</v>
      </c>
      <c r="J1120" t="s">
        <v>28</v>
      </c>
      <c r="K1120" s="5">
        <f>10646 / 86400</f>
        <v>0.12321759259259259</v>
      </c>
      <c r="L1120" s="5">
        <f>956 / 86400</f>
        <v>1.1064814814814816E-2</v>
      </c>
    </row>
    <row r="1121" spans="1:12" x14ac:dyDescent="0.25">
      <c r="A1121" s="3">
        <v>45698.425462962958</v>
      </c>
      <c r="B1121" t="s">
        <v>343</v>
      </c>
      <c r="C1121" s="3">
        <v>45698.571435185186</v>
      </c>
      <c r="D1121" t="s">
        <v>44</v>
      </c>
      <c r="E1121" s="4">
        <v>50.713000000000001</v>
      </c>
      <c r="F1121" s="4">
        <v>22450.324000000001</v>
      </c>
      <c r="G1121" s="4">
        <v>22501.037</v>
      </c>
      <c r="H1121" s="5">
        <f>4060 / 86400</f>
        <v>4.6990740740740743E-2</v>
      </c>
      <c r="I1121" t="s">
        <v>40</v>
      </c>
      <c r="J1121" t="s">
        <v>31</v>
      </c>
      <c r="K1121" s="5">
        <f>12612 / 86400</f>
        <v>0.14597222222222223</v>
      </c>
      <c r="L1121" s="5">
        <f>2166 / 86400</f>
        <v>2.5069444444444443E-2</v>
      </c>
    </row>
    <row r="1122" spans="1:12" x14ac:dyDescent="0.25">
      <c r="A1122" s="3">
        <v>45698.596504629633</v>
      </c>
      <c r="B1122" t="s">
        <v>44</v>
      </c>
      <c r="C1122" s="3">
        <v>45698.673807870371</v>
      </c>
      <c r="D1122" t="s">
        <v>146</v>
      </c>
      <c r="E1122" s="4">
        <v>40.789000000000001</v>
      </c>
      <c r="F1122" s="4">
        <v>22501.037</v>
      </c>
      <c r="G1122" s="4">
        <v>22541.826000000001</v>
      </c>
      <c r="H1122" s="5">
        <f>1400 / 86400</f>
        <v>1.6203703703703703E-2</v>
      </c>
      <c r="I1122" t="s">
        <v>38</v>
      </c>
      <c r="J1122" t="s">
        <v>147</v>
      </c>
      <c r="K1122" s="5">
        <f>6679 / 86400</f>
        <v>7.7303240740740742E-2</v>
      </c>
      <c r="L1122" s="5">
        <f>678 / 86400</f>
        <v>7.8472222222222224E-3</v>
      </c>
    </row>
    <row r="1123" spans="1:12" x14ac:dyDescent="0.25">
      <c r="A1123" s="3">
        <v>45698.681655092594</v>
      </c>
      <c r="B1123" t="s">
        <v>146</v>
      </c>
      <c r="C1123" s="3">
        <v>45698.683124999996</v>
      </c>
      <c r="D1123" t="s">
        <v>146</v>
      </c>
      <c r="E1123" s="4">
        <v>9.2999999999999999E-2</v>
      </c>
      <c r="F1123" s="4">
        <v>22541.826000000001</v>
      </c>
      <c r="G1123" s="4">
        <v>22541.919000000002</v>
      </c>
      <c r="H1123" s="5">
        <f>79 / 86400</f>
        <v>9.1435185185185185E-4</v>
      </c>
      <c r="I1123" t="s">
        <v>129</v>
      </c>
      <c r="J1123" t="s">
        <v>169</v>
      </c>
      <c r="K1123" s="5">
        <f>126 / 86400</f>
        <v>1.4583333333333334E-3</v>
      </c>
      <c r="L1123" s="5">
        <f>140 / 86400</f>
        <v>1.6203703703703703E-3</v>
      </c>
    </row>
    <row r="1124" spans="1:12" x14ac:dyDescent="0.25">
      <c r="A1124" s="3">
        <v>45698.684745370367</v>
      </c>
      <c r="B1124" t="s">
        <v>146</v>
      </c>
      <c r="C1124" s="3">
        <v>45698.799143518518</v>
      </c>
      <c r="D1124" t="s">
        <v>123</v>
      </c>
      <c r="E1124" s="4">
        <v>40.369999999999997</v>
      </c>
      <c r="F1124" s="4">
        <v>22541.919000000002</v>
      </c>
      <c r="G1124" s="4">
        <v>22582.289000000001</v>
      </c>
      <c r="H1124" s="5">
        <f>3100 / 86400</f>
        <v>3.5879629629629629E-2</v>
      </c>
      <c r="I1124" t="s">
        <v>156</v>
      </c>
      <c r="J1124" t="s">
        <v>57</v>
      </c>
      <c r="K1124" s="5">
        <f>9883 / 86400</f>
        <v>0.11438657407407407</v>
      </c>
      <c r="L1124" s="5">
        <f>532 / 86400</f>
        <v>6.1574074074074074E-3</v>
      </c>
    </row>
    <row r="1125" spans="1:12" x14ac:dyDescent="0.25">
      <c r="A1125" s="3">
        <v>45698.805300925931</v>
      </c>
      <c r="B1125" t="s">
        <v>123</v>
      </c>
      <c r="C1125" s="3">
        <v>45698.808969907404</v>
      </c>
      <c r="D1125" t="s">
        <v>94</v>
      </c>
      <c r="E1125" s="4">
        <v>0.74</v>
      </c>
      <c r="F1125" s="4">
        <v>22582.289000000001</v>
      </c>
      <c r="G1125" s="4">
        <v>22583.028999999999</v>
      </c>
      <c r="H1125" s="5">
        <f>100 / 86400</f>
        <v>1.1574074074074073E-3</v>
      </c>
      <c r="I1125" t="s">
        <v>149</v>
      </c>
      <c r="J1125" t="s">
        <v>168</v>
      </c>
      <c r="K1125" s="5">
        <f>317 / 86400</f>
        <v>3.6689814814814814E-3</v>
      </c>
      <c r="L1125" s="5">
        <f>1324 / 86400</f>
        <v>1.5324074074074073E-2</v>
      </c>
    </row>
    <row r="1126" spans="1:12" x14ac:dyDescent="0.25">
      <c r="A1126" s="3">
        <v>45698.824293981481</v>
      </c>
      <c r="B1126" t="s">
        <v>94</v>
      </c>
      <c r="C1126" s="3">
        <v>45698.82503472222</v>
      </c>
      <c r="D1126" t="s">
        <v>94</v>
      </c>
      <c r="E1126" s="4">
        <v>6.8000000000000005E-2</v>
      </c>
      <c r="F1126" s="4">
        <v>22583.028999999999</v>
      </c>
      <c r="G1126" s="4">
        <v>22583.097000000002</v>
      </c>
      <c r="H1126" s="5">
        <f>0 / 86400</f>
        <v>0</v>
      </c>
      <c r="I1126" t="s">
        <v>61</v>
      </c>
      <c r="J1126" t="s">
        <v>43</v>
      </c>
      <c r="K1126" s="5">
        <f>63 / 86400</f>
        <v>7.291666666666667E-4</v>
      </c>
      <c r="L1126" s="5">
        <f>15116 / 86400</f>
        <v>0.17495370370370369</v>
      </c>
    </row>
    <row r="1127" spans="1:12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</row>
    <row r="1128" spans="1:12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</row>
    <row r="1129" spans="1:12" s="10" customFormat="1" ht="20.100000000000001" customHeight="1" x14ac:dyDescent="0.35">
      <c r="A1129" s="12" t="s">
        <v>454</v>
      </c>
      <c r="B1129" s="12"/>
      <c r="C1129" s="12"/>
      <c r="D1129" s="12"/>
      <c r="E1129" s="12"/>
      <c r="F1129" s="12"/>
      <c r="G1129" s="12"/>
      <c r="H1129" s="12"/>
      <c r="I1129" s="12"/>
      <c r="J1129" s="12"/>
    </row>
    <row r="1130" spans="1:12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</row>
    <row r="1131" spans="1:12" ht="30" x14ac:dyDescent="0.25">
      <c r="A1131" s="2" t="s">
        <v>5</v>
      </c>
      <c r="B1131" s="2" t="s">
        <v>6</v>
      </c>
      <c r="C1131" s="2" t="s">
        <v>7</v>
      </c>
      <c r="D1131" s="2" t="s">
        <v>8</v>
      </c>
      <c r="E1131" s="2" t="s">
        <v>9</v>
      </c>
      <c r="F1131" s="2" t="s">
        <v>10</v>
      </c>
      <c r="G1131" s="2" t="s">
        <v>11</v>
      </c>
      <c r="H1131" s="2" t="s">
        <v>12</v>
      </c>
      <c r="I1131" s="2" t="s">
        <v>13</v>
      </c>
      <c r="J1131" s="2" t="s">
        <v>14</v>
      </c>
      <c r="K1131" s="2" t="s">
        <v>15</v>
      </c>
      <c r="L1131" s="2" t="s">
        <v>16</v>
      </c>
    </row>
    <row r="1132" spans="1:12" x14ac:dyDescent="0.25">
      <c r="A1132" s="3">
        <v>45698.229895833334</v>
      </c>
      <c r="B1132" t="s">
        <v>37</v>
      </c>
      <c r="C1132" s="3">
        <v>45698.471597222218</v>
      </c>
      <c r="D1132" t="s">
        <v>123</v>
      </c>
      <c r="E1132" s="4">
        <v>81.111000000000004</v>
      </c>
      <c r="F1132" s="4">
        <v>63612.786</v>
      </c>
      <c r="G1132" s="4">
        <v>63693.896999999997</v>
      </c>
      <c r="H1132" s="5">
        <f>8339 / 86400</f>
        <v>9.6516203703703701E-2</v>
      </c>
      <c r="I1132" t="s">
        <v>50</v>
      </c>
      <c r="J1132" t="s">
        <v>31</v>
      </c>
      <c r="K1132" s="5">
        <f>20882 / 86400</f>
        <v>0.2416898148148148</v>
      </c>
      <c r="L1132" s="5">
        <f>20231 / 86400</f>
        <v>0.2341550925925926</v>
      </c>
    </row>
    <row r="1133" spans="1:12" x14ac:dyDescent="0.25">
      <c r="A1133" s="3">
        <v>45698.475856481484</v>
      </c>
      <c r="B1133" t="s">
        <v>123</v>
      </c>
      <c r="C1133" s="3">
        <v>45698.476527777777</v>
      </c>
      <c r="D1133" t="s">
        <v>123</v>
      </c>
      <c r="E1133" s="4">
        <v>1.9E-2</v>
      </c>
      <c r="F1133" s="4">
        <v>63693.896999999997</v>
      </c>
      <c r="G1133" s="4">
        <v>63693.915999999997</v>
      </c>
      <c r="H1133" s="5">
        <f>0 / 86400</f>
        <v>0</v>
      </c>
      <c r="I1133" t="s">
        <v>169</v>
      </c>
      <c r="J1133" t="s">
        <v>62</v>
      </c>
      <c r="K1133" s="5">
        <f>57 / 86400</f>
        <v>6.5972222222222224E-4</v>
      </c>
      <c r="L1133" s="5">
        <f>1478 / 86400</f>
        <v>1.7106481481481483E-2</v>
      </c>
    </row>
    <row r="1134" spans="1:12" x14ac:dyDescent="0.25">
      <c r="A1134" s="3">
        <v>45698.493634259255</v>
      </c>
      <c r="B1134" t="s">
        <v>123</v>
      </c>
      <c r="C1134" s="3">
        <v>45698.497650462959</v>
      </c>
      <c r="D1134" t="s">
        <v>137</v>
      </c>
      <c r="E1134" s="4">
        <v>1.3120000000000001</v>
      </c>
      <c r="F1134" s="4">
        <v>63693.915999999997</v>
      </c>
      <c r="G1134" s="4">
        <v>63695.228000000003</v>
      </c>
      <c r="H1134" s="5">
        <f>39 / 86400</f>
        <v>4.5138888888888887E-4</v>
      </c>
      <c r="I1134" t="s">
        <v>158</v>
      </c>
      <c r="J1134" t="s">
        <v>31</v>
      </c>
      <c r="K1134" s="5">
        <f>347 / 86400</f>
        <v>4.0162037037037041E-3</v>
      </c>
      <c r="L1134" s="5">
        <f>441 / 86400</f>
        <v>5.1041666666666666E-3</v>
      </c>
    </row>
    <row r="1135" spans="1:12" x14ac:dyDescent="0.25">
      <c r="A1135" s="3">
        <v>45698.502754629633</v>
      </c>
      <c r="B1135" t="s">
        <v>137</v>
      </c>
      <c r="C1135" s="3">
        <v>45698.742245370369</v>
      </c>
      <c r="D1135" t="s">
        <v>37</v>
      </c>
      <c r="E1135" s="4">
        <v>104.502</v>
      </c>
      <c r="F1135" s="4">
        <v>63695.228000000003</v>
      </c>
      <c r="G1135" s="4">
        <v>63799.73</v>
      </c>
      <c r="H1135" s="5">
        <f>7100 / 86400</f>
        <v>8.217592592592593E-2</v>
      </c>
      <c r="I1135" t="s">
        <v>30</v>
      </c>
      <c r="J1135" t="s">
        <v>25</v>
      </c>
      <c r="K1135" s="5">
        <f>20691 / 86400</f>
        <v>0.23947916666666666</v>
      </c>
      <c r="L1135" s="5">
        <f>425 / 86400</f>
        <v>4.9189814814814816E-3</v>
      </c>
    </row>
    <row r="1136" spans="1:12" x14ac:dyDescent="0.25">
      <c r="A1136" s="3">
        <v>45698.747164351851</v>
      </c>
      <c r="B1136" t="s">
        <v>37</v>
      </c>
      <c r="C1136" s="3">
        <v>45698.75172453704</v>
      </c>
      <c r="D1136" t="s">
        <v>37</v>
      </c>
      <c r="E1136" s="4">
        <v>1.381</v>
      </c>
      <c r="F1136" s="4">
        <v>63799.73</v>
      </c>
      <c r="G1136" s="4">
        <v>63801.110999999997</v>
      </c>
      <c r="H1136" s="5">
        <f>180 / 86400</f>
        <v>2.0833333333333333E-3</v>
      </c>
      <c r="I1136" t="s">
        <v>42</v>
      </c>
      <c r="J1136" t="s">
        <v>97</v>
      </c>
      <c r="K1136" s="5">
        <f>393 / 86400</f>
        <v>4.5486111111111109E-3</v>
      </c>
      <c r="L1136" s="5">
        <f>21450 / 86400</f>
        <v>0.2482638888888889</v>
      </c>
    </row>
    <row r="1137" spans="1:12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</row>
    <row r="1138" spans="1:12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</row>
    <row r="1139" spans="1:12" s="10" customFormat="1" ht="20.100000000000001" customHeight="1" x14ac:dyDescent="0.35">
      <c r="A1139" s="12" t="s">
        <v>455</v>
      </c>
      <c r="B1139" s="12"/>
      <c r="C1139" s="12"/>
      <c r="D1139" s="12"/>
      <c r="E1139" s="12"/>
      <c r="F1139" s="12"/>
      <c r="G1139" s="12"/>
      <c r="H1139" s="12"/>
      <c r="I1139" s="12"/>
      <c r="J1139" s="12"/>
    </row>
    <row r="1140" spans="1:12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</row>
    <row r="1141" spans="1:12" ht="30" x14ac:dyDescent="0.25">
      <c r="A1141" s="2" t="s">
        <v>5</v>
      </c>
      <c r="B1141" s="2" t="s">
        <v>6</v>
      </c>
      <c r="C1141" s="2" t="s">
        <v>7</v>
      </c>
      <c r="D1141" s="2" t="s">
        <v>8</v>
      </c>
      <c r="E1141" s="2" t="s">
        <v>9</v>
      </c>
      <c r="F1141" s="2" t="s">
        <v>10</v>
      </c>
      <c r="G1141" s="2" t="s">
        <v>11</v>
      </c>
      <c r="H1141" s="2" t="s">
        <v>12</v>
      </c>
      <c r="I1141" s="2" t="s">
        <v>13</v>
      </c>
      <c r="J1141" s="2" t="s">
        <v>14</v>
      </c>
      <c r="K1141" s="2" t="s">
        <v>15</v>
      </c>
      <c r="L1141" s="2" t="s">
        <v>16</v>
      </c>
    </row>
    <row r="1142" spans="1:12" x14ac:dyDescent="0.25">
      <c r="A1142" s="3">
        <v>45698.274548611109</v>
      </c>
      <c r="B1142" t="s">
        <v>17</v>
      </c>
      <c r="C1142" s="3">
        <v>45698.277777777781</v>
      </c>
      <c r="D1142" t="s">
        <v>109</v>
      </c>
      <c r="E1142" s="4">
        <v>8.9999999999999993E-3</v>
      </c>
      <c r="F1142" s="4">
        <v>4923.3220000000001</v>
      </c>
      <c r="G1142" s="4">
        <v>4923.3310000000001</v>
      </c>
      <c r="H1142" s="5">
        <f>259 / 86400</f>
        <v>2.9976851851851853E-3</v>
      </c>
      <c r="I1142" t="s">
        <v>126</v>
      </c>
      <c r="J1142" t="s">
        <v>126</v>
      </c>
      <c r="K1142" s="5">
        <f>279 / 86400</f>
        <v>3.2291666666666666E-3</v>
      </c>
      <c r="L1142" s="5">
        <f>23789 / 86400</f>
        <v>0.27533564814814815</v>
      </c>
    </row>
    <row r="1143" spans="1:12" x14ac:dyDescent="0.25">
      <c r="A1143" s="3">
        <v>45698.278564814813</v>
      </c>
      <c r="B1143" t="s">
        <v>109</v>
      </c>
      <c r="C1143" s="3">
        <v>45698.346620370372</v>
      </c>
      <c r="D1143" t="s">
        <v>135</v>
      </c>
      <c r="E1143" s="4">
        <v>35.048999999999999</v>
      </c>
      <c r="F1143" s="4">
        <v>4923.3310000000001</v>
      </c>
      <c r="G1143" s="4">
        <v>4958.38</v>
      </c>
      <c r="H1143" s="5">
        <f>1220 / 86400</f>
        <v>1.412037037037037E-2</v>
      </c>
      <c r="I1143" t="s">
        <v>173</v>
      </c>
      <c r="J1143" t="s">
        <v>136</v>
      </c>
      <c r="K1143" s="5">
        <f>5880 / 86400</f>
        <v>6.805555555555555E-2</v>
      </c>
      <c r="L1143" s="5">
        <f>3424 / 86400</f>
        <v>3.9629629629629633E-2</v>
      </c>
    </row>
    <row r="1144" spans="1:12" x14ac:dyDescent="0.25">
      <c r="A1144" s="3">
        <v>45698.386249999996</v>
      </c>
      <c r="B1144" t="s">
        <v>135</v>
      </c>
      <c r="C1144" s="3">
        <v>45698.62877314815</v>
      </c>
      <c r="D1144" t="s">
        <v>320</v>
      </c>
      <c r="E1144" s="4">
        <v>101.175</v>
      </c>
      <c r="F1144" s="4">
        <v>4958.38</v>
      </c>
      <c r="G1144" s="4">
        <v>5059.5550000000003</v>
      </c>
      <c r="H1144" s="5">
        <f>6199 / 86400</f>
        <v>7.1747685185185192E-2</v>
      </c>
      <c r="I1144" t="s">
        <v>155</v>
      </c>
      <c r="J1144" t="s">
        <v>28</v>
      </c>
      <c r="K1144" s="5">
        <f>20953 / 86400</f>
        <v>0.24251157407407409</v>
      </c>
      <c r="L1144" s="5">
        <f>371 / 86400</f>
        <v>4.2939814814814811E-3</v>
      </c>
    </row>
    <row r="1145" spans="1:12" x14ac:dyDescent="0.25">
      <c r="A1145" s="3">
        <v>45698.633067129631</v>
      </c>
      <c r="B1145" t="s">
        <v>320</v>
      </c>
      <c r="C1145" s="3">
        <v>45698.635555555556</v>
      </c>
      <c r="D1145" t="s">
        <v>49</v>
      </c>
      <c r="E1145" s="4">
        <v>0.48199999999999998</v>
      </c>
      <c r="F1145" s="4">
        <v>5059.5550000000003</v>
      </c>
      <c r="G1145" s="4">
        <v>5060.0370000000003</v>
      </c>
      <c r="H1145" s="5">
        <f>59 / 86400</f>
        <v>6.8287037037037036E-4</v>
      </c>
      <c r="I1145" t="s">
        <v>134</v>
      </c>
      <c r="J1145" t="s">
        <v>168</v>
      </c>
      <c r="K1145" s="5">
        <f>215 / 86400</f>
        <v>2.488425925925926E-3</v>
      </c>
      <c r="L1145" s="5">
        <f>1302 / 86400</f>
        <v>1.5069444444444444E-2</v>
      </c>
    </row>
    <row r="1146" spans="1:12" x14ac:dyDescent="0.25">
      <c r="A1146" s="3">
        <v>45698.650624999995</v>
      </c>
      <c r="B1146" t="s">
        <v>49</v>
      </c>
      <c r="C1146" s="3">
        <v>45698.653495370367</v>
      </c>
      <c r="D1146" t="s">
        <v>123</v>
      </c>
      <c r="E1146" s="4">
        <v>0.85399999999999998</v>
      </c>
      <c r="F1146" s="4">
        <v>5060.0370000000003</v>
      </c>
      <c r="G1146" s="4">
        <v>5060.8909999999996</v>
      </c>
      <c r="H1146" s="5">
        <f>40 / 86400</f>
        <v>4.6296296296296298E-4</v>
      </c>
      <c r="I1146" t="s">
        <v>158</v>
      </c>
      <c r="J1146" t="s">
        <v>102</v>
      </c>
      <c r="K1146" s="5">
        <f>248 / 86400</f>
        <v>2.8703703703703703E-3</v>
      </c>
      <c r="L1146" s="5">
        <f>86 / 86400</f>
        <v>9.9537037037037042E-4</v>
      </c>
    </row>
    <row r="1147" spans="1:12" x14ac:dyDescent="0.25">
      <c r="A1147" s="3">
        <v>45698.654490740737</v>
      </c>
      <c r="B1147" t="s">
        <v>123</v>
      </c>
      <c r="C1147" s="3">
        <v>45698.654652777783</v>
      </c>
      <c r="D1147" t="s">
        <v>123</v>
      </c>
      <c r="E1147" s="4">
        <v>8.9999999999999993E-3</v>
      </c>
      <c r="F1147" s="4">
        <v>5060.8909999999996</v>
      </c>
      <c r="G1147" s="4">
        <v>5060.8999999999996</v>
      </c>
      <c r="H1147" s="5">
        <f>0 / 86400</f>
        <v>0</v>
      </c>
      <c r="I1147" t="s">
        <v>89</v>
      </c>
      <c r="J1147" t="s">
        <v>132</v>
      </c>
      <c r="K1147" s="5">
        <f>13 / 86400</f>
        <v>1.5046296296296297E-4</v>
      </c>
      <c r="L1147" s="5">
        <f>354 / 86400</f>
        <v>4.0972222222222226E-3</v>
      </c>
    </row>
    <row r="1148" spans="1:12" x14ac:dyDescent="0.25">
      <c r="A1148" s="3">
        <v>45698.658750000002</v>
      </c>
      <c r="B1148" t="s">
        <v>123</v>
      </c>
      <c r="C1148" s="3">
        <v>45698.662766203706</v>
      </c>
      <c r="D1148" t="s">
        <v>135</v>
      </c>
      <c r="E1148" s="4">
        <v>1.349</v>
      </c>
      <c r="F1148" s="4">
        <v>5060.8999999999996</v>
      </c>
      <c r="G1148" s="4">
        <v>5062.2489999999998</v>
      </c>
      <c r="H1148" s="5">
        <f>19 / 86400</f>
        <v>2.199074074074074E-4</v>
      </c>
      <c r="I1148" t="s">
        <v>176</v>
      </c>
      <c r="J1148" t="s">
        <v>31</v>
      </c>
      <c r="K1148" s="5">
        <f>346 / 86400</f>
        <v>4.0046296296296297E-3</v>
      </c>
      <c r="L1148" s="5">
        <f>1024 / 86400</f>
        <v>1.1851851851851851E-2</v>
      </c>
    </row>
    <row r="1149" spans="1:12" x14ac:dyDescent="0.25">
      <c r="A1149" s="3">
        <v>45698.674618055556</v>
      </c>
      <c r="B1149" t="s">
        <v>135</v>
      </c>
      <c r="C1149" s="3">
        <v>45698.676620370374</v>
      </c>
      <c r="D1149" t="s">
        <v>137</v>
      </c>
      <c r="E1149" s="4">
        <v>0.114</v>
      </c>
      <c r="F1149" s="4">
        <v>5062.2489999999998</v>
      </c>
      <c r="G1149" s="4">
        <v>5062.3630000000003</v>
      </c>
      <c r="H1149" s="5">
        <f>99 / 86400</f>
        <v>1.1458333333333333E-3</v>
      </c>
      <c r="I1149" t="s">
        <v>138</v>
      </c>
      <c r="J1149" t="s">
        <v>132</v>
      </c>
      <c r="K1149" s="5">
        <f>173 / 86400</f>
        <v>2.0023148148148148E-3</v>
      </c>
      <c r="L1149" s="5">
        <f>140 / 86400</f>
        <v>1.6203703703703703E-3</v>
      </c>
    </row>
    <row r="1150" spans="1:12" x14ac:dyDescent="0.25">
      <c r="A1150" s="3">
        <v>45698.678240740745</v>
      </c>
      <c r="B1150" t="s">
        <v>137</v>
      </c>
      <c r="C1150" s="3">
        <v>45698.681990740741</v>
      </c>
      <c r="D1150" t="s">
        <v>64</v>
      </c>
      <c r="E1150" s="4">
        <v>1.145</v>
      </c>
      <c r="F1150" s="4">
        <v>5062.3630000000003</v>
      </c>
      <c r="G1150" s="4">
        <v>5063.5079999999998</v>
      </c>
      <c r="H1150" s="5">
        <f>20 / 86400</f>
        <v>2.3148148148148149E-4</v>
      </c>
      <c r="I1150" t="s">
        <v>134</v>
      </c>
      <c r="J1150" t="s">
        <v>97</v>
      </c>
      <c r="K1150" s="5">
        <f>323 / 86400</f>
        <v>3.7384259259259259E-3</v>
      </c>
      <c r="L1150" s="5">
        <f>17 / 86400</f>
        <v>1.9675925925925926E-4</v>
      </c>
    </row>
    <row r="1151" spans="1:12" x14ac:dyDescent="0.25">
      <c r="A1151" s="3">
        <v>45698.682187500002</v>
      </c>
      <c r="B1151" t="s">
        <v>64</v>
      </c>
      <c r="C1151" s="3">
        <v>45698.68372685185</v>
      </c>
      <c r="D1151" t="s">
        <v>64</v>
      </c>
      <c r="E1151" s="4">
        <v>3.3000000000000002E-2</v>
      </c>
      <c r="F1151" s="4">
        <v>5063.5079999999998</v>
      </c>
      <c r="G1151" s="4">
        <v>5063.5410000000002</v>
      </c>
      <c r="H1151" s="5">
        <f>99 / 86400</f>
        <v>1.1458333333333333E-3</v>
      </c>
      <c r="I1151" t="s">
        <v>89</v>
      </c>
      <c r="J1151" t="s">
        <v>62</v>
      </c>
      <c r="K1151" s="5">
        <f>132 / 86400</f>
        <v>1.5277777777777779E-3</v>
      </c>
      <c r="L1151" s="5">
        <f>247 / 86400</f>
        <v>2.8587962962962963E-3</v>
      </c>
    </row>
    <row r="1152" spans="1:12" x14ac:dyDescent="0.25">
      <c r="A1152" s="3">
        <v>45698.686585648145</v>
      </c>
      <c r="B1152" t="s">
        <v>64</v>
      </c>
      <c r="C1152" s="3">
        <v>45698.754502314812</v>
      </c>
      <c r="D1152" t="s">
        <v>384</v>
      </c>
      <c r="E1152" s="4">
        <v>33.204999999999998</v>
      </c>
      <c r="F1152" s="4">
        <v>5063.5410000000002</v>
      </c>
      <c r="G1152" s="4">
        <v>5096.7460000000001</v>
      </c>
      <c r="H1152" s="5">
        <f>1620 / 86400</f>
        <v>1.8749999999999999E-2</v>
      </c>
      <c r="I1152" t="s">
        <v>40</v>
      </c>
      <c r="J1152" t="s">
        <v>22</v>
      </c>
      <c r="K1152" s="5">
        <f>5867 / 86400</f>
        <v>6.7905092592592586E-2</v>
      </c>
      <c r="L1152" s="5">
        <f>294 / 86400</f>
        <v>3.4027777777777776E-3</v>
      </c>
    </row>
    <row r="1153" spans="1:12" x14ac:dyDescent="0.25">
      <c r="A1153" s="3">
        <v>45698.757905092592</v>
      </c>
      <c r="B1153" t="s">
        <v>384</v>
      </c>
      <c r="C1153" s="3">
        <v>45698.765729166669</v>
      </c>
      <c r="D1153" t="s">
        <v>109</v>
      </c>
      <c r="E1153" s="4">
        <v>1.0529999999999999</v>
      </c>
      <c r="F1153" s="4">
        <v>5096.7460000000001</v>
      </c>
      <c r="G1153" s="4">
        <v>5097.799</v>
      </c>
      <c r="H1153" s="5">
        <f>280 / 86400</f>
        <v>3.2407407407407406E-3</v>
      </c>
      <c r="I1153" t="s">
        <v>22</v>
      </c>
      <c r="J1153" t="s">
        <v>61</v>
      </c>
      <c r="K1153" s="5">
        <f>676 / 86400</f>
        <v>7.8240740740740736E-3</v>
      </c>
      <c r="L1153" s="5">
        <f>20240 / 86400</f>
        <v>0.23425925925925925</v>
      </c>
    </row>
    <row r="1154" spans="1:12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</row>
    <row r="1155" spans="1:12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</row>
    <row r="1156" spans="1:12" s="10" customFormat="1" ht="20.100000000000001" customHeight="1" x14ac:dyDescent="0.35">
      <c r="A1156" s="12" t="s">
        <v>456</v>
      </c>
      <c r="B1156" s="12"/>
      <c r="C1156" s="12"/>
      <c r="D1156" s="12"/>
      <c r="E1156" s="12"/>
      <c r="F1156" s="12"/>
      <c r="G1156" s="12"/>
      <c r="H1156" s="12"/>
      <c r="I1156" s="12"/>
      <c r="J1156" s="12"/>
    </row>
    <row r="1157" spans="1:12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</row>
    <row r="1158" spans="1:12" ht="30" x14ac:dyDescent="0.25">
      <c r="A1158" s="2" t="s">
        <v>5</v>
      </c>
      <c r="B1158" s="2" t="s">
        <v>6</v>
      </c>
      <c r="C1158" s="2" t="s">
        <v>7</v>
      </c>
      <c r="D1158" s="2" t="s">
        <v>8</v>
      </c>
      <c r="E1158" s="2" t="s">
        <v>9</v>
      </c>
      <c r="F1158" s="2" t="s">
        <v>10</v>
      </c>
      <c r="G1158" s="2" t="s">
        <v>11</v>
      </c>
      <c r="H1158" s="2" t="s">
        <v>12</v>
      </c>
      <c r="I1158" s="2" t="s">
        <v>13</v>
      </c>
      <c r="J1158" s="2" t="s">
        <v>14</v>
      </c>
      <c r="K1158" s="2" t="s">
        <v>15</v>
      </c>
      <c r="L1158" s="2" t="s">
        <v>16</v>
      </c>
    </row>
    <row r="1159" spans="1:12" x14ac:dyDescent="0.25">
      <c r="A1159" s="3">
        <v>45698.001527777778</v>
      </c>
      <c r="B1159" t="s">
        <v>110</v>
      </c>
      <c r="C1159" s="3">
        <v>45698.001655092594</v>
      </c>
      <c r="D1159" t="s">
        <v>110</v>
      </c>
      <c r="E1159" s="4">
        <v>1E-3</v>
      </c>
      <c r="F1159" s="4">
        <v>407631.62400000001</v>
      </c>
      <c r="G1159" s="4">
        <v>407631.625</v>
      </c>
      <c r="H1159" s="5">
        <f>0 / 86400</f>
        <v>0</v>
      </c>
      <c r="I1159" t="s">
        <v>126</v>
      </c>
      <c r="J1159" t="s">
        <v>126</v>
      </c>
      <c r="K1159" s="5">
        <f>10 / 86400</f>
        <v>1.1574074074074075E-4</v>
      </c>
      <c r="L1159" s="5">
        <f>1985 / 86400</f>
        <v>2.2974537037037036E-2</v>
      </c>
    </row>
    <row r="1160" spans="1:12" x14ac:dyDescent="0.25">
      <c r="A1160" s="3">
        <v>45698.023101851853</v>
      </c>
      <c r="B1160" t="s">
        <v>110</v>
      </c>
      <c r="C1160" s="3">
        <v>45698.089004629626</v>
      </c>
      <c r="D1160" t="s">
        <v>347</v>
      </c>
      <c r="E1160" s="4">
        <v>30.710999999999999</v>
      </c>
      <c r="F1160" s="4">
        <v>407631.625</v>
      </c>
      <c r="G1160" s="4">
        <v>407662.33600000001</v>
      </c>
      <c r="H1160" s="5">
        <f>1600 / 86400</f>
        <v>1.8518518518518517E-2</v>
      </c>
      <c r="I1160" t="s">
        <v>173</v>
      </c>
      <c r="J1160" t="s">
        <v>33</v>
      </c>
      <c r="K1160" s="5">
        <f>5694 / 86400</f>
        <v>6.5902777777777782E-2</v>
      </c>
      <c r="L1160" s="5">
        <f>573 / 86400</f>
        <v>6.6319444444444446E-3</v>
      </c>
    </row>
    <row r="1161" spans="1:12" x14ac:dyDescent="0.25">
      <c r="A1161" s="3">
        <v>45698.095636574071</v>
      </c>
      <c r="B1161" t="s">
        <v>347</v>
      </c>
      <c r="C1161" s="3">
        <v>45698.101215277777</v>
      </c>
      <c r="D1161" t="s">
        <v>79</v>
      </c>
      <c r="E1161" s="4">
        <v>2.6760000000000002</v>
      </c>
      <c r="F1161" s="4">
        <v>407662.33600000001</v>
      </c>
      <c r="G1161" s="4">
        <v>407665.01199999999</v>
      </c>
      <c r="H1161" s="5">
        <f>20 / 86400</f>
        <v>2.3148148148148149E-4</v>
      </c>
      <c r="I1161" t="s">
        <v>42</v>
      </c>
      <c r="J1161" t="s">
        <v>22</v>
      </c>
      <c r="K1161" s="5">
        <f>482 / 86400</f>
        <v>5.5787037037037038E-3</v>
      </c>
      <c r="L1161" s="5">
        <f>221 / 86400</f>
        <v>2.5578703703703705E-3</v>
      </c>
    </row>
    <row r="1162" spans="1:12" x14ac:dyDescent="0.25">
      <c r="A1162" s="3">
        <v>45698.103773148148</v>
      </c>
      <c r="B1162" t="s">
        <v>79</v>
      </c>
      <c r="C1162" s="3">
        <v>45698.104004629626</v>
      </c>
      <c r="D1162" t="s">
        <v>79</v>
      </c>
      <c r="E1162" s="4">
        <v>2.3E-2</v>
      </c>
      <c r="F1162" s="4">
        <v>407665.01199999999</v>
      </c>
      <c r="G1162" s="4">
        <v>407665.03499999997</v>
      </c>
      <c r="H1162" s="5">
        <f>0 / 86400</f>
        <v>0</v>
      </c>
      <c r="I1162" t="s">
        <v>168</v>
      </c>
      <c r="J1162" t="s">
        <v>43</v>
      </c>
      <c r="K1162" s="5">
        <f>20 / 86400</f>
        <v>2.3148148148148149E-4</v>
      </c>
      <c r="L1162" s="5">
        <f>1447 / 86400</f>
        <v>1.6747685185185185E-2</v>
      </c>
    </row>
    <row r="1163" spans="1:12" x14ac:dyDescent="0.25">
      <c r="A1163" s="3">
        <v>45698.120752314819</v>
      </c>
      <c r="B1163" t="s">
        <v>79</v>
      </c>
      <c r="C1163" s="3">
        <v>45698.126296296294</v>
      </c>
      <c r="D1163" t="s">
        <v>29</v>
      </c>
      <c r="E1163" s="4">
        <v>2.258</v>
      </c>
      <c r="F1163" s="4">
        <v>407665.03499999997</v>
      </c>
      <c r="G1163" s="4">
        <v>407667.29300000001</v>
      </c>
      <c r="H1163" s="5">
        <f>80 / 86400</f>
        <v>9.2592592592592596E-4</v>
      </c>
      <c r="I1163" t="s">
        <v>148</v>
      </c>
      <c r="J1163" t="s">
        <v>28</v>
      </c>
      <c r="K1163" s="5">
        <f>479 / 86400</f>
        <v>5.5439814814814813E-3</v>
      </c>
      <c r="L1163" s="5">
        <f>31308 / 86400</f>
        <v>0.36236111111111113</v>
      </c>
    </row>
    <row r="1164" spans="1:12" x14ac:dyDescent="0.25">
      <c r="A1164" s="3">
        <v>45698.488657407404</v>
      </c>
      <c r="B1164" t="s">
        <v>29</v>
      </c>
      <c r="C1164" s="3">
        <v>45698.497812500005</v>
      </c>
      <c r="D1164" t="s">
        <v>385</v>
      </c>
      <c r="E1164" s="4">
        <v>0.46500000000000002</v>
      </c>
      <c r="F1164" s="4">
        <v>407667.29300000001</v>
      </c>
      <c r="G1164" s="4">
        <v>407667.75799999997</v>
      </c>
      <c r="H1164" s="5">
        <f>639 / 86400</f>
        <v>7.3958333333333333E-3</v>
      </c>
      <c r="I1164" t="s">
        <v>171</v>
      </c>
      <c r="J1164" t="s">
        <v>132</v>
      </c>
      <c r="K1164" s="5">
        <f>791 / 86400</f>
        <v>9.1550925925925931E-3</v>
      </c>
      <c r="L1164" s="5">
        <f>122 / 86400</f>
        <v>1.4120370370370369E-3</v>
      </c>
    </row>
    <row r="1165" spans="1:12" x14ac:dyDescent="0.25">
      <c r="A1165" s="3">
        <v>45698.499224537038</v>
      </c>
      <c r="B1165" t="s">
        <v>385</v>
      </c>
      <c r="C1165" s="3">
        <v>45698.500300925924</v>
      </c>
      <c r="D1165" t="s">
        <v>318</v>
      </c>
      <c r="E1165" s="4">
        <v>0.39800000000000002</v>
      </c>
      <c r="F1165" s="4">
        <v>407667.75799999997</v>
      </c>
      <c r="G1165" s="4">
        <v>407668.15600000002</v>
      </c>
      <c r="H1165" s="5">
        <f>0 / 86400</f>
        <v>0</v>
      </c>
      <c r="I1165" t="s">
        <v>25</v>
      </c>
      <c r="J1165" t="s">
        <v>19</v>
      </c>
      <c r="K1165" s="5">
        <f>92 / 86400</f>
        <v>1.0648148148148149E-3</v>
      </c>
      <c r="L1165" s="5">
        <f>1984 / 86400</f>
        <v>2.2962962962962963E-2</v>
      </c>
    </row>
    <row r="1166" spans="1:12" x14ac:dyDescent="0.25">
      <c r="A1166" s="3">
        <v>45698.523263888885</v>
      </c>
      <c r="B1166" t="s">
        <v>318</v>
      </c>
      <c r="C1166" s="3">
        <v>45698.536608796298</v>
      </c>
      <c r="D1166" t="s">
        <v>317</v>
      </c>
      <c r="E1166" s="4">
        <v>10.785</v>
      </c>
      <c r="F1166" s="4">
        <v>407668.15600000002</v>
      </c>
      <c r="G1166" s="4">
        <v>407678.94099999999</v>
      </c>
      <c r="H1166" s="5">
        <f>159 / 86400</f>
        <v>1.8402777777777777E-3</v>
      </c>
      <c r="I1166" t="s">
        <v>24</v>
      </c>
      <c r="J1166" t="s">
        <v>149</v>
      </c>
      <c r="K1166" s="5">
        <f>1152 / 86400</f>
        <v>1.3333333333333334E-2</v>
      </c>
      <c r="L1166" s="5">
        <f>3935 / 86400</f>
        <v>4.5543981481481484E-2</v>
      </c>
    </row>
    <row r="1167" spans="1:12" x14ac:dyDescent="0.25">
      <c r="A1167" s="3">
        <v>45698.582152777773</v>
      </c>
      <c r="B1167" t="s">
        <v>317</v>
      </c>
      <c r="C1167" s="3">
        <v>45698.648368055554</v>
      </c>
      <c r="D1167" t="s">
        <v>340</v>
      </c>
      <c r="E1167" s="4">
        <v>29.821999999999999</v>
      </c>
      <c r="F1167" s="4">
        <v>407678.94099999999</v>
      </c>
      <c r="G1167" s="4">
        <v>407708.76299999998</v>
      </c>
      <c r="H1167" s="5">
        <f>1920 / 86400</f>
        <v>2.2222222222222223E-2</v>
      </c>
      <c r="I1167" t="s">
        <v>35</v>
      </c>
      <c r="J1167" t="s">
        <v>33</v>
      </c>
      <c r="K1167" s="5">
        <f>5720 / 86400</f>
        <v>6.6203703703703709E-2</v>
      </c>
      <c r="L1167" s="5">
        <f>175 / 86400</f>
        <v>2.0254629629629629E-3</v>
      </c>
    </row>
    <row r="1168" spans="1:12" x14ac:dyDescent="0.25">
      <c r="A1168" s="3">
        <v>45698.650393518517</v>
      </c>
      <c r="B1168" t="s">
        <v>340</v>
      </c>
      <c r="C1168" s="3">
        <v>45698.651145833333</v>
      </c>
      <c r="D1168" t="s">
        <v>340</v>
      </c>
      <c r="E1168" s="4">
        <v>0.17100000000000001</v>
      </c>
      <c r="F1168" s="4">
        <v>407708.76299999998</v>
      </c>
      <c r="G1168" s="4">
        <v>407708.93400000001</v>
      </c>
      <c r="H1168" s="5">
        <f>0 / 86400</f>
        <v>0</v>
      </c>
      <c r="I1168" t="s">
        <v>59</v>
      </c>
      <c r="J1168" t="s">
        <v>129</v>
      </c>
      <c r="K1168" s="5">
        <f>64 / 86400</f>
        <v>7.407407407407407E-4</v>
      </c>
      <c r="L1168" s="5">
        <f>1126 / 86400</f>
        <v>1.3032407407407407E-2</v>
      </c>
    </row>
    <row r="1169" spans="1:12" x14ac:dyDescent="0.25">
      <c r="A1169" s="3">
        <v>45698.664178240739</v>
      </c>
      <c r="B1169" t="s">
        <v>340</v>
      </c>
      <c r="C1169" s="3">
        <v>45698.782766203702</v>
      </c>
      <c r="D1169" t="s">
        <v>326</v>
      </c>
      <c r="E1169" s="4">
        <v>47.662999999999997</v>
      </c>
      <c r="F1169" s="4">
        <v>407708.93400000001</v>
      </c>
      <c r="G1169" s="4">
        <v>407756.59700000001</v>
      </c>
      <c r="H1169" s="5">
        <f>3419 / 86400</f>
        <v>3.9571759259259258E-2</v>
      </c>
      <c r="I1169" t="s">
        <v>56</v>
      </c>
      <c r="J1169" t="s">
        <v>28</v>
      </c>
      <c r="K1169" s="5">
        <f>10245 / 86400</f>
        <v>0.11857638888888888</v>
      </c>
      <c r="L1169" s="5">
        <f>4 / 86400</f>
        <v>4.6296296296296294E-5</v>
      </c>
    </row>
    <row r="1170" spans="1:12" x14ac:dyDescent="0.25">
      <c r="A1170" s="3">
        <v>45698.782812500001</v>
      </c>
      <c r="B1170" t="s">
        <v>326</v>
      </c>
      <c r="C1170" s="3">
        <v>45698.782824074078</v>
      </c>
      <c r="D1170" t="s">
        <v>326</v>
      </c>
      <c r="E1170" s="4">
        <v>0</v>
      </c>
      <c r="F1170" s="4">
        <v>407756.59700000001</v>
      </c>
      <c r="G1170" s="4">
        <v>407756.59700000001</v>
      </c>
      <c r="H1170" s="5">
        <f>0 / 86400</f>
        <v>0</v>
      </c>
      <c r="I1170" t="s">
        <v>126</v>
      </c>
      <c r="J1170" t="s">
        <v>126</v>
      </c>
      <c r="K1170" s="5">
        <f>1 / 86400</f>
        <v>1.1574074074074073E-5</v>
      </c>
      <c r="L1170" s="5">
        <f>431 / 86400</f>
        <v>4.9884259259259257E-3</v>
      </c>
    </row>
    <row r="1171" spans="1:12" x14ac:dyDescent="0.25">
      <c r="A1171" s="3">
        <v>45698.787812499999</v>
      </c>
      <c r="B1171" t="s">
        <v>326</v>
      </c>
      <c r="C1171" s="3">
        <v>45698.787835648152</v>
      </c>
      <c r="D1171" t="s">
        <v>326</v>
      </c>
      <c r="E1171" s="4">
        <v>0</v>
      </c>
      <c r="F1171" s="4">
        <v>407756.59700000001</v>
      </c>
      <c r="G1171" s="4">
        <v>407756.59700000001</v>
      </c>
      <c r="H1171" s="5">
        <f>0 / 86400</f>
        <v>0</v>
      </c>
      <c r="I1171" t="s">
        <v>62</v>
      </c>
      <c r="J1171" t="s">
        <v>126</v>
      </c>
      <c r="K1171" s="5">
        <f>2 / 86400</f>
        <v>2.3148148148148147E-5</v>
      </c>
      <c r="L1171" s="5">
        <f>27 / 86400</f>
        <v>3.1250000000000001E-4</v>
      </c>
    </row>
    <row r="1172" spans="1:12" x14ac:dyDescent="0.25">
      <c r="A1172" s="3">
        <v>45698.788148148145</v>
      </c>
      <c r="B1172" t="s">
        <v>326</v>
      </c>
      <c r="C1172" s="3">
        <v>45698.788182870368</v>
      </c>
      <c r="D1172" t="s">
        <v>326</v>
      </c>
      <c r="E1172" s="4">
        <v>0</v>
      </c>
      <c r="F1172" s="4">
        <v>407756.59700000001</v>
      </c>
      <c r="G1172" s="4">
        <v>407756.59700000001</v>
      </c>
      <c r="H1172" s="5">
        <f>0 / 86400</f>
        <v>0</v>
      </c>
      <c r="I1172" t="s">
        <v>126</v>
      </c>
      <c r="J1172" t="s">
        <v>126</v>
      </c>
      <c r="K1172" s="5">
        <f>3 / 86400</f>
        <v>3.4722222222222222E-5</v>
      </c>
      <c r="L1172" s="5">
        <f>282 / 86400</f>
        <v>3.2638888888888891E-3</v>
      </c>
    </row>
    <row r="1173" spans="1:12" x14ac:dyDescent="0.25">
      <c r="A1173" s="3">
        <v>45698.791446759264</v>
      </c>
      <c r="B1173" t="s">
        <v>326</v>
      </c>
      <c r="C1173" s="3">
        <v>45698.797743055555</v>
      </c>
      <c r="D1173" t="s">
        <v>326</v>
      </c>
      <c r="E1173" s="4">
        <v>5.0000000000000001E-3</v>
      </c>
      <c r="F1173" s="4">
        <v>407756.59700000001</v>
      </c>
      <c r="G1173" s="4">
        <v>407756.60200000001</v>
      </c>
      <c r="H1173" s="5">
        <f>539 / 86400</f>
        <v>6.2384259259259259E-3</v>
      </c>
      <c r="I1173" t="s">
        <v>126</v>
      </c>
      <c r="J1173" t="s">
        <v>126</v>
      </c>
      <c r="K1173" s="5">
        <f>544 / 86400</f>
        <v>6.2962962962962964E-3</v>
      </c>
      <c r="L1173" s="5">
        <f>504 / 86400</f>
        <v>5.8333333333333336E-3</v>
      </c>
    </row>
    <row r="1174" spans="1:12" x14ac:dyDescent="0.25">
      <c r="A1174" s="3">
        <v>45698.803576388891</v>
      </c>
      <c r="B1174" t="s">
        <v>326</v>
      </c>
      <c r="C1174" s="3">
        <v>45698.803599537037</v>
      </c>
      <c r="D1174" t="s">
        <v>326</v>
      </c>
      <c r="E1174" s="4">
        <v>0</v>
      </c>
      <c r="F1174" s="4">
        <v>407756.60200000001</v>
      </c>
      <c r="G1174" s="4">
        <v>407756.60200000001</v>
      </c>
      <c r="H1174" s="5">
        <f>0 / 86400</f>
        <v>0</v>
      </c>
      <c r="I1174" t="s">
        <v>126</v>
      </c>
      <c r="J1174" t="s">
        <v>126</v>
      </c>
      <c r="K1174" s="5">
        <f>1 / 86400</f>
        <v>1.1574074074074073E-5</v>
      </c>
      <c r="L1174" s="5">
        <f>111 / 86400</f>
        <v>1.2847222222222223E-3</v>
      </c>
    </row>
    <row r="1175" spans="1:12" x14ac:dyDescent="0.25">
      <c r="A1175" s="3">
        <v>45698.804884259254</v>
      </c>
      <c r="B1175" t="s">
        <v>326</v>
      </c>
      <c r="C1175" s="3">
        <v>45698.804895833338</v>
      </c>
      <c r="D1175" t="s">
        <v>326</v>
      </c>
      <c r="E1175" s="4">
        <v>0</v>
      </c>
      <c r="F1175" s="4">
        <v>407756.60200000001</v>
      </c>
      <c r="G1175" s="4">
        <v>407756.60200000001</v>
      </c>
      <c r="H1175" s="5">
        <f>0 / 86400</f>
        <v>0</v>
      </c>
      <c r="I1175" t="s">
        <v>126</v>
      </c>
      <c r="J1175" t="s">
        <v>126</v>
      </c>
      <c r="K1175" s="5">
        <f>0 / 86400</f>
        <v>0</v>
      </c>
      <c r="L1175" s="5">
        <f>419 / 86400</f>
        <v>4.8495370370370368E-3</v>
      </c>
    </row>
    <row r="1176" spans="1:12" x14ac:dyDescent="0.25">
      <c r="A1176" s="3">
        <v>45698.809745370367</v>
      </c>
      <c r="B1176" t="s">
        <v>326</v>
      </c>
      <c r="C1176" s="3">
        <v>45698.81050925926</v>
      </c>
      <c r="D1176" t="s">
        <v>326</v>
      </c>
      <c r="E1176" s="4">
        <v>0</v>
      </c>
      <c r="F1176" s="4">
        <v>407756.60200000001</v>
      </c>
      <c r="G1176" s="4">
        <v>407756.60200000001</v>
      </c>
      <c r="H1176" s="5">
        <f>59 / 86400</f>
        <v>6.8287037037037036E-4</v>
      </c>
      <c r="I1176" t="s">
        <v>126</v>
      </c>
      <c r="J1176" t="s">
        <v>126</v>
      </c>
      <c r="K1176" s="5">
        <f>65 / 86400</f>
        <v>7.5231481481481482E-4</v>
      </c>
      <c r="L1176" s="5">
        <f>310 / 86400</f>
        <v>3.5879629629629629E-3</v>
      </c>
    </row>
    <row r="1177" spans="1:12" x14ac:dyDescent="0.25">
      <c r="A1177" s="3">
        <v>45698.814097222217</v>
      </c>
      <c r="B1177" t="s">
        <v>326</v>
      </c>
      <c r="C1177" s="3">
        <v>45698.905393518522</v>
      </c>
      <c r="D1177" t="s">
        <v>29</v>
      </c>
      <c r="E1177" s="4">
        <v>33.593000000000004</v>
      </c>
      <c r="F1177" s="4">
        <v>407756.60200000001</v>
      </c>
      <c r="G1177" s="4">
        <v>407790.19500000001</v>
      </c>
      <c r="H1177" s="5">
        <f>3719 / 86400</f>
        <v>4.3043981481481482E-2</v>
      </c>
      <c r="I1177" t="s">
        <v>83</v>
      </c>
      <c r="J1177" t="s">
        <v>57</v>
      </c>
      <c r="K1177" s="5">
        <f>7887 / 86400</f>
        <v>9.1284722222222225E-2</v>
      </c>
      <c r="L1177" s="5">
        <f>8173 / 86400</f>
        <v>9.4594907407407405E-2</v>
      </c>
    </row>
    <row r="1178" spans="1:12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</row>
    <row r="1179" spans="1:12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</row>
    <row r="1180" spans="1:12" s="10" customFormat="1" ht="20.100000000000001" customHeight="1" x14ac:dyDescent="0.35">
      <c r="A1180" s="12" t="s">
        <v>457</v>
      </c>
      <c r="B1180" s="12"/>
      <c r="C1180" s="12"/>
      <c r="D1180" s="12"/>
      <c r="E1180" s="12"/>
      <c r="F1180" s="12"/>
      <c r="G1180" s="12"/>
      <c r="H1180" s="12"/>
      <c r="I1180" s="12"/>
      <c r="J1180" s="12"/>
    </row>
    <row r="1181" spans="1:12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</row>
    <row r="1182" spans="1:12" ht="30" x14ac:dyDescent="0.25">
      <c r="A1182" s="2" t="s">
        <v>5</v>
      </c>
      <c r="B1182" s="2" t="s">
        <v>6</v>
      </c>
      <c r="C1182" s="2" t="s">
        <v>7</v>
      </c>
      <c r="D1182" s="2" t="s">
        <v>8</v>
      </c>
      <c r="E1182" s="2" t="s">
        <v>9</v>
      </c>
      <c r="F1182" s="2" t="s">
        <v>10</v>
      </c>
      <c r="G1182" s="2" t="s">
        <v>11</v>
      </c>
      <c r="H1182" s="2" t="s">
        <v>12</v>
      </c>
      <c r="I1182" s="2" t="s">
        <v>13</v>
      </c>
      <c r="J1182" s="2" t="s">
        <v>14</v>
      </c>
      <c r="K1182" s="2" t="s">
        <v>15</v>
      </c>
      <c r="L1182" s="2" t="s">
        <v>16</v>
      </c>
    </row>
    <row r="1183" spans="1:12" x14ac:dyDescent="0.25">
      <c r="A1183" s="3">
        <v>45698</v>
      </c>
      <c r="B1183" t="s">
        <v>111</v>
      </c>
      <c r="C1183" s="3">
        <v>45698.00399305555</v>
      </c>
      <c r="D1183" t="s">
        <v>79</v>
      </c>
      <c r="E1183" s="4">
        <v>2.95</v>
      </c>
      <c r="F1183" s="4">
        <v>549160.55700000003</v>
      </c>
      <c r="G1183" s="4">
        <v>549163.50699999998</v>
      </c>
      <c r="H1183" s="5">
        <f>60 / 86400</f>
        <v>6.9444444444444447E-4</v>
      </c>
      <c r="I1183" t="s">
        <v>195</v>
      </c>
      <c r="J1183" t="s">
        <v>206</v>
      </c>
      <c r="K1183" s="5">
        <f>345 / 86400</f>
        <v>3.9930555555555552E-3</v>
      </c>
      <c r="L1183" s="5">
        <f>1359 / 86400</f>
        <v>1.5729166666666666E-2</v>
      </c>
    </row>
    <row r="1184" spans="1:12" x14ac:dyDescent="0.25">
      <c r="A1184" s="3">
        <v>45698.01972222222</v>
      </c>
      <c r="B1184" t="s">
        <v>79</v>
      </c>
      <c r="C1184" s="3">
        <v>45698.036990740744</v>
      </c>
      <c r="D1184" t="s">
        <v>312</v>
      </c>
      <c r="E1184" s="4">
        <v>4.8099999999999996</v>
      </c>
      <c r="F1184" s="4">
        <v>549163.50699999998</v>
      </c>
      <c r="G1184" s="4">
        <v>549168.31700000004</v>
      </c>
      <c r="H1184" s="5">
        <f>660 / 86400</f>
        <v>7.6388888888888886E-3</v>
      </c>
      <c r="I1184" t="s">
        <v>158</v>
      </c>
      <c r="J1184" t="s">
        <v>102</v>
      </c>
      <c r="K1184" s="5">
        <f>1491 / 86400</f>
        <v>1.7256944444444443E-2</v>
      </c>
      <c r="L1184" s="5">
        <f>20784 / 86400</f>
        <v>0.24055555555555555</v>
      </c>
    </row>
    <row r="1185" spans="1:12" x14ac:dyDescent="0.25">
      <c r="A1185" s="3">
        <v>45698.277546296296</v>
      </c>
      <c r="B1185" t="s">
        <v>312</v>
      </c>
      <c r="C1185" s="3">
        <v>45698.46875</v>
      </c>
      <c r="D1185" t="s">
        <v>127</v>
      </c>
      <c r="E1185" s="4">
        <v>84.123000000000005</v>
      </c>
      <c r="F1185" s="4">
        <v>549168.31700000004</v>
      </c>
      <c r="G1185" s="4">
        <v>549252.43999999994</v>
      </c>
      <c r="H1185" s="5">
        <f>4578 / 86400</f>
        <v>5.2986111111111109E-2</v>
      </c>
      <c r="I1185" t="s">
        <v>30</v>
      </c>
      <c r="J1185" t="s">
        <v>25</v>
      </c>
      <c r="K1185" s="5">
        <f>16520 / 86400</f>
        <v>0.19120370370370371</v>
      </c>
      <c r="L1185" s="5">
        <f>2991 / 86400</f>
        <v>3.4618055555555555E-2</v>
      </c>
    </row>
    <row r="1186" spans="1:12" x14ac:dyDescent="0.25">
      <c r="A1186" s="3">
        <v>45698.503368055557</v>
      </c>
      <c r="B1186" t="s">
        <v>127</v>
      </c>
      <c r="C1186" s="3">
        <v>45698.506898148145</v>
      </c>
      <c r="D1186" t="s">
        <v>137</v>
      </c>
      <c r="E1186" s="4">
        <v>1.288</v>
      </c>
      <c r="F1186" s="4">
        <v>549252.43999999994</v>
      </c>
      <c r="G1186" s="4">
        <v>549253.728</v>
      </c>
      <c r="H1186" s="5">
        <f>0 / 86400</f>
        <v>0</v>
      </c>
      <c r="I1186" t="s">
        <v>211</v>
      </c>
      <c r="J1186" t="s">
        <v>57</v>
      </c>
      <c r="K1186" s="5">
        <f>304 / 86400</f>
        <v>3.5185185185185185E-3</v>
      </c>
      <c r="L1186" s="5">
        <f>961 / 86400</f>
        <v>1.1122685185185185E-2</v>
      </c>
    </row>
    <row r="1187" spans="1:12" x14ac:dyDescent="0.25">
      <c r="A1187" s="3">
        <v>45698.518020833333</v>
      </c>
      <c r="B1187" t="s">
        <v>137</v>
      </c>
      <c r="C1187" s="3">
        <v>45698.675671296296</v>
      </c>
      <c r="D1187" t="s">
        <v>123</v>
      </c>
      <c r="E1187" s="4">
        <v>77.873000000000005</v>
      </c>
      <c r="F1187" s="4">
        <v>549253.728</v>
      </c>
      <c r="G1187" s="4">
        <v>549331.60100000002</v>
      </c>
      <c r="H1187" s="5">
        <f>3740 / 86400</f>
        <v>4.3287037037037034E-2</v>
      </c>
      <c r="I1187" t="s">
        <v>24</v>
      </c>
      <c r="J1187" t="s">
        <v>136</v>
      </c>
      <c r="K1187" s="5">
        <f>13620 / 86400</f>
        <v>0.15763888888888888</v>
      </c>
      <c r="L1187" s="5">
        <f>230 / 86400</f>
        <v>2.662037037037037E-3</v>
      </c>
    </row>
    <row r="1188" spans="1:12" x14ac:dyDescent="0.25">
      <c r="A1188" s="3">
        <v>45698.67833333333</v>
      </c>
      <c r="B1188" t="s">
        <v>123</v>
      </c>
      <c r="C1188" s="3">
        <v>45698.68068287037</v>
      </c>
      <c r="D1188" t="s">
        <v>342</v>
      </c>
      <c r="E1188" s="4">
        <v>0.27300000000000002</v>
      </c>
      <c r="F1188" s="4">
        <v>549331.60100000002</v>
      </c>
      <c r="G1188" s="4">
        <v>549331.87399999995</v>
      </c>
      <c r="H1188" s="5">
        <f>80 / 86400</f>
        <v>9.2592592592592596E-4</v>
      </c>
      <c r="I1188" t="s">
        <v>36</v>
      </c>
      <c r="J1188" t="s">
        <v>125</v>
      </c>
      <c r="K1188" s="5">
        <f>203 / 86400</f>
        <v>2.3495370370370371E-3</v>
      </c>
      <c r="L1188" s="5">
        <f>1501 / 86400</f>
        <v>1.7372685185185185E-2</v>
      </c>
    </row>
    <row r="1189" spans="1:12" x14ac:dyDescent="0.25">
      <c r="A1189" s="3">
        <v>45698.698055555556</v>
      </c>
      <c r="B1189" t="s">
        <v>342</v>
      </c>
      <c r="C1189" s="3">
        <v>45698.989780092597</v>
      </c>
      <c r="D1189" t="s">
        <v>386</v>
      </c>
      <c r="E1189" s="4">
        <v>115.27200000000001</v>
      </c>
      <c r="F1189" s="4">
        <v>549331.87399999995</v>
      </c>
      <c r="G1189" s="4">
        <v>549447.14599999995</v>
      </c>
      <c r="H1189" s="5">
        <f>8180 / 86400</f>
        <v>9.4675925925925927E-2</v>
      </c>
      <c r="I1189" t="s">
        <v>38</v>
      </c>
      <c r="J1189" t="s">
        <v>19</v>
      </c>
      <c r="K1189" s="5">
        <f>25205 / 86400</f>
        <v>0.29172453703703705</v>
      </c>
      <c r="L1189" s="5">
        <f>180 / 86400</f>
        <v>2.0833333333333333E-3</v>
      </c>
    </row>
    <row r="1190" spans="1:12" x14ac:dyDescent="0.25">
      <c r="A1190" s="3">
        <v>45698.991863425923</v>
      </c>
      <c r="B1190" t="s">
        <v>386</v>
      </c>
      <c r="C1190" s="3">
        <v>45698.99998842593</v>
      </c>
      <c r="D1190" t="s">
        <v>95</v>
      </c>
      <c r="E1190" s="4">
        <v>1.4350000000000001</v>
      </c>
      <c r="F1190" s="4">
        <v>549447.14599999995</v>
      </c>
      <c r="G1190" s="4">
        <v>549448.58100000001</v>
      </c>
      <c r="H1190" s="5">
        <f>380 / 86400</f>
        <v>4.3981481481481484E-3</v>
      </c>
      <c r="I1190" t="s">
        <v>134</v>
      </c>
      <c r="J1190" t="s">
        <v>89</v>
      </c>
      <c r="K1190" s="5">
        <f>702 / 86400</f>
        <v>8.1250000000000003E-3</v>
      </c>
      <c r="L1190" s="5">
        <f>0 / 86400</f>
        <v>0</v>
      </c>
    </row>
    <row r="1191" spans="1:12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</row>
    <row r="1192" spans="1:12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</row>
    <row r="1193" spans="1:12" s="10" customFormat="1" ht="20.100000000000001" customHeight="1" x14ac:dyDescent="0.35">
      <c r="A1193" s="12" t="s">
        <v>458</v>
      </c>
      <c r="B1193" s="12"/>
      <c r="C1193" s="12"/>
      <c r="D1193" s="12"/>
      <c r="E1193" s="12"/>
      <c r="F1193" s="12"/>
      <c r="G1193" s="12"/>
      <c r="H1193" s="12"/>
      <c r="I1193" s="12"/>
      <c r="J1193" s="12"/>
    </row>
    <row r="1194" spans="1:12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</row>
    <row r="1195" spans="1:12" ht="30" x14ac:dyDescent="0.25">
      <c r="A1195" s="2" t="s">
        <v>5</v>
      </c>
      <c r="B1195" s="2" t="s">
        <v>6</v>
      </c>
      <c r="C1195" s="2" t="s">
        <v>7</v>
      </c>
      <c r="D1195" s="2" t="s">
        <v>8</v>
      </c>
      <c r="E1195" s="2" t="s">
        <v>9</v>
      </c>
      <c r="F1195" s="2" t="s">
        <v>10</v>
      </c>
      <c r="G1195" s="2" t="s">
        <v>11</v>
      </c>
      <c r="H1195" s="2" t="s">
        <v>12</v>
      </c>
      <c r="I1195" s="2" t="s">
        <v>13</v>
      </c>
      <c r="J1195" s="2" t="s">
        <v>14</v>
      </c>
      <c r="K1195" s="2" t="s">
        <v>15</v>
      </c>
      <c r="L1195" s="2" t="s">
        <v>16</v>
      </c>
    </row>
    <row r="1196" spans="1:12" x14ac:dyDescent="0.25">
      <c r="A1196" s="3">
        <v>45698</v>
      </c>
      <c r="B1196" t="s">
        <v>112</v>
      </c>
      <c r="C1196" s="3">
        <v>45698.015150462961</v>
      </c>
      <c r="D1196" t="s">
        <v>378</v>
      </c>
      <c r="E1196" s="4">
        <v>53.92</v>
      </c>
      <c r="F1196" s="4">
        <v>49490.39</v>
      </c>
      <c r="G1196" s="4">
        <v>49544.31</v>
      </c>
      <c r="H1196" s="5">
        <f>140 / 86400</f>
        <v>1.6203703703703703E-3</v>
      </c>
      <c r="I1196" t="s">
        <v>114</v>
      </c>
      <c r="J1196" t="s">
        <v>387</v>
      </c>
      <c r="K1196" s="5">
        <f>1309 / 86400</f>
        <v>1.5150462962962963E-2</v>
      </c>
      <c r="L1196" s="5">
        <f>28 / 86400</f>
        <v>3.2407407407407406E-4</v>
      </c>
    </row>
    <row r="1197" spans="1:12" x14ac:dyDescent="0.25">
      <c r="A1197" s="3">
        <v>45698.015474537038</v>
      </c>
      <c r="B1197" t="s">
        <v>378</v>
      </c>
      <c r="C1197" s="3">
        <v>45698.015972222223</v>
      </c>
      <c r="D1197" t="s">
        <v>378</v>
      </c>
      <c r="E1197" s="4">
        <v>3.5000000000000003E-2</v>
      </c>
      <c r="F1197" s="4">
        <v>49544.31</v>
      </c>
      <c r="G1197" s="4">
        <v>49544.345000000001</v>
      </c>
      <c r="H1197" s="5">
        <f>19 / 86400</f>
        <v>2.199074074074074E-4</v>
      </c>
      <c r="I1197" t="s">
        <v>132</v>
      </c>
      <c r="J1197" t="s">
        <v>169</v>
      </c>
      <c r="K1197" s="5">
        <f>42 / 86400</f>
        <v>4.861111111111111E-4</v>
      </c>
      <c r="L1197" s="5">
        <f>2095 / 86400</f>
        <v>2.4247685185185185E-2</v>
      </c>
    </row>
    <row r="1198" spans="1:12" x14ac:dyDescent="0.25">
      <c r="A1198" s="3">
        <v>45698.040219907409</v>
      </c>
      <c r="B1198" t="s">
        <v>378</v>
      </c>
      <c r="C1198" s="3">
        <v>45698.042569444442</v>
      </c>
      <c r="D1198" t="s">
        <v>378</v>
      </c>
      <c r="E1198" s="4">
        <v>6.1150000000000002</v>
      </c>
      <c r="F1198" s="4">
        <v>49544.345000000001</v>
      </c>
      <c r="G1198" s="4">
        <v>49550.46</v>
      </c>
      <c r="H1198" s="5">
        <f>39 / 86400</f>
        <v>4.5138888888888887E-4</v>
      </c>
      <c r="I1198" t="s">
        <v>191</v>
      </c>
      <c r="J1198" t="s">
        <v>388</v>
      </c>
      <c r="K1198" s="5">
        <f>202 / 86400</f>
        <v>2.3379629629629631E-3</v>
      </c>
      <c r="L1198" s="5">
        <f>704 / 86400</f>
        <v>8.1481481481481474E-3</v>
      </c>
    </row>
    <row r="1199" spans="1:12" x14ac:dyDescent="0.25">
      <c r="A1199" s="3">
        <v>45698.050717592589</v>
      </c>
      <c r="B1199" t="s">
        <v>378</v>
      </c>
      <c r="C1199" s="3">
        <v>45698.052546296298</v>
      </c>
      <c r="D1199" t="s">
        <v>318</v>
      </c>
      <c r="E1199" s="4">
        <v>5.82</v>
      </c>
      <c r="F1199" s="4">
        <v>49550.46</v>
      </c>
      <c r="G1199" s="4">
        <v>49556.28</v>
      </c>
      <c r="H1199" s="5">
        <f>0 / 86400</f>
        <v>0</v>
      </c>
      <c r="I1199" t="s">
        <v>215</v>
      </c>
      <c r="J1199" t="s">
        <v>389</v>
      </c>
      <c r="K1199" s="5">
        <f>157 / 86400</f>
        <v>1.8171296296296297E-3</v>
      </c>
      <c r="L1199" s="5">
        <f>254 / 86400</f>
        <v>2.9398148148148148E-3</v>
      </c>
    </row>
    <row r="1200" spans="1:12" x14ac:dyDescent="0.25">
      <c r="A1200" s="3">
        <v>45698.055486111116</v>
      </c>
      <c r="B1200" t="s">
        <v>318</v>
      </c>
      <c r="C1200" s="3">
        <v>45698.059895833328</v>
      </c>
      <c r="D1200" t="s">
        <v>113</v>
      </c>
      <c r="E1200" s="4">
        <v>2.2799999999999998</v>
      </c>
      <c r="F1200" s="4">
        <v>49556.28</v>
      </c>
      <c r="G1200" s="4">
        <v>49558.559999999998</v>
      </c>
      <c r="H1200" s="5">
        <f>160 / 86400</f>
        <v>1.8518518518518519E-3</v>
      </c>
      <c r="I1200" t="s">
        <v>57</v>
      </c>
      <c r="J1200" t="s">
        <v>147</v>
      </c>
      <c r="K1200" s="5">
        <f>380 / 86400</f>
        <v>4.3981481481481484E-3</v>
      </c>
      <c r="L1200" s="5">
        <f>33756 / 86400</f>
        <v>0.39069444444444446</v>
      </c>
    </row>
    <row r="1201" spans="1:12" x14ac:dyDescent="0.25">
      <c r="A1201" s="3">
        <v>45698.450590277775</v>
      </c>
      <c r="B1201" t="s">
        <v>113</v>
      </c>
      <c r="C1201" s="3">
        <v>45698.451828703706</v>
      </c>
      <c r="D1201" t="s">
        <v>113</v>
      </c>
      <c r="E1201" s="4">
        <v>0.255</v>
      </c>
      <c r="F1201" s="4">
        <v>49558.559999999998</v>
      </c>
      <c r="G1201" s="4">
        <v>49558.815000000002</v>
      </c>
      <c r="H1201" s="5">
        <f>59 / 86400</f>
        <v>6.8287037037037036E-4</v>
      </c>
      <c r="I1201" t="s">
        <v>62</v>
      </c>
      <c r="J1201" t="s">
        <v>138</v>
      </c>
      <c r="K1201" s="5">
        <f>106 / 86400</f>
        <v>1.2268518518518518E-3</v>
      </c>
      <c r="L1201" s="5">
        <f>68 / 86400</f>
        <v>7.8703703703703705E-4</v>
      </c>
    </row>
    <row r="1202" spans="1:12" x14ac:dyDescent="0.25">
      <c r="A1202" s="3">
        <v>45698.452615740738</v>
      </c>
      <c r="B1202" t="s">
        <v>113</v>
      </c>
      <c r="C1202" s="3">
        <v>45698.462731481486</v>
      </c>
      <c r="D1202" t="s">
        <v>390</v>
      </c>
      <c r="E1202" s="4">
        <v>12.085000000000001</v>
      </c>
      <c r="F1202" s="4">
        <v>49558.815000000002</v>
      </c>
      <c r="G1202" s="4">
        <v>49570.9</v>
      </c>
      <c r="H1202" s="5">
        <f>400 / 86400</f>
        <v>4.6296296296296294E-3</v>
      </c>
      <c r="I1202" t="s">
        <v>213</v>
      </c>
      <c r="J1202" t="s">
        <v>117</v>
      </c>
      <c r="K1202" s="5">
        <f>874 / 86400</f>
        <v>1.0115740740740741E-2</v>
      </c>
      <c r="L1202" s="5">
        <f>10810 / 86400</f>
        <v>0.12511574074074075</v>
      </c>
    </row>
    <row r="1203" spans="1:12" x14ac:dyDescent="0.25">
      <c r="A1203" s="3">
        <v>45698.587847222225</v>
      </c>
      <c r="B1203" t="s">
        <v>390</v>
      </c>
      <c r="C1203" s="3">
        <v>45698.602106481485</v>
      </c>
      <c r="D1203" t="s">
        <v>29</v>
      </c>
      <c r="E1203" s="4">
        <v>19.055</v>
      </c>
      <c r="F1203" s="4">
        <v>49570.9</v>
      </c>
      <c r="G1203" s="4">
        <v>49589.955000000002</v>
      </c>
      <c r="H1203" s="5">
        <f>204 / 86400</f>
        <v>2.3611111111111111E-3</v>
      </c>
      <c r="I1203" t="s">
        <v>149</v>
      </c>
      <c r="J1203" t="s">
        <v>205</v>
      </c>
      <c r="K1203" s="5">
        <f>1232 / 86400</f>
        <v>1.425925925925926E-2</v>
      </c>
      <c r="L1203" s="5">
        <f>365 / 86400</f>
        <v>4.2245370370370371E-3</v>
      </c>
    </row>
    <row r="1204" spans="1:12" x14ac:dyDescent="0.25">
      <c r="A1204" s="3">
        <v>45698.60633101852</v>
      </c>
      <c r="B1204" t="s">
        <v>29</v>
      </c>
      <c r="C1204" s="3">
        <v>45698.607094907406</v>
      </c>
      <c r="D1204" t="s">
        <v>29</v>
      </c>
      <c r="E1204" s="4">
        <v>0.12000000000745058</v>
      </c>
      <c r="F1204" s="4">
        <v>49589.955000000002</v>
      </c>
      <c r="G1204" s="4">
        <v>49590.075000000004</v>
      </c>
      <c r="H1204" s="5">
        <f>20 / 86400</f>
        <v>2.3148148148148149E-4</v>
      </c>
      <c r="I1204" t="s">
        <v>132</v>
      </c>
      <c r="J1204" t="s">
        <v>89</v>
      </c>
      <c r="K1204" s="5">
        <f>65 / 86400</f>
        <v>7.5231481481481482E-4</v>
      </c>
      <c r="L1204" s="5">
        <f>13 / 86400</f>
        <v>1.5046296296296297E-4</v>
      </c>
    </row>
    <row r="1205" spans="1:12" x14ac:dyDescent="0.25">
      <c r="A1205" s="3">
        <v>45698.607245370367</v>
      </c>
      <c r="B1205" t="s">
        <v>29</v>
      </c>
      <c r="C1205" s="3">
        <v>45698.607337962967</v>
      </c>
      <c r="D1205" t="s">
        <v>29</v>
      </c>
      <c r="E1205" s="4">
        <v>0</v>
      </c>
      <c r="F1205" s="4">
        <v>49590.075000000004</v>
      </c>
      <c r="G1205" s="4">
        <v>49590.075000000004</v>
      </c>
      <c r="H1205" s="5">
        <f>1 / 86400</f>
        <v>1.1574074074074073E-5</v>
      </c>
      <c r="I1205" t="s">
        <v>126</v>
      </c>
      <c r="J1205" t="s">
        <v>126</v>
      </c>
      <c r="K1205" s="5">
        <f>8 / 86400</f>
        <v>9.2592592592592588E-5</v>
      </c>
      <c r="L1205" s="5">
        <f>12205 / 86400</f>
        <v>0.14126157407407408</v>
      </c>
    </row>
    <row r="1206" spans="1:12" x14ac:dyDescent="0.25">
      <c r="A1206" s="3">
        <v>45698.748599537037</v>
      </c>
      <c r="B1206" t="s">
        <v>29</v>
      </c>
      <c r="C1206" s="3">
        <v>45698.74864583333</v>
      </c>
      <c r="D1206" t="s">
        <v>29</v>
      </c>
      <c r="E1206" s="4">
        <v>0</v>
      </c>
      <c r="F1206" s="4">
        <v>49590.075000000004</v>
      </c>
      <c r="G1206" s="4">
        <v>49590.075000000004</v>
      </c>
      <c r="H1206" s="5">
        <f>0 / 86400</f>
        <v>0</v>
      </c>
      <c r="I1206" t="s">
        <v>126</v>
      </c>
      <c r="J1206" t="s">
        <v>126</v>
      </c>
      <c r="K1206" s="5">
        <f>4 / 86400</f>
        <v>4.6296296296296294E-5</v>
      </c>
      <c r="L1206" s="5">
        <f>1 / 86400</f>
        <v>1.1574074074074073E-5</v>
      </c>
    </row>
    <row r="1207" spans="1:12" x14ac:dyDescent="0.25">
      <c r="A1207" s="3">
        <v>45698.748657407406</v>
      </c>
      <c r="B1207" t="s">
        <v>29</v>
      </c>
      <c r="C1207" s="3">
        <v>45698.756666666668</v>
      </c>
      <c r="D1207" t="s">
        <v>29</v>
      </c>
      <c r="E1207" s="4">
        <v>16.024999999992549</v>
      </c>
      <c r="F1207" s="4">
        <v>49590.075000000004</v>
      </c>
      <c r="G1207" s="4">
        <v>49606.1</v>
      </c>
      <c r="H1207" s="5">
        <f>94 / 86400</f>
        <v>1.0879629629629629E-3</v>
      </c>
      <c r="I1207" t="s">
        <v>149</v>
      </c>
      <c r="J1207" t="s">
        <v>88</v>
      </c>
      <c r="K1207" s="5">
        <f>692 / 86400</f>
        <v>8.0092592592592594E-3</v>
      </c>
      <c r="L1207" s="5">
        <f>170 / 86400</f>
        <v>1.9675925925925924E-3</v>
      </c>
    </row>
    <row r="1208" spans="1:12" x14ac:dyDescent="0.25">
      <c r="A1208" s="3">
        <v>45698.758634259255</v>
      </c>
      <c r="B1208" t="s">
        <v>29</v>
      </c>
      <c r="C1208" s="3">
        <v>45698.758645833332</v>
      </c>
      <c r="D1208" t="s">
        <v>29</v>
      </c>
      <c r="E1208" s="4">
        <v>0</v>
      </c>
      <c r="F1208" s="4">
        <v>49606.1</v>
      </c>
      <c r="G1208" s="4">
        <v>49606.1</v>
      </c>
      <c r="H1208" s="5">
        <f>0 / 86400</f>
        <v>0</v>
      </c>
      <c r="I1208" t="s">
        <v>126</v>
      </c>
      <c r="J1208" t="s">
        <v>126</v>
      </c>
      <c r="K1208" s="5">
        <f>1 / 86400</f>
        <v>1.1574074074074073E-5</v>
      </c>
      <c r="L1208" s="5">
        <f>3 / 86400</f>
        <v>3.4722222222222222E-5</v>
      </c>
    </row>
    <row r="1209" spans="1:12" x14ac:dyDescent="0.25">
      <c r="A1209" s="3">
        <v>45698.758680555555</v>
      </c>
      <c r="B1209" t="s">
        <v>29</v>
      </c>
      <c r="C1209" s="3">
        <v>45698.766388888893</v>
      </c>
      <c r="D1209" t="s">
        <v>113</v>
      </c>
      <c r="E1209" s="4">
        <v>16.57</v>
      </c>
      <c r="F1209" s="4">
        <v>49606.1</v>
      </c>
      <c r="G1209" s="4">
        <v>49622.67</v>
      </c>
      <c r="H1209" s="5">
        <f>100 / 86400</f>
        <v>1.1574074074074073E-3</v>
      </c>
      <c r="I1209" t="s">
        <v>163</v>
      </c>
      <c r="J1209" t="s">
        <v>346</v>
      </c>
      <c r="K1209" s="5">
        <f>666 / 86400</f>
        <v>7.7083333333333335E-3</v>
      </c>
      <c r="L1209" s="5">
        <f>76 / 86400</f>
        <v>8.7962962962962962E-4</v>
      </c>
    </row>
    <row r="1210" spans="1:12" x14ac:dyDescent="0.25">
      <c r="A1210" s="3">
        <v>45698.767268518517</v>
      </c>
      <c r="B1210" t="s">
        <v>113</v>
      </c>
      <c r="C1210" s="3">
        <v>45698.767800925925</v>
      </c>
      <c r="D1210" t="s">
        <v>113</v>
      </c>
      <c r="E1210" s="4">
        <v>0.14000000000000001</v>
      </c>
      <c r="F1210" s="4">
        <v>49622.67</v>
      </c>
      <c r="G1210" s="4">
        <v>49622.81</v>
      </c>
      <c r="H1210" s="5">
        <f>40 / 86400</f>
        <v>4.6296296296296298E-4</v>
      </c>
      <c r="I1210" t="s">
        <v>125</v>
      </c>
      <c r="J1210" t="s">
        <v>59</v>
      </c>
      <c r="K1210" s="5">
        <f>45 / 86400</f>
        <v>5.2083333333333333E-4</v>
      </c>
      <c r="L1210" s="5">
        <f>16978 / 86400</f>
        <v>0.19650462962962964</v>
      </c>
    </row>
    <row r="1211" spans="1:12" x14ac:dyDescent="0.25">
      <c r="A1211" s="3">
        <v>45698.964305555557</v>
      </c>
      <c r="B1211" t="s">
        <v>29</v>
      </c>
      <c r="C1211" s="3">
        <v>45698.96570601852</v>
      </c>
      <c r="D1211" t="s">
        <v>113</v>
      </c>
      <c r="E1211" s="4">
        <v>0.46000000000745056</v>
      </c>
      <c r="F1211" s="4">
        <v>49622.81</v>
      </c>
      <c r="G1211" s="4">
        <v>49623.270000000004</v>
      </c>
      <c r="H1211" s="5">
        <f>20 / 86400</f>
        <v>2.3148148148148149E-4</v>
      </c>
      <c r="I1211" t="s">
        <v>89</v>
      </c>
      <c r="J1211" t="s">
        <v>31</v>
      </c>
      <c r="K1211" s="5">
        <f>121 / 86400</f>
        <v>1.4004629629629629E-3</v>
      </c>
      <c r="L1211" s="5">
        <f>2962 / 86400</f>
        <v>3.4282407407407407E-2</v>
      </c>
    </row>
    <row r="1212" spans="1:12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</row>
    <row r="1213" spans="1:12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</row>
    <row r="1214" spans="1:12" s="10" customFormat="1" ht="20.100000000000001" customHeight="1" x14ac:dyDescent="0.35">
      <c r="A1214" s="12" t="s">
        <v>459</v>
      </c>
      <c r="B1214" s="12"/>
      <c r="C1214" s="12"/>
      <c r="D1214" s="12"/>
      <c r="E1214" s="12"/>
      <c r="F1214" s="12"/>
      <c r="G1214" s="12"/>
      <c r="H1214" s="12"/>
      <c r="I1214" s="12"/>
      <c r="J1214" s="12"/>
    </row>
    <row r="1215" spans="1:12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</row>
    <row r="1216" spans="1:12" ht="30" x14ac:dyDescent="0.25">
      <c r="A1216" s="2" t="s">
        <v>5</v>
      </c>
      <c r="B1216" s="2" t="s">
        <v>6</v>
      </c>
      <c r="C1216" s="2" t="s">
        <v>7</v>
      </c>
      <c r="D1216" s="2" t="s">
        <v>8</v>
      </c>
      <c r="E1216" s="2" t="s">
        <v>9</v>
      </c>
      <c r="F1216" s="2" t="s">
        <v>10</v>
      </c>
      <c r="G1216" s="2" t="s">
        <v>11</v>
      </c>
      <c r="H1216" s="2" t="s">
        <v>12</v>
      </c>
      <c r="I1216" s="2" t="s">
        <v>13</v>
      </c>
      <c r="J1216" s="2" t="s">
        <v>14</v>
      </c>
      <c r="K1216" s="2" t="s">
        <v>15</v>
      </c>
      <c r="L1216" s="2" t="s">
        <v>16</v>
      </c>
    </row>
    <row r="1217" spans="1:12" x14ac:dyDescent="0.25">
      <c r="A1217" s="3">
        <v>45698</v>
      </c>
      <c r="B1217" t="s">
        <v>69</v>
      </c>
      <c r="C1217" s="3">
        <v>45698.052453703705</v>
      </c>
      <c r="D1217" t="s">
        <v>321</v>
      </c>
      <c r="E1217" s="4">
        <v>33.268999999999998</v>
      </c>
      <c r="F1217" s="4">
        <v>58523.758000000002</v>
      </c>
      <c r="G1217" s="4">
        <v>58557.027000000002</v>
      </c>
      <c r="H1217" s="5">
        <f>1180 / 86400</f>
        <v>1.3657407407407408E-2</v>
      </c>
      <c r="I1217" t="s">
        <v>124</v>
      </c>
      <c r="J1217" t="s">
        <v>134</v>
      </c>
      <c r="K1217" s="5">
        <f>4532 / 86400</f>
        <v>5.2453703703703704E-2</v>
      </c>
      <c r="L1217" s="5">
        <f>382 / 86400</f>
        <v>4.4212962962962964E-3</v>
      </c>
    </row>
    <row r="1218" spans="1:12" x14ac:dyDescent="0.25">
      <c r="A1218" s="3">
        <v>45698.056874999995</v>
      </c>
      <c r="B1218" t="s">
        <v>44</v>
      </c>
      <c r="C1218" s="3">
        <v>45698.059004629627</v>
      </c>
      <c r="D1218" t="s">
        <v>139</v>
      </c>
      <c r="E1218" s="4">
        <v>1.127</v>
      </c>
      <c r="F1218" s="4">
        <v>58557.027000000002</v>
      </c>
      <c r="G1218" s="4">
        <v>58558.154000000002</v>
      </c>
      <c r="H1218" s="5">
        <f>0 / 86400</f>
        <v>0</v>
      </c>
      <c r="I1218" t="s">
        <v>199</v>
      </c>
      <c r="J1218" t="s">
        <v>147</v>
      </c>
      <c r="K1218" s="5">
        <f>184 / 86400</f>
        <v>2.1296296296296298E-3</v>
      </c>
      <c r="L1218" s="5">
        <f>783 / 86400</f>
        <v>9.0624999999999994E-3</v>
      </c>
    </row>
    <row r="1219" spans="1:12" x14ac:dyDescent="0.25">
      <c r="A1219" s="3">
        <v>45698.068067129629</v>
      </c>
      <c r="B1219" t="s">
        <v>139</v>
      </c>
      <c r="C1219" s="3">
        <v>45698.06962962963</v>
      </c>
      <c r="D1219" t="s">
        <v>322</v>
      </c>
      <c r="E1219" s="4">
        <v>0.27300000000000002</v>
      </c>
      <c r="F1219" s="4">
        <v>58558.154000000002</v>
      </c>
      <c r="G1219" s="4">
        <v>58558.427000000003</v>
      </c>
      <c r="H1219" s="5">
        <f>40 / 86400</f>
        <v>4.6296296296296298E-4</v>
      </c>
      <c r="I1219" t="s">
        <v>25</v>
      </c>
      <c r="J1219" t="s">
        <v>89</v>
      </c>
      <c r="K1219" s="5">
        <f>135 / 86400</f>
        <v>1.5625000000000001E-3</v>
      </c>
      <c r="L1219" s="5">
        <f>56 / 86400</f>
        <v>6.4814814814814813E-4</v>
      </c>
    </row>
    <row r="1220" spans="1:12" x14ac:dyDescent="0.25">
      <c r="A1220" s="3">
        <v>45698.070277777777</v>
      </c>
      <c r="B1220" t="s">
        <v>322</v>
      </c>
      <c r="C1220" s="3">
        <v>45698.07104166667</v>
      </c>
      <c r="D1220" t="s">
        <v>322</v>
      </c>
      <c r="E1220" s="4">
        <v>4.2999999999999997E-2</v>
      </c>
      <c r="F1220" s="4">
        <v>58558.427000000003</v>
      </c>
      <c r="G1220" s="4">
        <v>58558.47</v>
      </c>
      <c r="H1220" s="5">
        <f>40 / 86400</f>
        <v>4.6296296296296298E-4</v>
      </c>
      <c r="I1220" t="s">
        <v>168</v>
      </c>
      <c r="J1220" t="s">
        <v>132</v>
      </c>
      <c r="K1220" s="5">
        <f>66 / 86400</f>
        <v>7.6388888888888893E-4</v>
      </c>
      <c r="L1220" s="5">
        <f>9340 / 86400</f>
        <v>0.10810185185185185</v>
      </c>
    </row>
    <row r="1221" spans="1:12" x14ac:dyDescent="0.25">
      <c r="A1221" s="3">
        <v>45698.179143518515</v>
      </c>
      <c r="B1221" t="s">
        <v>322</v>
      </c>
      <c r="C1221" s="3">
        <v>45698.183958333335</v>
      </c>
      <c r="D1221" t="s">
        <v>64</v>
      </c>
      <c r="E1221" s="4">
        <v>0.41399999999999998</v>
      </c>
      <c r="F1221" s="4">
        <v>58558.47</v>
      </c>
      <c r="G1221" s="4">
        <v>58558.883999999998</v>
      </c>
      <c r="H1221" s="5">
        <f>199 / 86400</f>
        <v>2.3032407407407407E-3</v>
      </c>
      <c r="I1221" t="s">
        <v>59</v>
      </c>
      <c r="J1221" t="s">
        <v>43</v>
      </c>
      <c r="K1221" s="5">
        <f>415 / 86400</f>
        <v>4.8032407407407407E-3</v>
      </c>
      <c r="L1221" s="5">
        <f>82 / 86400</f>
        <v>9.4907407407407408E-4</v>
      </c>
    </row>
    <row r="1222" spans="1:12" x14ac:dyDescent="0.25">
      <c r="A1222" s="3">
        <v>45698.184907407413</v>
      </c>
      <c r="B1222" t="s">
        <v>64</v>
      </c>
      <c r="C1222" s="3">
        <v>45698.407650462963</v>
      </c>
      <c r="D1222" t="s">
        <v>127</v>
      </c>
      <c r="E1222" s="4">
        <v>101.32299999999999</v>
      </c>
      <c r="F1222" s="4">
        <v>58558.883999999998</v>
      </c>
      <c r="G1222" s="4">
        <v>58660.207000000002</v>
      </c>
      <c r="H1222" s="5">
        <f>6161 / 86400</f>
        <v>7.1307870370370369E-2</v>
      </c>
      <c r="I1222" t="s">
        <v>50</v>
      </c>
      <c r="J1222" t="s">
        <v>33</v>
      </c>
      <c r="K1222" s="5">
        <f>19244 / 86400</f>
        <v>0.22273148148148147</v>
      </c>
      <c r="L1222" s="5">
        <f>2007 / 86400</f>
        <v>2.3229166666666665E-2</v>
      </c>
    </row>
    <row r="1223" spans="1:12" x14ac:dyDescent="0.25">
      <c r="A1223" s="3">
        <v>45698.430879629625</v>
      </c>
      <c r="B1223" t="s">
        <v>127</v>
      </c>
      <c r="C1223" s="3">
        <v>45698.518009259264</v>
      </c>
      <c r="D1223" t="s">
        <v>254</v>
      </c>
      <c r="E1223" s="4">
        <v>42.09</v>
      </c>
      <c r="F1223" s="4">
        <v>58660.207000000002</v>
      </c>
      <c r="G1223" s="4">
        <v>58702.296999999999</v>
      </c>
      <c r="H1223" s="5">
        <f>2419 / 86400</f>
        <v>2.7997685185185184E-2</v>
      </c>
      <c r="I1223" t="s">
        <v>30</v>
      </c>
      <c r="J1223" t="s">
        <v>22</v>
      </c>
      <c r="K1223" s="5">
        <f>7528 / 86400</f>
        <v>8.7129629629629626E-2</v>
      </c>
      <c r="L1223" s="5">
        <f>19 / 86400</f>
        <v>2.199074074074074E-4</v>
      </c>
    </row>
    <row r="1224" spans="1:12" x14ac:dyDescent="0.25">
      <c r="A1224" s="3">
        <v>45698.518229166672</v>
      </c>
      <c r="B1224" t="s">
        <v>254</v>
      </c>
      <c r="C1224" s="3">
        <v>45698.546932870369</v>
      </c>
      <c r="D1224" t="s">
        <v>187</v>
      </c>
      <c r="E1224" s="4">
        <v>11.263</v>
      </c>
      <c r="F1224" s="4">
        <v>58702.296999999999</v>
      </c>
      <c r="G1224" s="4">
        <v>58713.56</v>
      </c>
      <c r="H1224" s="5">
        <f>880 / 86400</f>
        <v>1.0185185185185186E-2</v>
      </c>
      <c r="I1224" t="s">
        <v>154</v>
      </c>
      <c r="J1224" t="s">
        <v>19</v>
      </c>
      <c r="K1224" s="5">
        <f>2480 / 86400</f>
        <v>2.8703703703703703E-2</v>
      </c>
      <c r="L1224" s="5">
        <f>38 / 86400</f>
        <v>4.3981481481481481E-4</v>
      </c>
    </row>
    <row r="1225" spans="1:12" x14ac:dyDescent="0.25">
      <c r="A1225" s="3">
        <v>45698.547372685185</v>
      </c>
      <c r="B1225" t="s">
        <v>187</v>
      </c>
      <c r="C1225" s="3">
        <v>45698.606782407413</v>
      </c>
      <c r="D1225" t="s">
        <v>64</v>
      </c>
      <c r="E1225" s="4">
        <v>32.387999999999998</v>
      </c>
      <c r="F1225" s="4">
        <v>58713.56</v>
      </c>
      <c r="G1225" s="4">
        <v>58745.947999999997</v>
      </c>
      <c r="H1225" s="5">
        <f>1279 / 86400</f>
        <v>1.480324074074074E-2</v>
      </c>
      <c r="I1225" t="s">
        <v>124</v>
      </c>
      <c r="J1225" t="s">
        <v>47</v>
      </c>
      <c r="K1225" s="5">
        <f>5132 / 86400</f>
        <v>5.9398148148148151E-2</v>
      </c>
      <c r="L1225" s="5">
        <f>330 / 86400</f>
        <v>3.8194444444444443E-3</v>
      </c>
    </row>
    <row r="1226" spans="1:12" x14ac:dyDescent="0.25">
      <c r="A1226" s="3">
        <v>45698.610601851848</v>
      </c>
      <c r="B1226" t="s">
        <v>64</v>
      </c>
      <c r="C1226" s="3">
        <v>45698.611585648148</v>
      </c>
      <c r="D1226" t="s">
        <v>123</v>
      </c>
      <c r="E1226" s="4">
        <v>0.23300000000000001</v>
      </c>
      <c r="F1226" s="4">
        <v>58745.947999999997</v>
      </c>
      <c r="G1226" s="4">
        <v>58746.180999999997</v>
      </c>
      <c r="H1226" s="5">
        <f>0 / 86400</f>
        <v>0</v>
      </c>
      <c r="I1226" t="s">
        <v>25</v>
      </c>
      <c r="J1226" t="s">
        <v>129</v>
      </c>
      <c r="K1226" s="5">
        <f>85 / 86400</f>
        <v>9.837962962962962E-4</v>
      </c>
      <c r="L1226" s="5">
        <f>2332 / 86400</f>
        <v>2.6990740740740742E-2</v>
      </c>
    </row>
    <row r="1227" spans="1:12" x14ac:dyDescent="0.25">
      <c r="A1227" s="3">
        <v>45698.63857638889</v>
      </c>
      <c r="B1227" t="s">
        <v>123</v>
      </c>
      <c r="C1227" s="3">
        <v>45698.640567129631</v>
      </c>
      <c r="D1227" t="s">
        <v>123</v>
      </c>
      <c r="E1227" s="4">
        <v>0.111</v>
      </c>
      <c r="F1227" s="4">
        <v>58746.180999999997</v>
      </c>
      <c r="G1227" s="4">
        <v>58746.292000000001</v>
      </c>
      <c r="H1227" s="5">
        <f>79 / 86400</f>
        <v>9.1435185185185185E-4</v>
      </c>
      <c r="I1227" t="s">
        <v>89</v>
      </c>
      <c r="J1227" t="s">
        <v>132</v>
      </c>
      <c r="K1227" s="5">
        <f>171 / 86400</f>
        <v>1.9791666666666668E-3</v>
      </c>
      <c r="L1227" s="5">
        <f>412 / 86400</f>
        <v>4.7685185185185183E-3</v>
      </c>
    </row>
    <row r="1228" spans="1:12" x14ac:dyDescent="0.25">
      <c r="A1228" s="3">
        <v>45698.645335648151</v>
      </c>
      <c r="B1228" t="s">
        <v>123</v>
      </c>
      <c r="C1228" s="3">
        <v>45698.646840277783</v>
      </c>
      <c r="D1228" t="s">
        <v>322</v>
      </c>
      <c r="E1228" s="4">
        <v>0.19500000000000001</v>
      </c>
      <c r="F1228" s="4">
        <v>58746.292000000001</v>
      </c>
      <c r="G1228" s="4">
        <v>58746.487000000001</v>
      </c>
      <c r="H1228" s="5">
        <f>0 / 86400</f>
        <v>0</v>
      </c>
      <c r="I1228" t="s">
        <v>59</v>
      </c>
      <c r="J1228" t="s">
        <v>125</v>
      </c>
      <c r="K1228" s="5">
        <f>129 / 86400</f>
        <v>1.4930555555555556E-3</v>
      </c>
      <c r="L1228" s="5">
        <f>108 / 86400</f>
        <v>1.25E-3</v>
      </c>
    </row>
    <row r="1229" spans="1:12" x14ac:dyDescent="0.25">
      <c r="A1229" s="3">
        <v>45698.648090277777</v>
      </c>
      <c r="B1229" t="s">
        <v>322</v>
      </c>
      <c r="C1229" s="3">
        <v>45698.648842592593</v>
      </c>
      <c r="D1229" t="s">
        <v>322</v>
      </c>
      <c r="E1229" s="4">
        <v>3.6999999999999998E-2</v>
      </c>
      <c r="F1229" s="4">
        <v>58746.487000000001</v>
      </c>
      <c r="G1229" s="4">
        <v>58746.523999999998</v>
      </c>
      <c r="H1229" s="5">
        <f>19 / 86400</f>
        <v>2.199074074074074E-4</v>
      </c>
      <c r="I1229" t="s">
        <v>61</v>
      </c>
      <c r="J1229" t="s">
        <v>132</v>
      </c>
      <c r="K1229" s="5">
        <f>64 / 86400</f>
        <v>7.407407407407407E-4</v>
      </c>
      <c r="L1229" s="5">
        <f>2289 / 86400</f>
        <v>2.6493055555555554E-2</v>
      </c>
    </row>
    <row r="1230" spans="1:12" x14ac:dyDescent="0.25">
      <c r="A1230" s="3">
        <v>45698.675335648149</v>
      </c>
      <c r="B1230" t="s">
        <v>322</v>
      </c>
      <c r="C1230" s="3">
        <v>45698.678564814814</v>
      </c>
      <c r="D1230" t="s">
        <v>127</v>
      </c>
      <c r="E1230" s="4">
        <v>0.27800000000000002</v>
      </c>
      <c r="F1230" s="4">
        <v>58746.523999999998</v>
      </c>
      <c r="G1230" s="4">
        <v>58746.802000000003</v>
      </c>
      <c r="H1230" s="5">
        <f>179 / 86400</f>
        <v>2.0717592592592593E-3</v>
      </c>
      <c r="I1230" t="s">
        <v>28</v>
      </c>
      <c r="J1230" t="s">
        <v>43</v>
      </c>
      <c r="K1230" s="5">
        <f>278 / 86400</f>
        <v>3.2175925925925926E-3</v>
      </c>
      <c r="L1230" s="5">
        <f>125 / 86400</f>
        <v>1.4467592592592592E-3</v>
      </c>
    </row>
    <row r="1231" spans="1:12" x14ac:dyDescent="0.25">
      <c r="A1231" s="3">
        <v>45698.680011574077</v>
      </c>
      <c r="B1231" t="s">
        <v>127</v>
      </c>
      <c r="C1231" s="3">
        <v>45698.758530092593</v>
      </c>
      <c r="D1231" t="s">
        <v>391</v>
      </c>
      <c r="E1231" s="4">
        <v>38.027999999999999</v>
      </c>
      <c r="F1231" s="4">
        <v>58746.802000000003</v>
      </c>
      <c r="G1231" s="4">
        <v>58784.83</v>
      </c>
      <c r="H1231" s="5">
        <f>2060 / 86400</f>
        <v>2.3842592592592592E-2</v>
      </c>
      <c r="I1231" t="s">
        <v>18</v>
      </c>
      <c r="J1231" t="s">
        <v>22</v>
      </c>
      <c r="K1231" s="5">
        <f>6783 / 86400</f>
        <v>7.8506944444444449E-2</v>
      </c>
      <c r="L1231" s="5">
        <f>33 / 86400</f>
        <v>3.8194444444444446E-4</v>
      </c>
    </row>
    <row r="1232" spans="1:12" x14ac:dyDescent="0.25">
      <c r="A1232" s="3">
        <v>45698.758912037039</v>
      </c>
      <c r="B1232" t="s">
        <v>391</v>
      </c>
      <c r="C1232" s="3">
        <v>45698.772256944445</v>
      </c>
      <c r="D1232" t="s">
        <v>392</v>
      </c>
      <c r="E1232" s="4">
        <v>3.8759999999999999</v>
      </c>
      <c r="F1232" s="4">
        <v>58784.83</v>
      </c>
      <c r="G1232" s="4">
        <v>58788.705999999998</v>
      </c>
      <c r="H1232" s="5">
        <f>520 / 86400</f>
        <v>6.0185185185185185E-3</v>
      </c>
      <c r="I1232" t="s">
        <v>189</v>
      </c>
      <c r="J1232" t="s">
        <v>102</v>
      </c>
      <c r="K1232" s="5">
        <f>1152 / 86400</f>
        <v>1.3333333333333334E-2</v>
      </c>
      <c r="L1232" s="5">
        <f>398 / 86400</f>
        <v>4.6064814814814814E-3</v>
      </c>
    </row>
    <row r="1233" spans="1:12" x14ac:dyDescent="0.25">
      <c r="A1233" s="3">
        <v>45698.776863425926</v>
      </c>
      <c r="B1233" t="s">
        <v>392</v>
      </c>
      <c r="C1233" s="3">
        <v>45698.953726851847</v>
      </c>
      <c r="D1233" t="s">
        <v>364</v>
      </c>
      <c r="E1233" s="4">
        <v>73.429000000000002</v>
      </c>
      <c r="F1233" s="4">
        <v>58788.705999999998</v>
      </c>
      <c r="G1233" s="4">
        <v>58862.135000000002</v>
      </c>
      <c r="H1233" s="5">
        <f>5981 / 86400</f>
        <v>6.9224537037037043E-2</v>
      </c>
      <c r="I1233" t="s">
        <v>35</v>
      </c>
      <c r="J1233" t="s">
        <v>28</v>
      </c>
      <c r="K1233" s="5">
        <f>15281 / 86400</f>
        <v>0.17686342592592594</v>
      </c>
      <c r="L1233" s="5">
        <f>246 / 86400</f>
        <v>2.8472222222222223E-3</v>
      </c>
    </row>
    <row r="1234" spans="1:12" x14ac:dyDescent="0.25">
      <c r="A1234" s="3">
        <v>45698.956574074073</v>
      </c>
      <c r="B1234" t="s">
        <v>364</v>
      </c>
      <c r="C1234" s="3">
        <v>45698.956724537042</v>
      </c>
      <c r="D1234" t="s">
        <v>364</v>
      </c>
      <c r="E1234" s="4">
        <v>2E-3</v>
      </c>
      <c r="F1234" s="4">
        <v>58862.135000000002</v>
      </c>
      <c r="G1234" s="4">
        <v>58862.137000000002</v>
      </c>
      <c r="H1234" s="5">
        <f>0 / 86400</f>
        <v>0</v>
      </c>
      <c r="I1234" t="s">
        <v>126</v>
      </c>
      <c r="J1234" t="s">
        <v>62</v>
      </c>
      <c r="K1234" s="5">
        <f>12 / 86400</f>
        <v>1.3888888888888889E-4</v>
      </c>
      <c r="L1234" s="5">
        <f>334 / 86400</f>
        <v>3.8657407407407408E-3</v>
      </c>
    </row>
    <row r="1235" spans="1:12" x14ac:dyDescent="0.25">
      <c r="A1235" s="3">
        <v>45698.960590277777</v>
      </c>
      <c r="B1235" t="s">
        <v>364</v>
      </c>
      <c r="C1235" s="3">
        <v>45698.960682870369</v>
      </c>
      <c r="D1235" t="s">
        <v>364</v>
      </c>
      <c r="E1235" s="4">
        <v>1E-3</v>
      </c>
      <c r="F1235" s="4">
        <v>58862.137000000002</v>
      </c>
      <c r="G1235" s="4">
        <v>58862.137999999999</v>
      </c>
      <c r="H1235" s="5">
        <f>0 / 86400</f>
        <v>0</v>
      </c>
      <c r="I1235" t="s">
        <v>126</v>
      </c>
      <c r="J1235" t="s">
        <v>62</v>
      </c>
      <c r="K1235" s="5">
        <f>7 / 86400</f>
        <v>8.1018518518518516E-5</v>
      </c>
      <c r="L1235" s="5">
        <f>47 / 86400</f>
        <v>5.4398148148148144E-4</v>
      </c>
    </row>
    <row r="1236" spans="1:12" x14ac:dyDescent="0.25">
      <c r="A1236" s="3">
        <v>45698.961226851854</v>
      </c>
      <c r="B1236" t="s">
        <v>364</v>
      </c>
      <c r="C1236" s="3">
        <v>45698.967407407406</v>
      </c>
      <c r="D1236" t="s">
        <v>34</v>
      </c>
      <c r="E1236" s="4">
        <v>6.0000000000000001E-3</v>
      </c>
      <c r="F1236" s="4">
        <v>58862.137999999999</v>
      </c>
      <c r="G1236" s="4">
        <v>58862.144</v>
      </c>
      <c r="H1236" s="5">
        <f>499 / 86400</f>
        <v>5.7754629629629631E-3</v>
      </c>
      <c r="I1236" t="s">
        <v>132</v>
      </c>
      <c r="J1236" t="s">
        <v>126</v>
      </c>
      <c r="K1236" s="5">
        <f>533 / 86400</f>
        <v>6.1689814814814819E-3</v>
      </c>
      <c r="L1236" s="5">
        <f>12 / 86400</f>
        <v>1.3888888888888889E-4</v>
      </c>
    </row>
    <row r="1237" spans="1:12" x14ac:dyDescent="0.25">
      <c r="A1237" s="3">
        <v>45698.967546296291</v>
      </c>
      <c r="B1237" t="s">
        <v>34</v>
      </c>
      <c r="C1237" s="3">
        <v>45698.99998842593</v>
      </c>
      <c r="D1237" t="s">
        <v>111</v>
      </c>
      <c r="E1237" s="4">
        <v>12.585000000000001</v>
      </c>
      <c r="F1237" s="4">
        <v>58862.144</v>
      </c>
      <c r="G1237" s="4">
        <v>58874.728999999999</v>
      </c>
      <c r="H1237" s="5">
        <f>1059 / 86400</f>
        <v>1.2256944444444445E-2</v>
      </c>
      <c r="I1237" t="s">
        <v>188</v>
      </c>
      <c r="J1237" t="s">
        <v>19</v>
      </c>
      <c r="K1237" s="5">
        <f>2803 / 86400</f>
        <v>3.2442129629629626E-2</v>
      </c>
      <c r="L1237" s="5">
        <f>0 / 86400</f>
        <v>0</v>
      </c>
    </row>
    <row r="1238" spans="1:12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</row>
    <row r="1239" spans="1:12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</row>
    <row r="1240" spans="1:12" s="10" customFormat="1" ht="20.100000000000001" customHeight="1" x14ac:dyDescent="0.35">
      <c r="A1240" s="12" t="s">
        <v>460</v>
      </c>
      <c r="B1240" s="12"/>
      <c r="C1240" s="12"/>
      <c r="D1240" s="12"/>
      <c r="E1240" s="12"/>
      <c r="F1240" s="12"/>
      <c r="G1240" s="12"/>
      <c r="H1240" s="12"/>
      <c r="I1240" s="12"/>
      <c r="J1240" s="12"/>
    </row>
    <row r="1241" spans="1:12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</row>
    <row r="1242" spans="1:12" ht="30" x14ac:dyDescent="0.25">
      <c r="A1242" s="2" t="s">
        <v>5</v>
      </c>
      <c r="B1242" s="2" t="s">
        <v>6</v>
      </c>
      <c r="C1242" s="2" t="s">
        <v>7</v>
      </c>
      <c r="D1242" s="2" t="s">
        <v>8</v>
      </c>
      <c r="E1242" s="2" t="s">
        <v>9</v>
      </c>
      <c r="F1242" s="2" t="s">
        <v>10</v>
      </c>
      <c r="G1242" s="2" t="s">
        <v>11</v>
      </c>
      <c r="H1242" s="2" t="s">
        <v>12</v>
      </c>
      <c r="I1242" s="2" t="s">
        <v>13</v>
      </c>
      <c r="J1242" s="2" t="s">
        <v>14</v>
      </c>
      <c r="K1242" s="2" t="s">
        <v>15</v>
      </c>
      <c r="L1242" s="2" t="s">
        <v>16</v>
      </c>
    </row>
    <row r="1243" spans="1:12" x14ac:dyDescent="0.25">
      <c r="A1243" s="3">
        <v>45698</v>
      </c>
      <c r="B1243" t="s">
        <v>44</v>
      </c>
      <c r="C1243" s="3">
        <v>45698.008032407408</v>
      </c>
      <c r="D1243" t="s">
        <v>128</v>
      </c>
      <c r="E1243" s="4">
        <v>7.1999999999999995E-2</v>
      </c>
      <c r="F1243" s="4">
        <v>61609.96</v>
      </c>
      <c r="G1243" s="4">
        <v>61610.031999999999</v>
      </c>
      <c r="H1243" s="5">
        <f>640 / 86400</f>
        <v>7.4074074074074077E-3</v>
      </c>
      <c r="I1243" t="s">
        <v>138</v>
      </c>
      <c r="J1243" t="s">
        <v>126</v>
      </c>
      <c r="K1243" s="5">
        <f>694 / 86400</f>
        <v>8.0324074074074082E-3</v>
      </c>
      <c r="L1243" s="5">
        <f>324 / 86400</f>
        <v>3.7499999999999999E-3</v>
      </c>
    </row>
    <row r="1244" spans="1:12" x14ac:dyDescent="0.25">
      <c r="A1244" s="3">
        <v>45698.011782407411</v>
      </c>
      <c r="B1244" t="s">
        <v>128</v>
      </c>
      <c r="C1244" s="3">
        <v>45698.259687500002</v>
      </c>
      <c r="D1244" t="s">
        <v>393</v>
      </c>
      <c r="E1244" s="4">
        <v>340.029</v>
      </c>
      <c r="F1244" s="4">
        <v>61610.031999999999</v>
      </c>
      <c r="G1244" s="4">
        <v>61950.061000000002</v>
      </c>
      <c r="H1244" s="5">
        <f>4039 / 86400</f>
        <v>4.6747685185185184E-2</v>
      </c>
      <c r="I1244" t="s">
        <v>394</v>
      </c>
      <c r="J1244" t="s">
        <v>215</v>
      </c>
      <c r="K1244" s="5">
        <f>21419 / 86400</f>
        <v>0.24790509259259258</v>
      </c>
      <c r="L1244" s="5">
        <f>2838 / 86400</f>
        <v>3.2847222222222222E-2</v>
      </c>
    </row>
    <row r="1245" spans="1:12" x14ac:dyDescent="0.25">
      <c r="A1245" s="3">
        <v>45698.292534722219</v>
      </c>
      <c r="B1245" t="s">
        <v>393</v>
      </c>
      <c r="C1245" s="3">
        <v>45698.304791666669</v>
      </c>
      <c r="D1245" t="s">
        <v>395</v>
      </c>
      <c r="E1245" s="4">
        <v>5.92</v>
      </c>
      <c r="F1245" s="4">
        <v>61950.061000000002</v>
      </c>
      <c r="G1245" s="4">
        <v>61955.981</v>
      </c>
      <c r="H1245" s="5">
        <f>299 / 86400</f>
        <v>3.460648148148148E-3</v>
      </c>
      <c r="I1245" t="s">
        <v>173</v>
      </c>
      <c r="J1245" t="s">
        <v>22</v>
      </c>
      <c r="K1245" s="5">
        <f>1059 / 86400</f>
        <v>1.2256944444444445E-2</v>
      </c>
      <c r="L1245" s="5">
        <f>1945 / 86400</f>
        <v>2.2511574074074073E-2</v>
      </c>
    </row>
    <row r="1246" spans="1:12" x14ac:dyDescent="0.25">
      <c r="A1246" s="3">
        <v>45698.327303240745</v>
      </c>
      <c r="B1246" t="s">
        <v>395</v>
      </c>
      <c r="C1246" s="3">
        <v>45698.328344907408</v>
      </c>
      <c r="D1246" t="s">
        <v>396</v>
      </c>
      <c r="E1246" s="4">
        <v>2.3E-2</v>
      </c>
      <c r="F1246" s="4">
        <v>61955.981</v>
      </c>
      <c r="G1246" s="4">
        <v>61956.004000000001</v>
      </c>
      <c r="H1246" s="5">
        <f>59 / 86400</f>
        <v>6.8287037037037036E-4</v>
      </c>
      <c r="I1246" t="s">
        <v>169</v>
      </c>
      <c r="J1246" t="s">
        <v>62</v>
      </c>
      <c r="K1246" s="5">
        <f>89 / 86400</f>
        <v>1.0300925925925926E-3</v>
      </c>
      <c r="L1246" s="5">
        <f>7924 / 86400</f>
        <v>9.1712962962962968E-2</v>
      </c>
    </row>
    <row r="1247" spans="1:12" x14ac:dyDescent="0.25">
      <c r="A1247" s="3">
        <v>45698.420057870375</v>
      </c>
      <c r="B1247" t="s">
        <v>396</v>
      </c>
      <c r="C1247" s="3">
        <v>45698.4449537037</v>
      </c>
      <c r="D1247" t="s">
        <v>397</v>
      </c>
      <c r="E1247" s="4">
        <v>12.494999999999999</v>
      </c>
      <c r="F1247" s="4">
        <v>61956.004000000001</v>
      </c>
      <c r="G1247" s="4">
        <v>61968.499000000003</v>
      </c>
      <c r="H1247" s="5">
        <f>579 / 86400</f>
        <v>6.7013888888888887E-3</v>
      </c>
      <c r="I1247" t="s">
        <v>232</v>
      </c>
      <c r="J1247" t="s">
        <v>136</v>
      </c>
      <c r="K1247" s="5">
        <f>2150 / 86400</f>
        <v>2.4884259259259259E-2</v>
      </c>
      <c r="L1247" s="5">
        <f>5901 / 86400</f>
        <v>6.8298611111111115E-2</v>
      </c>
    </row>
    <row r="1248" spans="1:12" x14ac:dyDescent="0.25">
      <c r="A1248" s="3">
        <v>45698.513252314813</v>
      </c>
      <c r="B1248" t="s">
        <v>397</v>
      </c>
      <c r="C1248" s="3">
        <v>45698.558159722219</v>
      </c>
      <c r="D1248" t="s">
        <v>398</v>
      </c>
      <c r="E1248" s="4">
        <v>63.423000000000002</v>
      </c>
      <c r="F1248" s="4">
        <v>61968.499000000003</v>
      </c>
      <c r="G1248" s="4">
        <v>62031.921999999999</v>
      </c>
      <c r="H1248" s="5">
        <f>379 / 86400</f>
        <v>4.386574074074074E-3</v>
      </c>
      <c r="I1248" t="s">
        <v>108</v>
      </c>
      <c r="J1248" t="s">
        <v>85</v>
      </c>
      <c r="K1248" s="5">
        <f>3880 / 86400</f>
        <v>4.490740740740741E-2</v>
      </c>
      <c r="L1248" s="5">
        <f>13240 / 86400</f>
        <v>0.15324074074074073</v>
      </c>
    </row>
    <row r="1249" spans="1:12" x14ac:dyDescent="0.25">
      <c r="A1249" s="3">
        <v>45698.711400462962</v>
      </c>
      <c r="B1249" t="s">
        <v>398</v>
      </c>
      <c r="C1249" s="3">
        <v>45698.926944444444</v>
      </c>
      <c r="D1249" t="s">
        <v>161</v>
      </c>
      <c r="E1249" s="4">
        <v>273.25200000000001</v>
      </c>
      <c r="F1249" s="4">
        <v>62031.921999999999</v>
      </c>
      <c r="G1249" s="4">
        <v>62305.173999999999</v>
      </c>
      <c r="H1249" s="5">
        <f>4598 / 86400</f>
        <v>5.3217592592592594E-2</v>
      </c>
      <c r="I1249" t="s">
        <v>116</v>
      </c>
      <c r="J1249" t="s">
        <v>304</v>
      </c>
      <c r="K1249" s="5">
        <f>18623 / 86400</f>
        <v>0.21554398148148149</v>
      </c>
      <c r="L1249" s="5">
        <f>2494 / 86400</f>
        <v>2.886574074074074E-2</v>
      </c>
    </row>
    <row r="1250" spans="1:12" x14ac:dyDescent="0.25">
      <c r="A1250" s="3">
        <v>45698.955810185187</v>
      </c>
      <c r="B1250" t="s">
        <v>161</v>
      </c>
      <c r="C1250" s="3">
        <v>45698.980266203704</v>
      </c>
      <c r="D1250" t="s">
        <v>119</v>
      </c>
      <c r="E1250" s="4">
        <v>10.082000000000001</v>
      </c>
      <c r="F1250" s="4">
        <v>62305.173999999999</v>
      </c>
      <c r="G1250" s="4">
        <v>62315.256000000001</v>
      </c>
      <c r="H1250" s="5">
        <f>1059 / 86400</f>
        <v>1.2256944444444445E-2</v>
      </c>
      <c r="I1250" t="s">
        <v>208</v>
      </c>
      <c r="J1250" t="s">
        <v>28</v>
      </c>
      <c r="K1250" s="5">
        <f>2113 / 86400</f>
        <v>2.4456018518518519E-2</v>
      </c>
      <c r="L1250" s="5">
        <f>5 / 86400</f>
        <v>5.7870370370370373E-5</v>
      </c>
    </row>
    <row r="1251" spans="1:12" x14ac:dyDescent="0.25">
      <c r="A1251" s="3">
        <v>45698.980324074073</v>
      </c>
      <c r="B1251" t="s">
        <v>119</v>
      </c>
      <c r="C1251" s="3">
        <v>45698.980393518519</v>
      </c>
      <c r="D1251" t="s">
        <v>119</v>
      </c>
      <c r="E1251" s="4">
        <v>0</v>
      </c>
      <c r="F1251" s="4">
        <v>62315.256000000001</v>
      </c>
      <c r="G1251" s="4">
        <v>62315.256000000001</v>
      </c>
      <c r="H1251" s="5">
        <f>1 / 86400</f>
        <v>1.1574074074074073E-5</v>
      </c>
      <c r="I1251" t="s">
        <v>126</v>
      </c>
      <c r="J1251" t="s">
        <v>126</v>
      </c>
      <c r="K1251" s="5">
        <f>6 / 86400</f>
        <v>6.9444444444444444E-5</v>
      </c>
      <c r="L1251" s="5">
        <f>2 / 86400</f>
        <v>2.3148148148148147E-5</v>
      </c>
    </row>
    <row r="1252" spans="1:12" x14ac:dyDescent="0.25">
      <c r="A1252" s="3">
        <v>45698.980416666665</v>
      </c>
      <c r="B1252" t="s">
        <v>119</v>
      </c>
      <c r="C1252" s="3">
        <v>45698.985810185186</v>
      </c>
      <c r="D1252" t="s">
        <v>115</v>
      </c>
      <c r="E1252" s="4">
        <v>3.8690000000000002</v>
      </c>
      <c r="F1252" s="4">
        <v>62315.256000000001</v>
      </c>
      <c r="G1252" s="4">
        <v>62319.125</v>
      </c>
      <c r="H1252" s="5">
        <f>20 / 86400</f>
        <v>2.3148148148148149E-4</v>
      </c>
      <c r="I1252" t="s">
        <v>200</v>
      </c>
      <c r="J1252" t="s">
        <v>176</v>
      </c>
      <c r="K1252" s="5">
        <f>466 / 86400</f>
        <v>5.3935185185185188E-3</v>
      </c>
      <c r="L1252" s="5">
        <f>111 / 86400</f>
        <v>1.2847222222222223E-3</v>
      </c>
    </row>
    <row r="1253" spans="1:12" x14ac:dyDescent="0.25">
      <c r="A1253" s="3">
        <v>45698.98709490741</v>
      </c>
      <c r="B1253" t="s">
        <v>115</v>
      </c>
      <c r="C1253" s="3">
        <v>45698.987615740742</v>
      </c>
      <c r="D1253" t="s">
        <v>115</v>
      </c>
      <c r="E1253" s="4">
        <v>0</v>
      </c>
      <c r="F1253" s="4">
        <v>62319.125</v>
      </c>
      <c r="G1253" s="4">
        <v>62319.125</v>
      </c>
      <c r="H1253" s="5">
        <f>39 / 86400</f>
        <v>4.5138888888888887E-4</v>
      </c>
      <c r="I1253" t="s">
        <v>126</v>
      </c>
      <c r="J1253" t="s">
        <v>126</v>
      </c>
      <c r="K1253" s="5">
        <f>45 / 86400</f>
        <v>5.2083333333333333E-4</v>
      </c>
      <c r="L1253" s="5">
        <f>892 / 86400</f>
        <v>1.0324074074074074E-2</v>
      </c>
    </row>
    <row r="1254" spans="1:12" x14ac:dyDescent="0.25">
      <c r="A1254" s="3">
        <v>45698.997939814813</v>
      </c>
      <c r="B1254" t="s">
        <v>115</v>
      </c>
      <c r="C1254" s="3">
        <v>45698.99998842593</v>
      </c>
      <c r="D1254" t="s">
        <v>115</v>
      </c>
      <c r="E1254" s="4">
        <v>1E-3</v>
      </c>
      <c r="F1254" s="4">
        <v>62319.125</v>
      </c>
      <c r="G1254" s="4">
        <v>62319.125999999997</v>
      </c>
      <c r="H1254" s="5">
        <f>178 / 86400</f>
        <v>2.0601851851851853E-3</v>
      </c>
      <c r="I1254" t="s">
        <v>126</v>
      </c>
      <c r="J1254" t="s">
        <v>126</v>
      </c>
      <c r="K1254" s="5">
        <f>177 / 86400</f>
        <v>2.0486111111111113E-3</v>
      </c>
      <c r="L1254" s="5">
        <f>0 / 86400</f>
        <v>0</v>
      </c>
    </row>
    <row r="1255" spans="1:12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</row>
    <row r="1256" spans="1:12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</row>
    <row r="1257" spans="1:12" s="10" customFormat="1" ht="20.100000000000001" customHeight="1" x14ac:dyDescent="0.35">
      <c r="A1257" s="12" t="s">
        <v>461</v>
      </c>
      <c r="B1257" s="12"/>
      <c r="C1257" s="12"/>
      <c r="D1257" s="12"/>
      <c r="E1257" s="12"/>
      <c r="F1257" s="12"/>
      <c r="G1257" s="12"/>
      <c r="H1257" s="12"/>
      <c r="I1257" s="12"/>
      <c r="J1257" s="12"/>
    </row>
    <row r="1258" spans="1:12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</row>
    <row r="1259" spans="1:12" ht="30" x14ac:dyDescent="0.25">
      <c r="A1259" s="2" t="s">
        <v>5</v>
      </c>
      <c r="B1259" s="2" t="s">
        <v>6</v>
      </c>
      <c r="C1259" s="2" t="s">
        <v>7</v>
      </c>
      <c r="D1259" s="2" t="s">
        <v>8</v>
      </c>
      <c r="E1259" s="2" t="s">
        <v>9</v>
      </c>
      <c r="F1259" s="2" t="s">
        <v>10</v>
      </c>
      <c r="G1259" s="2" t="s">
        <v>11</v>
      </c>
      <c r="H1259" s="2" t="s">
        <v>12</v>
      </c>
      <c r="I1259" s="2" t="s">
        <v>13</v>
      </c>
      <c r="J1259" s="2" t="s">
        <v>14</v>
      </c>
      <c r="K1259" s="2" t="s">
        <v>15</v>
      </c>
      <c r="L1259" s="2" t="s">
        <v>16</v>
      </c>
    </row>
    <row r="1260" spans="1:12" x14ac:dyDescent="0.25">
      <c r="A1260" s="3">
        <v>45698</v>
      </c>
      <c r="B1260" t="s">
        <v>118</v>
      </c>
      <c r="C1260" s="3">
        <v>45698.14675925926</v>
      </c>
      <c r="D1260" t="s">
        <v>44</v>
      </c>
      <c r="E1260" s="4">
        <v>53.917999999999999</v>
      </c>
      <c r="F1260" s="4">
        <v>291157.228</v>
      </c>
      <c r="G1260" s="4">
        <v>291211.14600000001</v>
      </c>
      <c r="H1260" s="5">
        <f>6080 / 86400</f>
        <v>7.0370370370370375E-2</v>
      </c>
      <c r="I1260" t="s">
        <v>346</v>
      </c>
      <c r="J1260" t="s">
        <v>57</v>
      </c>
      <c r="K1260" s="5">
        <f>12680 / 86400</f>
        <v>0.14675925925925926</v>
      </c>
      <c r="L1260" s="5">
        <f>3490 / 86400</f>
        <v>4.0393518518518516E-2</v>
      </c>
    </row>
    <row r="1261" spans="1:12" x14ac:dyDescent="0.25">
      <c r="A1261" s="3">
        <v>45698.187152777777</v>
      </c>
      <c r="B1261" t="s">
        <v>128</v>
      </c>
      <c r="C1261" s="3">
        <v>45698.203182870369</v>
      </c>
      <c r="D1261" t="s">
        <v>128</v>
      </c>
      <c r="E1261" s="4">
        <v>2.7E-2</v>
      </c>
      <c r="F1261" s="4">
        <v>291211.14600000001</v>
      </c>
      <c r="G1261" s="4">
        <v>291211.17300000001</v>
      </c>
      <c r="H1261" s="5">
        <f>1319 / 86400</f>
        <v>1.5266203703703704E-2</v>
      </c>
      <c r="I1261" t="s">
        <v>125</v>
      </c>
      <c r="J1261" t="s">
        <v>126</v>
      </c>
      <c r="K1261" s="5">
        <f>1385 / 86400</f>
        <v>1.6030092592592592E-2</v>
      </c>
      <c r="L1261" s="5">
        <f>684 / 86400</f>
        <v>7.9166666666666673E-3</v>
      </c>
    </row>
    <row r="1262" spans="1:12" x14ac:dyDescent="0.25">
      <c r="A1262" s="3">
        <v>45698.211099537039</v>
      </c>
      <c r="B1262" t="s">
        <v>128</v>
      </c>
      <c r="C1262" s="3">
        <v>45698.211967592593</v>
      </c>
      <c r="D1262" t="s">
        <v>44</v>
      </c>
      <c r="E1262" s="4">
        <v>4.1000000000000002E-2</v>
      </c>
      <c r="F1262" s="4">
        <v>291211.17300000001</v>
      </c>
      <c r="G1262" s="4">
        <v>291211.21399999998</v>
      </c>
      <c r="H1262" s="5">
        <f>0 / 86400</f>
        <v>0</v>
      </c>
      <c r="I1262" t="s">
        <v>125</v>
      </c>
      <c r="J1262" t="s">
        <v>132</v>
      </c>
      <c r="K1262" s="5">
        <f>75 / 86400</f>
        <v>8.6805555555555551E-4</v>
      </c>
      <c r="L1262" s="5">
        <f>11690 / 86400</f>
        <v>0.13530092592592594</v>
      </c>
    </row>
    <row r="1263" spans="1:12" x14ac:dyDescent="0.25">
      <c r="A1263" s="3">
        <v>45698.347268518519</v>
      </c>
      <c r="B1263" t="s">
        <v>44</v>
      </c>
      <c r="C1263" s="3">
        <v>45698.349583333329</v>
      </c>
      <c r="D1263" t="s">
        <v>92</v>
      </c>
      <c r="E1263" s="4">
        <v>0.105</v>
      </c>
      <c r="F1263" s="4">
        <v>291211.21399999998</v>
      </c>
      <c r="G1263" s="4">
        <v>291211.31900000002</v>
      </c>
      <c r="H1263" s="5">
        <f>79 / 86400</f>
        <v>9.1435185185185185E-4</v>
      </c>
      <c r="I1263" t="s">
        <v>61</v>
      </c>
      <c r="J1263" t="s">
        <v>132</v>
      </c>
      <c r="K1263" s="5">
        <f>200 / 86400</f>
        <v>2.3148148148148147E-3</v>
      </c>
      <c r="L1263" s="5">
        <f>5848 / 86400</f>
        <v>6.7685185185185182E-2</v>
      </c>
    </row>
    <row r="1264" spans="1:12" x14ac:dyDescent="0.25">
      <c r="A1264" s="3">
        <v>45698.417268518519</v>
      </c>
      <c r="B1264" t="s">
        <v>92</v>
      </c>
      <c r="C1264" s="3">
        <v>45698.435798611114</v>
      </c>
      <c r="D1264" t="s">
        <v>92</v>
      </c>
      <c r="E1264" s="4">
        <v>6.3E-2</v>
      </c>
      <c r="F1264" s="4">
        <v>291211.31900000002</v>
      </c>
      <c r="G1264" s="4">
        <v>291211.38199999998</v>
      </c>
      <c r="H1264" s="5">
        <f>1520 / 86400</f>
        <v>1.7592592592592594E-2</v>
      </c>
      <c r="I1264" t="s">
        <v>125</v>
      </c>
      <c r="J1264" t="s">
        <v>126</v>
      </c>
      <c r="K1264" s="5">
        <f>1601 / 86400</f>
        <v>1.8530092592592591E-2</v>
      </c>
      <c r="L1264" s="5">
        <f>4342 / 86400</f>
        <v>5.0254629629629628E-2</v>
      </c>
    </row>
    <row r="1265" spans="1:12" x14ac:dyDescent="0.25">
      <c r="A1265" s="3">
        <v>45698.48605324074</v>
      </c>
      <c r="B1265" t="s">
        <v>92</v>
      </c>
      <c r="C1265" s="3">
        <v>45698.486273148148</v>
      </c>
      <c r="D1265" t="s">
        <v>92</v>
      </c>
      <c r="E1265" s="4">
        <v>0</v>
      </c>
      <c r="F1265" s="4">
        <v>291211.38199999998</v>
      </c>
      <c r="G1265" s="4">
        <v>291211.38199999998</v>
      </c>
      <c r="H1265" s="5">
        <f>0 / 86400</f>
        <v>0</v>
      </c>
      <c r="I1265" t="s">
        <v>126</v>
      </c>
      <c r="J1265" t="s">
        <v>126</v>
      </c>
      <c r="K1265" s="5">
        <f>19 / 86400</f>
        <v>2.199074074074074E-4</v>
      </c>
      <c r="L1265" s="5">
        <f>7407 / 86400</f>
        <v>8.5729166666666662E-2</v>
      </c>
    </row>
    <row r="1266" spans="1:12" x14ac:dyDescent="0.25">
      <c r="A1266" s="3">
        <v>45698.572002314817</v>
      </c>
      <c r="B1266" t="s">
        <v>92</v>
      </c>
      <c r="C1266" s="3">
        <v>45698.99998842593</v>
      </c>
      <c r="D1266" t="s">
        <v>119</v>
      </c>
      <c r="E1266" s="4">
        <v>150.95400000000001</v>
      </c>
      <c r="F1266" s="4">
        <v>291211.38199999998</v>
      </c>
      <c r="G1266" s="4">
        <v>291362.33600000001</v>
      </c>
      <c r="H1266" s="5">
        <f>19158 / 86400</f>
        <v>0.22173611111111111</v>
      </c>
      <c r="I1266" t="s">
        <v>116</v>
      </c>
      <c r="J1266" t="s">
        <v>57</v>
      </c>
      <c r="K1266" s="5">
        <f>36978 / 86400</f>
        <v>0.42798611111111112</v>
      </c>
      <c r="L1266" s="5">
        <f>0 / 86400</f>
        <v>0</v>
      </c>
    </row>
    <row r="1267" spans="1:12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</row>
    <row r="1268" spans="1:12" x14ac:dyDescent="0.25">
      <c r="A1268" s="11" t="s">
        <v>121</v>
      </c>
      <c r="B1268" s="11"/>
      <c r="C1268" s="11"/>
      <c r="D1268" s="11"/>
      <c r="E1268" s="11"/>
      <c r="F1268" s="11"/>
      <c r="G1268" s="11"/>
      <c r="H1268" s="11"/>
      <c r="I1268" s="11"/>
      <c r="J1268" s="11"/>
    </row>
  </sheetData>
  <mergeCells count="262">
    <mergeCell ref="A1:J1"/>
    <mergeCell ref="A2:J2"/>
    <mergeCell ref="A3:J3"/>
    <mergeCell ref="A4:J4"/>
    <mergeCell ref="A5:J5"/>
    <mergeCell ref="A6:J6"/>
    <mergeCell ref="A72:J72"/>
    <mergeCell ref="A73:J73"/>
    <mergeCell ref="A74:J74"/>
    <mergeCell ref="A75:J75"/>
    <mergeCell ref="A76:J76"/>
    <mergeCell ref="A77:J77"/>
    <mergeCell ref="A91:J91"/>
    <mergeCell ref="A92:J92"/>
    <mergeCell ref="A93:J93"/>
    <mergeCell ref="A94:J94"/>
    <mergeCell ref="A108:J108"/>
    <mergeCell ref="A109:J109"/>
    <mergeCell ref="A110:J110"/>
    <mergeCell ref="A111:J111"/>
    <mergeCell ref="A128:J128"/>
    <mergeCell ref="A129:J129"/>
    <mergeCell ref="A130:J130"/>
    <mergeCell ref="A131:J131"/>
    <mergeCell ref="A146:J146"/>
    <mergeCell ref="A147:J147"/>
    <mergeCell ref="A148:J148"/>
    <mergeCell ref="A149:J149"/>
    <mergeCell ref="A159:J159"/>
    <mergeCell ref="A160:J160"/>
    <mergeCell ref="A161:J161"/>
    <mergeCell ref="A162:J162"/>
    <mergeCell ref="A174:J174"/>
    <mergeCell ref="A175:J175"/>
    <mergeCell ref="A176:J176"/>
    <mergeCell ref="A177:J177"/>
    <mergeCell ref="A405:J405"/>
    <mergeCell ref="A406:J406"/>
    <mergeCell ref="A407:J407"/>
    <mergeCell ref="A408:J408"/>
    <mergeCell ref="A413:J413"/>
    <mergeCell ref="A414:J414"/>
    <mergeCell ref="A415:J415"/>
    <mergeCell ref="A416:J416"/>
    <mergeCell ref="A427:J427"/>
    <mergeCell ref="A428:J428"/>
    <mergeCell ref="A429:J429"/>
    <mergeCell ref="A430:J430"/>
    <mergeCell ref="A444:J444"/>
    <mergeCell ref="A445:J445"/>
    <mergeCell ref="A446:J446"/>
    <mergeCell ref="A447:J447"/>
    <mergeCell ref="A451:J451"/>
    <mergeCell ref="A452:J452"/>
    <mergeCell ref="A453:J453"/>
    <mergeCell ref="A454:J454"/>
    <mergeCell ref="A475:J475"/>
    <mergeCell ref="A476:J476"/>
    <mergeCell ref="A477:J477"/>
    <mergeCell ref="A478:J478"/>
    <mergeCell ref="A502:J502"/>
    <mergeCell ref="A503:J503"/>
    <mergeCell ref="A504:J504"/>
    <mergeCell ref="A505:J505"/>
    <mergeCell ref="A518:J518"/>
    <mergeCell ref="A519:J519"/>
    <mergeCell ref="A520:J520"/>
    <mergeCell ref="A521:J521"/>
    <mergeCell ref="A533:J533"/>
    <mergeCell ref="A534:J534"/>
    <mergeCell ref="A535:J535"/>
    <mergeCell ref="A536:J536"/>
    <mergeCell ref="A552:J552"/>
    <mergeCell ref="A553:J553"/>
    <mergeCell ref="A554:J554"/>
    <mergeCell ref="A555:J555"/>
    <mergeCell ref="A567:J567"/>
    <mergeCell ref="A568:J568"/>
    <mergeCell ref="A569:J569"/>
    <mergeCell ref="A570:J570"/>
    <mergeCell ref="A583:J583"/>
    <mergeCell ref="A584:J584"/>
    <mergeCell ref="A585:J585"/>
    <mergeCell ref="A586:J586"/>
    <mergeCell ref="A595:J595"/>
    <mergeCell ref="A596:J596"/>
    <mergeCell ref="A597:J597"/>
    <mergeCell ref="A598:J598"/>
    <mergeCell ref="A618:J618"/>
    <mergeCell ref="A619:J619"/>
    <mergeCell ref="A620:J620"/>
    <mergeCell ref="A621:J621"/>
    <mergeCell ref="A624:J624"/>
    <mergeCell ref="A625:J625"/>
    <mergeCell ref="A626:J626"/>
    <mergeCell ref="A627:J627"/>
    <mergeCell ref="A634:J634"/>
    <mergeCell ref="A635:J635"/>
    <mergeCell ref="A636:J636"/>
    <mergeCell ref="A637:J637"/>
    <mergeCell ref="A650:J650"/>
    <mergeCell ref="A651:J651"/>
    <mergeCell ref="A652:J652"/>
    <mergeCell ref="A653:J653"/>
    <mergeCell ref="A664:J664"/>
    <mergeCell ref="A665:J665"/>
    <mergeCell ref="A666:J666"/>
    <mergeCell ref="A667:J667"/>
    <mergeCell ref="A671:J671"/>
    <mergeCell ref="A672:J672"/>
    <mergeCell ref="A673:J673"/>
    <mergeCell ref="A674:J674"/>
    <mergeCell ref="A681:J681"/>
    <mergeCell ref="A682:J682"/>
    <mergeCell ref="A683:J683"/>
    <mergeCell ref="A684:J684"/>
    <mergeCell ref="A691:J691"/>
    <mergeCell ref="A692:J692"/>
    <mergeCell ref="A693:J693"/>
    <mergeCell ref="A694:J694"/>
    <mergeCell ref="A705:J705"/>
    <mergeCell ref="A706:J706"/>
    <mergeCell ref="A707:J707"/>
    <mergeCell ref="A708:J708"/>
    <mergeCell ref="A734:J734"/>
    <mergeCell ref="A735:J735"/>
    <mergeCell ref="A736:J736"/>
    <mergeCell ref="A737:J737"/>
    <mergeCell ref="A754:J754"/>
    <mergeCell ref="A755:J755"/>
    <mergeCell ref="A756:J756"/>
    <mergeCell ref="A757:J757"/>
    <mergeCell ref="A773:J773"/>
    <mergeCell ref="A774:J774"/>
    <mergeCell ref="A775:J775"/>
    <mergeCell ref="A776:J776"/>
    <mergeCell ref="A802:J802"/>
    <mergeCell ref="A803:J803"/>
    <mergeCell ref="A804:J804"/>
    <mergeCell ref="A805:J805"/>
    <mergeCell ref="A808:J808"/>
    <mergeCell ref="A809:J809"/>
    <mergeCell ref="A810:J810"/>
    <mergeCell ref="A811:J811"/>
    <mergeCell ref="A832:J832"/>
    <mergeCell ref="A833:J833"/>
    <mergeCell ref="A834:J834"/>
    <mergeCell ref="A835:J835"/>
    <mergeCell ref="A840:J840"/>
    <mergeCell ref="A841:J841"/>
    <mergeCell ref="A842:J842"/>
    <mergeCell ref="A843:J843"/>
    <mergeCell ref="A853:J853"/>
    <mergeCell ref="A854:J854"/>
    <mergeCell ref="A855:J855"/>
    <mergeCell ref="A856:J856"/>
    <mergeCell ref="A871:J871"/>
    <mergeCell ref="A872:J872"/>
    <mergeCell ref="A873:J873"/>
    <mergeCell ref="A874:J874"/>
    <mergeCell ref="A903:J903"/>
    <mergeCell ref="A904:J904"/>
    <mergeCell ref="A905:J905"/>
    <mergeCell ref="A906:J906"/>
    <mergeCell ref="A920:J920"/>
    <mergeCell ref="A921:J921"/>
    <mergeCell ref="A922:J922"/>
    <mergeCell ref="A923:J923"/>
    <mergeCell ref="A926:J926"/>
    <mergeCell ref="A927:J927"/>
    <mergeCell ref="A928:J928"/>
    <mergeCell ref="A929:J929"/>
    <mergeCell ref="A938:J938"/>
    <mergeCell ref="A939:J939"/>
    <mergeCell ref="A940:J940"/>
    <mergeCell ref="A941:J941"/>
    <mergeCell ref="A952:J952"/>
    <mergeCell ref="A953:J953"/>
    <mergeCell ref="A954:J954"/>
    <mergeCell ref="A955:J955"/>
    <mergeCell ref="A971:J971"/>
    <mergeCell ref="A972:J972"/>
    <mergeCell ref="A973:J973"/>
    <mergeCell ref="A974:J974"/>
    <mergeCell ref="A982:J982"/>
    <mergeCell ref="A983:J983"/>
    <mergeCell ref="A984:J984"/>
    <mergeCell ref="A985:J985"/>
    <mergeCell ref="A990:J990"/>
    <mergeCell ref="A991:J991"/>
    <mergeCell ref="A992:J992"/>
    <mergeCell ref="A993:J993"/>
    <mergeCell ref="A1011:J1011"/>
    <mergeCell ref="A1012:J1012"/>
    <mergeCell ref="A1013:J1013"/>
    <mergeCell ref="A1014:J1014"/>
    <mergeCell ref="A1027:J1027"/>
    <mergeCell ref="A1028:J1028"/>
    <mergeCell ref="A1029:J1029"/>
    <mergeCell ref="A1030:J1030"/>
    <mergeCell ref="A1039:J1039"/>
    <mergeCell ref="A1040:J1040"/>
    <mergeCell ref="A1041:J1041"/>
    <mergeCell ref="A1042:J1042"/>
    <mergeCell ref="A1056:J1056"/>
    <mergeCell ref="A1057:J1057"/>
    <mergeCell ref="A1058:J1058"/>
    <mergeCell ref="A1059:J1059"/>
    <mergeCell ref="A1065:J1065"/>
    <mergeCell ref="A1066:J1066"/>
    <mergeCell ref="A1067:J1067"/>
    <mergeCell ref="A1068:J1068"/>
    <mergeCell ref="A1074:J1074"/>
    <mergeCell ref="A1075:J1075"/>
    <mergeCell ref="A1076:J1076"/>
    <mergeCell ref="A1077:J1077"/>
    <mergeCell ref="A1086:J1086"/>
    <mergeCell ref="A1087:J1087"/>
    <mergeCell ref="A1088:J1088"/>
    <mergeCell ref="A1089:J1089"/>
    <mergeCell ref="A1102:J1102"/>
    <mergeCell ref="A1103:J1103"/>
    <mergeCell ref="A1104:J1104"/>
    <mergeCell ref="A1105:J1105"/>
    <mergeCell ref="A1114:J1114"/>
    <mergeCell ref="A1115:J1115"/>
    <mergeCell ref="A1116:J1116"/>
    <mergeCell ref="A1117:J1117"/>
    <mergeCell ref="A1127:J1127"/>
    <mergeCell ref="A1128:J1128"/>
    <mergeCell ref="A1129:J1129"/>
    <mergeCell ref="A1130:J1130"/>
    <mergeCell ref="A1137:J1137"/>
    <mergeCell ref="A1138:J1138"/>
    <mergeCell ref="A1139:J1139"/>
    <mergeCell ref="A1140:J1140"/>
    <mergeCell ref="A1154:J1154"/>
    <mergeCell ref="A1155:J1155"/>
    <mergeCell ref="A1156:J1156"/>
    <mergeCell ref="A1157:J1157"/>
    <mergeCell ref="A1178:J1178"/>
    <mergeCell ref="A1179:J1179"/>
    <mergeCell ref="A1180:J1180"/>
    <mergeCell ref="A1181:J1181"/>
    <mergeCell ref="A1191:J1191"/>
    <mergeCell ref="A1192:J1192"/>
    <mergeCell ref="A1193:J1193"/>
    <mergeCell ref="A1194:J1194"/>
    <mergeCell ref="A1212:J1212"/>
    <mergeCell ref="A1213:J1213"/>
    <mergeCell ref="A1214:J1214"/>
    <mergeCell ref="A1267:J1267"/>
    <mergeCell ref="A1268:J1268"/>
    <mergeCell ref="A1215:J1215"/>
    <mergeCell ref="A1238:J1238"/>
    <mergeCell ref="A1239:J1239"/>
    <mergeCell ref="A1240:J1240"/>
    <mergeCell ref="A1241:J1241"/>
    <mergeCell ref="A1255:J1255"/>
    <mergeCell ref="A1256:J1256"/>
    <mergeCell ref="A1257:J1257"/>
    <mergeCell ref="A1258:J125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2025-09-22T19:52:19Z</dcterms:created>
  <dcterms:modified xsi:type="dcterms:W3CDTF">2025-09-23T05:48:24Z</dcterms:modified>
</cp:coreProperties>
</file>