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codeName="ThisWorkbook"/>
  <xr:revisionPtr revIDLastSave="0" documentId="13_ncr:1_{068B4810-701F-4E7C-8373-2419C5E34019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L991" i="1" l="1"/>
  <c r="K991" i="1"/>
  <c r="H991" i="1"/>
  <c r="L985" i="1"/>
  <c r="K985" i="1"/>
  <c r="H985" i="1"/>
  <c r="L984" i="1"/>
  <c r="K984" i="1"/>
  <c r="H984" i="1"/>
  <c r="L983" i="1"/>
  <c r="K983" i="1"/>
  <c r="H983" i="1"/>
  <c r="L982" i="1"/>
  <c r="K982" i="1"/>
  <c r="H982" i="1"/>
  <c r="L981" i="1"/>
  <c r="K981" i="1"/>
  <c r="H981" i="1"/>
  <c r="L980" i="1"/>
  <c r="K980" i="1"/>
  <c r="H980" i="1"/>
  <c r="L979" i="1"/>
  <c r="K979" i="1"/>
  <c r="H979" i="1"/>
  <c r="L973" i="1"/>
  <c r="K973" i="1"/>
  <c r="H973" i="1"/>
  <c r="L972" i="1"/>
  <c r="K972" i="1"/>
  <c r="H972" i="1"/>
  <c r="L971" i="1"/>
  <c r="K971" i="1"/>
  <c r="H971" i="1"/>
  <c r="L970" i="1"/>
  <c r="K970" i="1"/>
  <c r="H970" i="1"/>
  <c r="L969" i="1"/>
  <c r="K969" i="1"/>
  <c r="H969" i="1"/>
  <c r="L968" i="1"/>
  <c r="K968" i="1"/>
  <c r="H968" i="1"/>
  <c r="L967" i="1"/>
  <c r="K967" i="1"/>
  <c r="H967" i="1"/>
  <c r="L966" i="1"/>
  <c r="K966" i="1"/>
  <c r="H966" i="1"/>
  <c r="L965" i="1"/>
  <c r="K965" i="1"/>
  <c r="H965" i="1"/>
  <c r="L964" i="1"/>
  <c r="K964" i="1"/>
  <c r="H964" i="1"/>
  <c r="L963" i="1"/>
  <c r="K963" i="1"/>
  <c r="H963" i="1"/>
  <c r="L962" i="1"/>
  <c r="K962" i="1"/>
  <c r="H962" i="1"/>
  <c r="L961" i="1"/>
  <c r="K961" i="1"/>
  <c r="H961" i="1"/>
  <c r="L960" i="1"/>
  <c r="K960" i="1"/>
  <c r="H960" i="1"/>
  <c r="L959" i="1"/>
  <c r="K959" i="1"/>
  <c r="H959" i="1"/>
  <c r="L958" i="1"/>
  <c r="K958" i="1"/>
  <c r="H958" i="1"/>
  <c r="L957" i="1"/>
  <c r="K957" i="1"/>
  <c r="H957" i="1"/>
  <c r="L956" i="1"/>
  <c r="K956" i="1"/>
  <c r="H956" i="1"/>
  <c r="L955" i="1"/>
  <c r="K955" i="1"/>
  <c r="H955" i="1"/>
  <c r="L954" i="1"/>
  <c r="K954" i="1"/>
  <c r="H954" i="1"/>
  <c r="L953" i="1"/>
  <c r="K953" i="1"/>
  <c r="H953" i="1"/>
  <c r="L952" i="1"/>
  <c r="K952" i="1"/>
  <c r="H952" i="1"/>
  <c r="L946" i="1"/>
  <c r="K946" i="1"/>
  <c r="H946" i="1"/>
  <c r="L945" i="1"/>
  <c r="K945" i="1"/>
  <c r="H945" i="1"/>
  <c r="L944" i="1"/>
  <c r="K944" i="1"/>
  <c r="H944" i="1"/>
  <c r="L943" i="1"/>
  <c r="K943" i="1"/>
  <c r="H943" i="1"/>
  <c r="L942" i="1"/>
  <c r="K942" i="1"/>
  <c r="H942" i="1"/>
  <c r="L941" i="1"/>
  <c r="K941" i="1"/>
  <c r="H941" i="1"/>
  <c r="L940" i="1"/>
  <c r="K940" i="1"/>
  <c r="H940" i="1"/>
  <c r="L939" i="1"/>
  <c r="K939" i="1"/>
  <c r="H939" i="1"/>
  <c r="L938" i="1"/>
  <c r="K938" i="1"/>
  <c r="H938" i="1"/>
  <c r="L937" i="1"/>
  <c r="K937" i="1"/>
  <c r="H937" i="1"/>
  <c r="L936" i="1"/>
  <c r="K936" i="1"/>
  <c r="H936" i="1"/>
  <c r="L935" i="1"/>
  <c r="K935" i="1"/>
  <c r="H935" i="1"/>
  <c r="L934" i="1"/>
  <c r="K934" i="1"/>
  <c r="H934" i="1"/>
  <c r="L933" i="1"/>
  <c r="K933" i="1"/>
  <c r="H933" i="1"/>
  <c r="L932" i="1"/>
  <c r="K932" i="1"/>
  <c r="H932" i="1"/>
  <c r="L931" i="1"/>
  <c r="K931" i="1"/>
  <c r="H931" i="1"/>
  <c r="L930" i="1"/>
  <c r="K930" i="1"/>
  <c r="H930" i="1"/>
  <c r="L929" i="1"/>
  <c r="K929" i="1"/>
  <c r="H929" i="1"/>
  <c r="L928" i="1"/>
  <c r="K928" i="1"/>
  <c r="H928" i="1"/>
  <c r="L922" i="1"/>
  <c r="K922" i="1"/>
  <c r="H922" i="1"/>
  <c r="L921" i="1"/>
  <c r="K921" i="1"/>
  <c r="H921" i="1"/>
  <c r="L920" i="1"/>
  <c r="K920" i="1"/>
  <c r="H920" i="1"/>
  <c r="L919" i="1"/>
  <c r="K919" i="1"/>
  <c r="H919" i="1"/>
  <c r="L918" i="1"/>
  <c r="K918" i="1"/>
  <c r="H918" i="1"/>
  <c r="L917" i="1"/>
  <c r="K917" i="1"/>
  <c r="H917" i="1"/>
  <c r="L916" i="1"/>
  <c r="K916" i="1"/>
  <c r="H916" i="1"/>
  <c r="L910" i="1"/>
  <c r="K910" i="1"/>
  <c r="H910" i="1"/>
  <c r="L909" i="1"/>
  <c r="K909" i="1"/>
  <c r="H909" i="1"/>
  <c r="L908" i="1"/>
  <c r="K908" i="1"/>
  <c r="H908" i="1"/>
  <c r="L907" i="1"/>
  <c r="K907" i="1"/>
  <c r="H907" i="1"/>
  <c r="L906" i="1"/>
  <c r="K906" i="1"/>
  <c r="H906" i="1"/>
  <c r="L905" i="1"/>
  <c r="K905" i="1"/>
  <c r="H905" i="1"/>
  <c r="L904" i="1"/>
  <c r="K904" i="1"/>
  <c r="H904" i="1"/>
  <c r="L903" i="1"/>
  <c r="K903" i="1"/>
  <c r="H903" i="1"/>
  <c r="L902" i="1"/>
  <c r="K902" i="1"/>
  <c r="H902" i="1"/>
  <c r="L901" i="1"/>
  <c r="K901" i="1"/>
  <c r="H901" i="1"/>
  <c r="L900" i="1"/>
  <c r="K900" i="1"/>
  <c r="H900" i="1"/>
  <c r="L899" i="1"/>
  <c r="K899" i="1"/>
  <c r="H899" i="1"/>
  <c r="L898" i="1"/>
  <c r="K898" i="1"/>
  <c r="H898" i="1"/>
  <c r="L897" i="1"/>
  <c r="K897" i="1"/>
  <c r="H897" i="1"/>
  <c r="L891" i="1"/>
  <c r="K891" i="1"/>
  <c r="H891" i="1"/>
  <c r="L890" i="1"/>
  <c r="K890" i="1"/>
  <c r="H890" i="1"/>
  <c r="L889" i="1"/>
  <c r="K889" i="1"/>
  <c r="H889" i="1"/>
  <c r="L888" i="1"/>
  <c r="K888" i="1"/>
  <c r="H888" i="1"/>
  <c r="L887" i="1"/>
  <c r="K887" i="1"/>
  <c r="H887" i="1"/>
  <c r="L886" i="1"/>
  <c r="K886" i="1"/>
  <c r="H886" i="1"/>
  <c r="L885" i="1"/>
  <c r="K885" i="1"/>
  <c r="H885" i="1"/>
  <c r="L879" i="1"/>
  <c r="K879" i="1"/>
  <c r="H879" i="1"/>
  <c r="L878" i="1"/>
  <c r="K878" i="1"/>
  <c r="H878" i="1"/>
  <c r="L877" i="1"/>
  <c r="K877" i="1"/>
  <c r="H877" i="1"/>
  <c r="L876" i="1"/>
  <c r="K876" i="1"/>
  <c r="H876" i="1"/>
  <c r="L875" i="1"/>
  <c r="K875" i="1"/>
  <c r="H875" i="1"/>
  <c r="L869" i="1"/>
  <c r="K869" i="1"/>
  <c r="H869" i="1"/>
  <c r="L868" i="1"/>
  <c r="K868" i="1"/>
  <c r="H868" i="1"/>
  <c r="L867" i="1"/>
  <c r="K867" i="1"/>
  <c r="H867" i="1"/>
  <c r="L866" i="1"/>
  <c r="K866" i="1"/>
  <c r="H866" i="1"/>
  <c r="L865" i="1"/>
  <c r="K865" i="1"/>
  <c r="H865" i="1"/>
  <c r="L864" i="1"/>
  <c r="K864" i="1"/>
  <c r="H864" i="1"/>
  <c r="L863" i="1"/>
  <c r="K863" i="1"/>
  <c r="H863" i="1"/>
  <c r="L862" i="1"/>
  <c r="K862" i="1"/>
  <c r="H862" i="1"/>
  <c r="L856" i="1"/>
  <c r="K856" i="1"/>
  <c r="H856" i="1"/>
  <c r="L855" i="1"/>
  <c r="K855" i="1"/>
  <c r="H855" i="1"/>
  <c r="L854" i="1"/>
  <c r="K854" i="1"/>
  <c r="H854" i="1"/>
  <c r="L853" i="1"/>
  <c r="K853" i="1"/>
  <c r="H853" i="1"/>
  <c r="L852" i="1"/>
  <c r="K852" i="1"/>
  <c r="H852" i="1"/>
  <c r="L846" i="1"/>
  <c r="K846" i="1"/>
  <c r="H846" i="1"/>
  <c r="L845" i="1"/>
  <c r="K845" i="1"/>
  <c r="H845" i="1"/>
  <c r="L844" i="1"/>
  <c r="K844" i="1"/>
  <c r="H844" i="1"/>
  <c r="L843" i="1"/>
  <c r="K843" i="1"/>
  <c r="H843" i="1"/>
  <c r="L842" i="1"/>
  <c r="K842" i="1"/>
  <c r="H842" i="1"/>
  <c r="L841" i="1"/>
  <c r="K841" i="1"/>
  <c r="H841" i="1"/>
  <c r="L840" i="1"/>
  <c r="K840" i="1"/>
  <c r="H840" i="1"/>
  <c r="L834" i="1"/>
  <c r="K834" i="1"/>
  <c r="H834" i="1"/>
  <c r="L833" i="1"/>
  <c r="K833" i="1"/>
  <c r="H833" i="1"/>
  <c r="L832" i="1"/>
  <c r="K832" i="1"/>
  <c r="H832" i="1"/>
  <c r="L831" i="1"/>
  <c r="K831" i="1"/>
  <c r="H831" i="1"/>
  <c r="L830" i="1"/>
  <c r="K830" i="1"/>
  <c r="H830" i="1"/>
  <c r="L829" i="1"/>
  <c r="K829" i="1"/>
  <c r="H829" i="1"/>
  <c r="L828" i="1"/>
  <c r="K828" i="1"/>
  <c r="H828" i="1"/>
  <c r="L827" i="1"/>
  <c r="K827" i="1"/>
  <c r="H827" i="1"/>
  <c r="L821" i="1"/>
  <c r="K821" i="1"/>
  <c r="H821" i="1"/>
  <c r="L820" i="1"/>
  <c r="K820" i="1"/>
  <c r="H820" i="1"/>
  <c r="L819" i="1"/>
  <c r="K819" i="1"/>
  <c r="H819" i="1"/>
  <c r="L818" i="1"/>
  <c r="K818" i="1"/>
  <c r="H818" i="1"/>
  <c r="L817" i="1"/>
  <c r="K817" i="1"/>
  <c r="H817" i="1"/>
  <c r="L816" i="1"/>
  <c r="K816" i="1"/>
  <c r="H816" i="1"/>
  <c r="L815" i="1"/>
  <c r="K815" i="1"/>
  <c r="H815" i="1"/>
  <c r="L814" i="1"/>
  <c r="K814" i="1"/>
  <c r="H814" i="1"/>
  <c r="L813" i="1"/>
  <c r="K813" i="1"/>
  <c r="H813" i="1"/>
  <c r="L812" i="1"/>
  <c r="K812" i="1"/>
  <c r="H812" i="1"/>
  <c r="L811" i="1"/>
  <c r="K811" i="1"/>
  <c r="H811" i="1"/>
  <c r="L810" i="1"/>
  <c r="K810" i="1"/>
  <c r="H810" i="1"/>
  <c r="L809" i="1"/>
  <c r="K809" i="1"/>
  <c r="H809" i="1"/>
  <c r="L808" i="1"/>
  <c r="K808" i="1"/>
  <c r="H808" i="1"/>
  <c r="L802" i="1"/>
  <c r="K802" i="1"/>
  <c r="H802" i="1"/>
  <c r="L801" i="1"/>
  <c r="K801" i="1"/>
  <c r="H801" i="1"/>
  <c r="L800" i="1"/>
  <c r="K800" i="1"/>
  <c r="H800" i="1"/>
  <c r="L799" i="1"/>
  <c r="K799" i="1"/>
  <c r="H799" i="1"/>
  <c r="L798" i="1"/>
  <c r="K798" i="1"/>
  <c r="H798" i="1"/>
  <c r="L797" i="1"/>
  <c r="K797" i="1"/>
  <c r="H797" i="1"/>
  <c r="L796" i="1"/>
  <c r="K796" i="1"/>
  <c r="H796" i="1"/>
  <c r="L790" i="1"/>
  <c r="K790" i="1"/>
  <c r="H790" i="1"/>
  <c r="L789" i="1"/>
  <c r="K789" i="1"/>
  <c r="H789" i="1"/>
  <c r="L788" i="1"/>
  <c r="K788" i="1"/>
  <c r="H788" i="1"/>
  <c r="L787" i="1"/>
  <c r="K787" i="1"/>
  <c r="H787" i="1"/>
  <c r="L786" i="1"/>
  <c r="K786" i="1"/>
  <c r="H786" i="1"/>
  <c r="L785" i="1"/>
  <c r="K785" i="1"/>
  <c r="H785" i="1"/>
  <c r="L784" i="1"/>
  <c r="K784" i="1"/>
  <c r="H784" i="1"/>
  <c r="L783" i="1"/>
  <c r="K783" i="1"/>
  <c r="H783" i="1"/>
  <c r="L782" i="1"/>
  <c r="K782" i="1"/>
  <c r="H782" i="1"/>
  <c r="L781" i="1"/>
  <c r="K781" i="1"/>
  <c r="H781" i="1"/>
  <c r="L780" i="1"/>
  <c r="K780" i="1"/>
  <c r="H780" i="1"/>
  <c r="L779" i="1"/>
  <c r="K779" i="1"/>
  <c r="H779" i="1"/>
  <c r="L778" i="1"/>
  <c r="K778" i="1"/>
  <c r="H778" i="1"/>
  <c r="L777" i="1"/>
  <c r="K777" i="1"/>
  <c r="H777" i="1"/>
  <c r="L771" i="1"/>
  <c r="K771" i="1"/>
  <c r="H771" i="1"/>
  <c r="L770" i="1"/>
  <c r="K770" i="1"/>
  <c r="H770" i="1"/>
  <c r="L769" i="1"/>
  <c r="K769" i="1"/>
  <c r="H769" i="1"/>
  <c r="L768" i="1"/>
  <c r="K768" i="1"/>
  <c r="H768" i="1"/>
  <c r="L767" i="1"/>
  <c r="K767" i="1"/>
  <c r="H767" i="1"/>
  <c r="L766" i="1"/>
  <c r="K766" i="1"/>
  <c r="H766" i="1"/>
  <c r="L765" i="1"/>
  <c r="K765" i="1"/>
  <c r="H765" i="1"/>
  <c r="L764" i="1"/>
  <c r="K764" i="1"/>
  <c r="H764" i="1"/>
  <c r="L763" i="1"/>
  <c r="K763" i="1"/>
  <c r="H763" i="1"/>
  <c r="L762" i="1"/>
  <c r="K762" i="1"/>
  <c r="H762" i="1"/>
  <c r="L761" i="1"/>
  <c r="K761" i="1"/>
  <c r="H761" i="1"/>
  <c r="L760" i="1"/>
  <c r="K760" i="1"/>
  <c r="H760" i="1"/>
  <c r="L759" i="1"/>
  <c r="K759" i="1"/>
  <c r="H759" i="1"/>
  <c r="L758" i="1"/>
  <c r="K758" i="1"/>
  <c r="H758" i="1"/>
  <c r="L757" i="1"/>
  <c r="K757" i="1"/>
  <c r="H757" i="1"/>
  <c r="L751" i="1"/>
  <c r="K751" i="1"/>
  <c r="H751" i="1"/>
  <c r="L750" i="1"/>
  <c r="K750" i="1"/>
  <c r="H750" i="1"/>
  <c r="L749" i="1"/>
  <c r="K749" i="1"/>
  <c r="H749" i="1"/>
  <c r="L748" i="1"/>
  <c r="K748" i="1"/>
  <c r="H748" i="1"/>
  <c r="L747" i="1"/>
  <c r="K747" i="1"/>
  <c r="H747" i="1"/>
  <c r="L746" i="1"/>
  <c r="K746" i="1"/>
  <c r="H746" i="1"/>
  <c r="L745" i="1"/>
  <c r="K745" i="1"/>
  <c r="H745" i="1"/>
  <c r="L744" i="1"/>
  <c r="K744" i="1"/>
  <c r="H744" i="1"/>
  <c r="L738" i="1"/>
  <c r="K738" i="1"/>
  <c r="H738" i="1"/>
  <c r="L737" i="1"/>
  <c r="K737" i="1"/>
  <c r="H737" i="1"/>
  <c r="L731" i="1"/>
  <c r="K731" i="1"/>
  <c r="H731" i="1"/>
  <c r="L730" i="1"/>
  <c r="K730" i="1"/>
  <c r="H730" i="1"/>
  <c r="L729" i="1"/>
  <c r="K729" i="1"/>
  <c r="H729" i="1"/>
  <c r="L728" i="1"/>
  <c r="K728" i="1"/>
  <c r="H728" i="1"/>
  <c r="L727" i="1"/>
  <c r="K727" i="1"/>
  <c r="H727" i="1"/>
  <c r="L726" i="1"/>
  <c r="K726" i="1"/>
  <c r="H726" i="1"/>
  <c r="L725" i="1"/>
  <c r="K725" i="1"/>
  <c r="H725" i="1"/>
  <c r="L719" i="1"/>
  <c r="K719" i="1"/>
  <c r="H719" i="1"/>
  <c r="L718" i="1"/>
  <c r="K718" i="1"/>
  <c r="H718" i="1"/>
  <c r="L717" i="1"/>
  <c r="K717" i="1"/>
  <c r="H717" i="1"/>
  <c r="L716" i="1"/>
  <c r="K716" i="1"/>
  <c r="H716" i="1"/>
  <c r="L715" i="1"/>
  <c r="K715" i="1"/>
  <c r="H715" i="1"/>
  <c r="L714" i="1"/>
  <c r="K714" i="1"/>
  <c r="H714" i="1"/>
  <c r="L713" i="1"/>
  <c r="K713" i="1"/>
  <c r="H713" i="1"/>
  <c r="L712" i="1"/>
  <c r="K712" i="1"/>
  <c r="H712" i="1"/>
  <c r="L711" i="1"/>
  <c r="K711" i="1"/>
  <c r="H711" i="1"/>
  <c r="L710" i="1"/>
  <c r="K710" i="1"/>
  <c r="H710" i="1"/>
  <c r="L709" i="1"/>
  <c r="K709" i="1"/>
  <c r="H709" i="1"/>
  <c r="L703" i="1"/>
  <c r="K703" i="1"/>
  <c r="H703" i="1"/>
  <c r="L702" i="1"/>
  <c r="K702" i="1"/>
  <c r="H702" i="1"/>
  <c r="L701" i="1"/>
  <c r="K701" i="1"/>
  <c r="H701" i="1"/>
  <c r="L700" i="1"/>
  <c r="K700" i="1"/>
  <c r="H700" i="1"/>
  <c r="L699" i="1"/>
  <c r="K699" i="1"/>
  <c r="H699" i="1"/>
  <c r="L698" i="1"/>
  <c r="K698" i="1"/>
  <c r="H698" i="1"/>
  <c r="L697" i="1"/>
  <c r="K697" i="1"/>
  <c r="H697" i="1"/>
  <c r="L691" i="1"/>
  <c r="K691" i="1"/>
  <c r="H691" i="1"/>
  <c r="L690" i="1"/>
  <c r="K690" i="1"/>
  <c r="H690" i="1"/>
  <c r="L689" i="1"/>
  <c r="K689" i="1"/>
  <c r="H689" i="1"/>
  <c r="L688" i="1"/>
  <c r="K688" i="1"/>
  <c r="H688" i="1"/>
  <c r="L687" i="1"/>
  <c r="K687" i="1"/>
  <c r="H687" i="1"/>
  <c r="L686" i="1"/>
  <c r="K686" i="1"/>
  <c r="H686" i="1"/>
  <c r="L685" i="1"/>
  <c r="K685" i="1"/>
  <c r="H685" i="1"/>
  <c r="L684" i="1"/>
  <c r="K684" i="1"/>
  <c r="H684" i="1"/>
  <c r="L683" i="1"/>
  <c r="K683" i="1"/>
  <c r="H683" i="1"/>
  <c r="L677" i="1"/>
  <c r="K677" i="1"/>
  <c r="H677" i="1"/>
  <c r="L676" i="1"/>
  <c r="K676" i="1"/>
  <c r="H676" i="1"/>
  <c r="L675" i="1"/>
  <c r="K675" i="1"/>
  <c r="H675" i="1"/>
  <c r="L674" i="1"/>
  <c r="K674" i="1"/>
  <c r="H674" i="1"/>
  <c r="L673" i="1"/>
  <c r="K673" i="1"/>
  <c r="H673" i="1"/>
  <c r="L672" i="1"/>
  <c r="K672" i="1"/>
  <c r="H672" i="1"/>
  <c r="L671" i="1"/>
  <c r="K671" i="1"/>
  <c r="H671" i="1"/>
  <c r="L670" i="1"/>
  <c r="K670" i="1"/>
  <c r="H670" i="1"/>
  <c r="L669" i="1"/>
  <c r="K669" i="1"/>
  <c r="H669" i="1"/>
  <c r="L668" i="1"/>
  <c r="K668" i="1"/>
  <c r="H668" i="1"/>
  <c r="L667" i="1"/>
  <c r="K667" i="1"/>
  <c r="H667" i="1"/>
  <c r="L666" i="1"/>
  <c r="K666" i="1"/>
  <c r="H666" i="1"/>
  <c r="L665" i="1"/>
  <c r="K665" i="1"/>
  <c r="H665" i="1"/>
  <c r="L664" i="1"/>
  <c r="K664" i="1"/>
  <c r="H664" i="1"/>
  <c r="L663" i="1"/>
  <c r="K663" i="1"/>
  <c r="H663" i="1"/>
  <c r="L657" i="1"/>
  <c r="K657" i="1"/>
  <c r="H657" i="1"/>
  <c r="L656" i="1"/>
  <c r="K656" i="1"/>
  <c r="H656" i="1"/>
  <c r="L655" i="1"/>
  <c r="K655" i="1"/>
  <c r="H655" i="1"/>
  <c r="L654" i="1"/>
  <c r="K654" i="1"/>
  <c r="H654" i="1"/>
  <c r="L653" i="1"/>
  <c r="K653" i="1"/>
  <c r="H653" i="1"/>
  <c r="L652" i="1"/>
  <c r="K652" i="1"/>
  <c r="H652" i="1"/>
  <c r="L651" i="1"/>
  <c r="K651" i="1"/>
  <c r="H651" i="1"/>
  <c r="L645" i="1"/>
  <c r="K645" i="1"/>
  <c r="H645" i="1"/>
  <c r="L644" i="1"/>
  <c r="K644" i="1"/>
  <c r="H644" i="1"/>
  <c r="L643" i="1"/>
  <c r="K643" i="1"/>
  <c r="H643" i="1"/>
  <c r="L642" i="1"/>
  <c r="K642" i="1"/>
  <c r="H642" i="1"/>
  <c r="L641" i="1"/>
  <c r="K641" i="1"/>
  <c r="H641" i="1"/>
  <c r="L640" i="1"/>
  <c r="K640" i="1"/>
  <c r="H640" i="1"/>
  <c r="L639" i="1"/>
  <c r="K639" i="1"/>
  <c r="H639" i="1"/>
  <c r="L638" i="1"/>
  <c r="K638" i="1"/>
  <c r="H638" i="1"/>
  <c r="L637" i="1"/>
  <c r="K637" i="1"/>
  <c r="H637" i="1"/>
  <c r="L636" i="1"/>
  <c r="K636" i="1"/>
  <c r="H636" i="1"/>
  <c r="L630" i="1"/>
  <c r="K630" i="1"/>
  <c r="H630" i="1"/>
  <c r="L629" i="1"/>
  <c r="K629" i="1"/>
  <c r="H629" i="1"/>
  <c r="L628" i="1"/>
  <c r="K628" i="1"/>
  <c r="H628" i="1"/>
  <c r="L627" i="1"/>
  <c r="K627" i="1"/>
  <c r="H627" i="1"/>
  <c r="L626" i="1"/>
  <c r="K626" i="1"/>
  <c r="H626" i="1"/>
  <c r="L625" i="1"/>
  <c r="K625" i="1"/>
  <c r="H625" i="1"/>
  <c r="L624" i="1"/>
  <c r="K624" i="1"/>
  <c r="H624" i="1"/>
  <c r="L623" i="1"/>
  <c r="K623" i="1"/>
  <c r="H623" i="1"/>
  <c r="L622" i="1"/>
  <c r="K622" i="1"/>
  <c r="H622" i="1"/>
  <c r="L621" i="1"/>
  <c r="K621" i="1"/>
  <c r="H621" i="1"/>
  <c r="L620" i="1"/>
  <c r="K620" i="1"/>
  <c r="H620" i="1"/>
  <c r="L614" i="1"/>
  <c r="K614" i="1"/>
  <c r="H614" i="1"/>
  <c r="L613" i="1"/>
  <c r="K613" i="1"/>
  <c r="H613" i="1"/>
  <c r="L612" i="1"/>
  <c r="K612" i="1"/>
  <c r="H612" i="1"/>
  <c r="L611" i="1"/>
  <c r="K611" i="1"/>
  <c r="H611" i="1"/>
  <c r="L610" i="1"/>
  <c r="K610" i="1"/>
  <c r="H610" i="1"/>
  <c r="L609" i="1"/>
  <c r="K609" i="1"/>
  <c r="H609" i="1"/>
  <c r="L608" i="1"/>
  <c r="K608" i="1"/>
  <c r="H608" i="1"/>
  <c r="L607" i="1"/>
  <c r="K607" i="1"/>
  <c r="H607" i="1"/>
  <c r="L606" i="1"/>
  <c r="K606" i="1"/>
  <c r="H606" i="1"/>
  <c r="L605" i="1"/>
  <c r="K605" i="1"/>
  <c r="H605" i="1"/>
  <c r="L604" i="1"/>
  <c r="K604" i="1"/>
  <c r="H604" i="1"/>
  <c r="L603" i="1"/>
  <c r="K603" i="1"/>
  <c r="H603" i="1"/>
  <c r="L602" i="1"/>
  <c r="K602" i="1"/>
  <c r="H602" i="1"/>
  <c r="L596" i="1"/>
  <c r="K596" i="1"/>
  <c r="H596" i="1"/>
  <c r="L595" i="1"/>
  <c r="K595" i="1"/>
  <c r="H595" i="1"/>
  <c r="L594" i="1"/>
  <c r="K594" i="1"/>
  <c r="H594" i="1"/>
  <c r="L593" i="1"/>
  <c r="K593" i="1"/>
  <c r="H593" i="1"/>
  <c r="L592" i="1"/>
  <c r="K592" i="1"/>
  <c r="H592" i="1"/>
  <c r="L591" i="1"/>
  <c r="K591" i="1"/>
  <c r="H591" i="1"/>
  <c r="L590" i="1"/>
  <c r="K590" i="1"/>
  <c r="H590" i="1"/>
  <c r="L589" i="1"/>
  <c r="K589" i="1"/>
  <c r="H589" i="1"/>
  <c r="L588" i="1"/>
  <c r="K588" i="1"/>
  <c r="H588" i="1"/>
  <c r="L587" i="1"/>
  <c r="K587" i="1"/>
  <c r="H587" i="1"/>
  <c r="L586" i="1"/>
  <c r="K586" i="1"/>
  <c r="H586" i="1"/>
  <c r="L585" i="1"/>
  <c r="K585" i="1"/>
  <c r="H585" i="1"/>
  <c r="L584" i="1"/>
  <c r="K584" i="1"/>
  <c r="H584" i="1"/>
  <c r="L578" i="1"/>
  <c r="K578" i="1"/>
  <c r="H578" i="1"/>
  <c r="L577" i="1"/>
  <c r="K577" i="1"/>
  <c r="H577" i="1"/>
  <c r="L576" i="1"/>
  <c r="K576" i="1"/>
  <c r="H576" i="1"/>
  <c r="L575" i="1"/>
  <c r="K575" i="1"/>
  <c r="H575" i="1"/>
  <c r="L574" i="1"/>
  <c r="K574" i="1"/>
  <c r="H574" i="1"/>
  <c r="L573" i="1"/>
  <c r="K573" i="1"/>
  <c r="H573" i="1"/>
  <c r="L572" i="1"/>
  <c r="K572" i="1"/>
  <c r="H572" i="1"/>
  <c r="L571" i="1"/>
  <c r="K571" i="1"/>
  <c r="H571" i="1"/>
  <c r="L565" i="1"/>
  <c r="K565" i="1"/>
  <c r="H565" i="1"/>
  <c r="L564" i="1"/>
  <c r="K564" i="1"/>
  <c r="H564" i="1"/>
  <c r="L563" i="1"/>
  <c r="K563" i="1"/>
  <c r="H563" i="1"/>
  <c r="L562" i="1"/>
  <c r="K562" i="1"/>
  <c r="H562" i="1"/>
  <c r="L561" i="1"/>
  <c r="K561" i="1"/>
  <c r="H561" i="1"/>
  <c r="L560" i="1"/>
  <c r="K560" i="1"/>
  <c r="H560" i="1"/>
  <c r="L554" i="1"/>
  <c r="K554" i="1"/>
  <c r="H554" i="1"/>
  <c r="L553" i="1"/>
  <c r="K553" i="1"/>
  <c r="H553" i="1"/>
  <c r="L552" i="1"/>
  <c r="K552" i="1"/>
  <c r="H552" i="1"/>
  <c r="L551" i="1"/>
  <c r="K551" i="1"/>
  <c r="H551" i="1"/>
  <c r="L550" i="1"/>
  <c r="K550" i="1"/>
  <c r="H550" i="1"/>
  <c r="L549" i="1"/>
  <c r="K549" i="1"/>
  <c r="H549" i="1"/>
  <c r="L548" i="1"/>
  <c r="K548" i="1"/>
  <c r="H548" i="1"/>
  <c r="L547" i="1"/>
  <c r="K547" i="1"/>
  <c r="H547" i="1"/>
  <c r="L546" i="1"/>
  <c r="K546" i="1"/>
  <c r="H546" i="1"/>
  <c r="L545" i="1"/>
  <c r="K545" i="1"/>
  <c r="H545" i="1"/>
  <c r="L544" i="1"/>
  <c r="K544" i="1"/>
  <c r="H544" i="1"/>
  <c r="L543" i="1"/>
  <c r="K543" i="1"/>
  <c r="H543" i="1"/>
  <c r="L542" i="1"/>
  <c r="K542" i="1"/>
  <c r="H542" i="1"/>
  <c r="L536" i="1"/>
  <c r="K536" i="1"/>
  <c r="H536" i="1"/>
  <c r="L530" i="1"/>
  <c r="K530" i="1"/>
  <c r="H530" i="1"/>
  <c r="L529" i="1"/>
  <c r="K529" i="1"/>
  <c r="H529" i="1"/>
  <c r="L528" i="1"/>
  <c r="K528" i="1"/>
  <c r="H528" i="1"/>
  <c r="L527" i="1"/>
  <c r="K527" i="1"/>
  <c r="H527" i="1"/>
  <c r="L526" i="1"/>
  <c r="K526" i="1"/>
  <c r="H526" i="1"/>
  <c r="L525" i="1"/>
  <c r="K525" i="1"/>
  <c r="H525" i="1"/>
  <c r="L524" i="1"/>
  <c r="K524" i="1"/>
  <c r="H524" i="1"/>
  <c r="L523" i="1"/>
  <c r="K523" i="1"/>
  <c r="H523" i="1"/>
  <c r="L522" i="1"/>
  <c r="K522" i="1"/>
  <c r="H522" i="1"/>
  <c r="L521" i="1"/>
  <c r="K521" i="1"/>
  <c r="H521" i="1"/>
  <c r="L520" i="1"/>
  <c r="K520" i="1"/>
  <c r="H520" i="1"/>
  <c r="L519" i="1"/>
  <c r="K519" i="1"/>
  <c r="H519" i="1"/>
  <c r="L518" i="1"/>
  <c r="K518" i="1"/>
  <c r="H518" i="1"/>
  <c r="L517" i="1"/>
  <c r="K517" i="1"/>
  <c r="H517" i="1"/>
  <c r="L516" i="1"/>
  <c r="K516" i="1"/>
  <c r="H516" i="1"/>
  <c r="L515" i="1"/>
  <c r="K515" i="1"/>
  <c r="H515" i="1"/>
  <c r="L514" i="1"/>
  <c r="K514" i="1"/>
  <c r="H514" i="1"/>
  <c r="L508" i="1"/>
  <c r="K508" i="1"/>
  <c r="H508" i="1"/>
  <c r="L507" i="1"/>
  <c r="K507" i="1"/>
  <c r="H507" i="1"/>
  <c r="L506" i="1"/>
  <c r="K506" i="1"/>
  <c r="H506" i="1"/>
  <c r="L505" i="1"/>
  <c r="K505" i="1"/>
  <c r="H505" i="1"/>
  <c r="L504" i="1"/>
  <c r="K504" i="1"/>
  <c r="H504" i="1"/>
  <c r="L503" i="1"/>
  <c r="K503" i="1"/>
  <c r="H503" i="1"/>
  <c r="L502" i="1"/>
  <c r="K502" i="1"/>
  <c r="H502" i="1"/>
  <c r="L501" i="1"/>
  <c r="K501" i="1"/>
  <c r="H501" i="1"/>
  <c r="L500" i="1"/>
  <c r="K500" i="1"/>
  <c r="H500" i="1"/>
  <c r="L499" i="1"/>
  <c r="K499" i="1"/>
  <c r="H499" i="1"/>
  <c r="L498" i="1"/>
  <c r="K498" i="1"/>
  <c r="H498" i="1"/>
  <c r="L497" i="1"/>
  <c r="K497" i="1"/>
  <c r="H497" i="1"/>
  <c r="L496" i="1"/>
  <c r="K496" i="1"/>
  <c r="H496" i="1"/>
  <c r="L495" i="1"/>
  <c r="K495" i="1"/>
  <c r="H495" i="1"/>
  <c r="L494" i="1"/>
  <c r="K494" i="1"/>
  <c r="H494" i="1"/>
  <c r="L493" i="1"/>
  <c r="K493" i="1"/>
  <c r="H493" i="1"/>
  <c r="L492" i="1"/>
  <c r="K492" i="1"/>
  <c r="H492" i="1"/>
  <c r="L491" i="1"/>
  <c r="K491" i="1"/>
  <c r="H491" i="1"/>
  <c r="L490" i="1"/>
  <c r="K490" i="1"/>
  <c r="H490" i="1"/>
  <c r="L489" i="1"/>
  <c r="K489" i="1"/>
  <c r="H489" i="1"/>
  <c r="L488" i="1"/>
  <c r="K488" i="1"/>
  <c r="H488" i="1"/>
  <c r="L487" i="1"/>
  <c r="K487" i="1"/>
  <c r="H487" i="1"/>
  <c r="L486" i="1"/>
  <c r="K486" i="1"/>
  <c r="H486" i="1"/>
  <c r="L485" i="1"/>
  <c r="K485" i="1"/>
  <c r="H485" i="1"/>
  <c r="L484" i="1"/>
  <c r="K484" i="1"/>
  <c r="H484" i="1"/>
  <c r="L483" i="1"/>
  <c r="K483" i="1"/>
  <c r="H483" i="1"/>
  <c r="L477" i="1"/>
  <c r="K477" i="1"/>
  <c r="H477" i="1"/>
  <c r="L476" i="1"/>
  <c r="K476" i="1"/>
  <c r="H476" i="1"/>
  <c r="L475" i="1"/>
  <c r="K475" i="1"/>
  <c r="H475" i="1"/>
  <c r="L474" i="1"/>
  <c r="K474" i="1"/>
  <c r="H474" i="1"/>
  <c r="L473" i="1"/>
  <c r="K473" i="1"/>
  <c r="H473" i="1"/>
  <c r="L472" i="1"/>
  <c r="K472" i="1"/>
  <c r="H472" i="1"/>
  <c r="L471" i="1"/>
  <c r="K471" i="1"/>
  <c r="H471" i="1"/>
  <c r="L470" i="1"/>
  <c r="K470" i="1"/>
  <c r="H470" i="1"/>
  <c r="L469" i="1"/>
  <c r="K469" i="1"/>
  <c r="H469" i="1"/>
  <c r="L468" i="1"/>
  <c r="K468" i="1"/>
  <c r="H468" i="1"/>
  <c r="L467" i="1"/>
  <c r="K467" i="1"/>
  <c r="H467" i="1"/>
  <c r="L466" i="1"/>
  <c r="K466" i="1"/>
  <c r="H466" i="1"/>
  <c r="L465" i="1"/>
  <c r="K465" i="1"/>
  <c r="H465" i="1"/>
  <c r="L464" i="1"/>
  <c r="K464" i="1"/>
  <c r="H464" i="1"/>
  <c r="L458" i="1"/>
  <c r="K458" i="1"/>
  <c r="H458" i="1"/>
  <c r="L457" i="1"/>
  <c r="K457" i="1"/>
  <c r="H457" i="1"/>
  <c r="L456" i="1"/>
  <c r="K456" i="1"/>
  <c r="H456" i="1"/>
  <c r="L455" i="1"/>
  <c r="K455" i="1"/>
  <c r="H455" i="1"/>
  <c r="L454" i="1"/>
  <c r="K454" i="1"/>
  <c r="H454" i="1"/>
  <c r="L453" i="1"/>
  <c r="K453" i="1"/>
  <c r="H453" i="1"/>
  <c r="L452" i="1"/>
  <c r="K452" i="1"/>
  <c r="H452" i="1"/>
  <c r="L451" i="1"/>
  <c r="K451" i="1"/>
  <c r="H451" i="1"/>
  <c r="L450" i="1"/>
  <c r="K450" i="1"/>
  <c r="H450" i="1"/>
  <c r="L449" i="1"/>
  <c r="K449" i="1"/>
  <c r="H449" i="1"/>
  <c r="L448" i="1"/>
  <c r="K448" i="1"/>
  <c r="H448" i="1"/>
  <c r="L447" i="1"/>
  <c r="K447" i="1"/>
  <c r="H447" i="1"/>
  <c r="L446" i="1"/>
  <c r="K446" i="1"/>
  <c r="H446" i="1"/>
  <c r="L445" i="1"/>
  <c r="K445" i="1"/>
  <c r="H445" i="1"/>
  <c r="L439" i="1"/>
  <c r="K439" i="1"/>
  <c r="H439" i="1"/>
  <c r="L438" i="1"/>
  <c r="K438" i="1"/>
  <c r="H438" i="1"/>
  <c r="L437" i="1"/>
  <c r="K437" i="1"/>
  <c r="H437" i="1"/>
  <c r="L436" i="1"/>
  <c r="K436" i="1"/>
  <c r="H436" i="1"/>
  <c r="L435" i="1"/>
  <c r="K435" i="1"/>
  <c r="H435" i="1"/>
  <c r="L434" i="1"/>
  <c r="K434" i="1"/>
  <c r="H434" i="1"/>
  <c r="L433" i="1"/>
  <c r="K433" i="1"/>
  <c r="H433" i="1"/>
  <c r="L432" i="1"/>
  <c r="K432" i="1"/>
  <c r="H432" i="1"/>
  <c r="L431" i="1"/>
  <c r="K431" i="1"/>
  <c r="H431" i="1"/>
  <c r="L430" i="1"/>
  <c r="K430" i="1"/>
  <c r="H430" i="1"/>
  <c r="L429" i="1"/>
  <c r="K429" i="1"/>
  <c r="H429" i="1"/>
  <c r="L428" i="1"/>
  <c r="K428" i="1"/>
  <c r="H428" i="1"/>
  <c r="L427" i="1"/>
  <c r="K427" i="1"/>
  <c r="H427" i="1"/>
  <c r="L426" i="1"/>
  <c r="K426" i="1"/>
  <c r="H426" i="1"/>
  <c r="L425" i="1"/>
  <c r="K425" i="1"/>
  <c r="H425" i="1"/>
  <c r="L424" i="1"/>
  <c r="K424" i="1"/>
  <c r="H424" i="1"/>
  <c r="L418" i="1"/>
  <c r="K418" i="1"/>
  <c r="H418" i="1"/>
  <c r="L417" i="1"/>
  <c r="K417" i="1"/>
  <c r="H417" i="1"/>
  <c r="L416" i="1"/>
  <c r="K416" i="1"/>
  <c r="H416" i="1"/>
  <c r="L415" i="1"/>
  <c r="K415" i="1"/>
  <c r="H415" i="1"/>
  <c r="L414" i="1"/>
  <c r="K414" i="1"/>
  <c r="H414" i="1"/>
  <c r="L413" i="1"/>
  <c r="K413" i="1"/>
  <c r="H413" i="1"/>
  <c r="L412" i="1"/>
  <c r="K412" i="1"/>
  <c r="H412" i="1"/>
  <c r="L411" i="1"/>
  <c r="K411" i="1"/>
  <c r="H411" i="1"/>
  <c r="L410" i="1"/>
  <c r="K410" i="1"/>
  <c r="H410" i="1"/>
  <c r="L409" i="1"/>
  <c r="K409" i="1"/>
  <c r="H409" i="1"/>
  <c r="L408" i="1"/>
  <c r="K408" i="1"/>
  <c r="H408" i="1"/>
  <c r="L402" i="1"/>
  <c r="K402" i="1"/>
  <c r="H402" i="1"/>
  <c r="L401" i="1"/>
  <c r="K401" i="1"/>
  <c r="H401" i="1"/>
  <c r="L400" i="1"/>
  <c r="K400" i="1"/>
  <c r="H400" i="1"/>
  <c r="L399" i="1"/>
  <c r="K399" i="1"/>
  <c r="H399" i="1"/>
  <c r="L398" i="1"/>
  <c r="K398" i="1"/>
  <c r="H398" i="1"/>
  <c r="L392" i="1"/>
  <c r="K392" i="1"/>
  <c r="H392" i="1"/>
  <c r="L391" i="1"/>
  <c r="K391" i="1"/>
  <c r="H391" i="1"/>
  <c r="L390" i="1"/>
  <c r="K390" i="1"/>
  <c r="H390" i="1"/>
  <c r="L389" i="1"/>
  <c r="K389" i="1"/>
  <c r="H389" i="1"/>
  <c r="L388" i="1"/>
  <c r="K388" i="1"/>
  <c r="H388" i="1"/>
  <c r="L387" i="1"/>
  <c r="K387" i="1"/>
  <c r="H387" i="1"/>
  <c r="L386" i="1"/>
  <c r="K386" i="1"/>
  <c r="H386" i="1"/>
  <c r="L385" i="1"/>
  <c r="K385" i="1"/>
  <c r="H385" i="1"/>
  <c r="L384" i="1"/>
  <c r="K384" i="1"/>
  <c r="H384" i="1"/>
  <c r="L383" i="1"/>
  <c r="K383" i="1"/>
  <c r="H383" i="1"/>
  <c r="L382" i="1"/>
  <c r="K382" i="1"/>
  <c r="H382" i="1"/>
  <c r="L381" i="1"/>
  <c r="K381" i="1"/>
  <c r="H381" i="1"/>
  <c r="L380" i="1"/>
  <c r="K380" i="1"/>
  <c r="H380" i="1"/>
  <c r="L379" i="1"/>
  <c r="K379" i="1"/>
  <c r="H379" i="1"/>
  <c r="L378" i="1"/>
  <c r="K378" i="1"/>
  <c r="H378" i="1"/>
  <c r="L377" i="1"/>
  <c r="K377" i="1"/>
  <c r="H377" i="1"/>
  <c r="L376" i="1"/>
  <c r="K376" i="1"/>
  <c r="H376" i="1"/>
  <c r="L375" i="1"/>
  <c r="K375" i="1"/>
  <c r="H375" i="1"/>
  <c r="L374" i="1"/>
  <c r="K374" i="1"/>
  <c r="H374" i="1"/>
  <c r="L368" i="1"/>
  <c r="K368" i="1"/>
  <c r="H368" i="1"/>
  <c r="L367" i="1"/>
  <c r="K367" i="1"/>
  <c r="H367" i="1"/>
  <c r="L366" i="1"/>
  <c r="K366" i="1"/>
  <c r="H366" i="1"/>
  <c r="L365" i="1"/>
  <c r="K365" i="1"/>
  <c r="H365" i="1"/>
  <c r="L364" i="1"/>
  <c r="K364" i="1"/>
  <c r="H364" i="1"/>
  <c r="L363" i="1"/>
  <c r="K363" i="1"/>
  <c r="H363" i="1"/>
  <c r="L362" i="1"/>
  <c r="K362" i="1"/>
  <c r="H362" i="1"/>
  <c r="L361" i="1"/>
  <c r="K361" i="1"/>
  <c r="H361" i="1"/>
  <c r="L360" i="1"/>
  <c r="K360" i="1"/>
  <c r="H360" i="1"/>
  <c r="L359" i="1"/>
  <c r="K359" i="1"/>
  <c r="H359" i="1"/>
  <c r="L358" i="1"/>
  <c r="K358" i="1"/>
  <c r="H358" i="1"/>
  <c r="L352" i="1"/>
  <c r="K352" i="1"/>
  <c r="H352" i="1"/>
  <c r="L351" i="1"/>
  <c r="K351" i="1"/>
  <c r="H351" i="1"/>
  <c r="L350" i="1"/>
  <c r="K350" i="1"/>
  <c r="H350" i="1"/>
  <c r="L349" i="1"/>
  <c r="K349" i="1"/>
  <c r="H349" i="1"/>
  <c r="L348" i="1"/>
  <c r="K348" i="1"/>
  <c r="H348" i="1"/>
  <c r="L342" i="1"/>
  <c r="K342" i="1"/>
  <c r="H342" i="1"/>
  <c r="L341" i="1"/>
  <c r="K341" i="1"/>
  <c r="H341" i="1"/>
  <c r="L340" i="1"/>
  <c r="K340" i="1"/>
  <c r="H340" i="1"/>
  <c r="L339" i="1"/>
  <c r="K339" i="1"/>
  <c r="H339" i="1"/>
  <c r="L338" i="1"/>
  <c r="K338" i="1"/>
  <c r="H338" i="1"/>
  <c r="L332" i="1"/>
  <c r="K332" i="1"/>
  <c r="H332" i="1"/>
  <c r="L331" i="1"/>
  <c r="K331" i="1"/>
  <c r="H331" i="1"/>
  <c r="L330" i="1"/>
  <c r="K330" i="1"/>
  <c r="H330" i="1"/>
  <c r="L329" i="1"/>
  <c r="K329" i="1"/>
  <c r="H329" i="1"/>
  <c r="L328" i="1"/>
  <c r="K328" i="1"/>
  <c r="H328" i="1"/>
  <c r="L327" i="1"/>
  <c r="K327" i="1"/>
  <c r="H327" i="1"/>
  <c r="L326" i="1"/>
  <c r="K326" i="1"/>
  <c r="H326" i="1"/>
  <c r="L325" i="1"/>
  <c r="K325" i="1"/>
  <c r="H325" i="1"/>
  <c r="L319" i="1"/>
  <c r="K319" i="1"/>
  <c r="H319" i="1"/>
  <c r="L318" i="1"/>
  <c r="K318" i="1"/>
  <c r="H318" i="1"/>
  <c r="L317" i="1"/>
  <c r="K317" i="1"/>
  <c r="H317" i="1"/>
  <c r="L316" i="1"/>
  <c r="K316" i="1"/>
  <c r="H316" i="1"/>
  <c r="L315" i="1"/>
  <c r="K315" i="1"/>
  <c r="H315" i="1"/>
  <c r="L314" i="1"/>
  <c r="K314" i="1"/>
  <c r="H314" i="1"/>
  <c r="L308" i="1"/>
  <c r="K308" i="1"/>
  <c r="H308" i="1"/>
  <c r="L307" i="1"/>
  <c r="K307" i="1"/>
  <c r="H307" i="1"/>
  <c r="L306" i="1"/>
  <c r="K306" i="1"/>
  <c r="H306" i="1"/>
  <c r="L305" i="1"/>
  <c r="K305" i="1"/>
  <c r="H305" i="1"/>
  <c r="L304" i="1"/>
  <c r="K304" i="1"/>
  <c r="H304" i="1"/>
  <c r="L303" i="1"/>
  <c r="K303" i="1"/>
  <c r="H303" i="1"/>
  <c r="L302" i="1"/>
  <c r="K302" i="1"/>
  <c r="H302" i="1"/>
  <c r="L301" i="1"/>
  <c r="K301" i="1"/>
  <c r="H301" i="1"/>
  <c r="L300" i="1"/>
  <c r="K300" i="1"/>
  <c r="H300" i="1"/>
  <c r="L294" i="1"/>
  <c r="K294" i="1"/>
  <c r="H294" i="1"/>
  <c r="L293" i="1"/>
  <c r="K293" i="1"/>
  <c r="H293" i="1"/>
  <c r="L292" i="1"/>
  <c r="K292" i="1"/>
  <c r="H292" i="1"/>
  <c r="L291" i="1"/>
  <c r="K291" i="1"/>
  <c r="H291" i="1"/>
  <c r="L290" i="1"/>
  <c r="K290" i="1"/>
  <c r="H290" i="1"/>
  <c r="L289" i="1"/>
  <c r="K289" i="1"/>
  <c r="H289" i="1"/>
  <c r="L288" i="1"/>
  <c r="K288" i="1"/>
  <c r="H288" i="1"/>
  <c r="L287" i="1"/>
  <c r="K287" i="1"/>
  <c r="H287" i="1"/>
  <c r="L286" i="1"/>
  <c r="K286" i="1"/>
  <c r="H286" i="1"/>
  <c r="L285" i="1"/>
  <c r="K285" i="1"/>
  <c r="H285" i="1"/>
  <c r="L284" i="1"/>
  <c r="K284" i="1"/>
  <c r="H284" i="1"/>
  <c r="L283" i="1"/>
  <c r="K283" i="1"/>
  <c r="H283" i="1"/>
  <c r="L282" i="1"/>
  <c r="K282" i="1"/>
  <c r="H282" i="1"/>
  <c r="L281" i="1"/>
  <c r="K281" i="1"/>
  <c r="H281" i="1"/>
  <c r="L280" i="1"/>
  <c r="K280" i="1"/>
  <c r="H280" i="1"/>
  <c r="L274" i="1"/>
  <c r="K274" i="1"/>
  <c r="H274" i="1"/>
  <c r="L273" i="1"/>
  <c r="K273" i="1"/>
  <c r="H273" i="1"/>
  <c r="L272" i="1"/>
  <c r="K272" i="1"/>
  <c r="H272" i="1"/>
  <c r="L271" i="1"/>
  <c r="K271" i="1"/>
  <c r="H271" i="1"/>
  <c r="L270" i="1"/>
  <c r="K270" i="1"/>
  <c r="H270" i="1"/>
  <c r="L269" i="1"/>
  <c r="K269" i="1"/>
  <c r="H269" i="1"/>
  <c r="L268" i="1"/>
  <c r="K268" i="1"/>
  <c r="H268" i="1"/>
  <c r="L267" i="1"/>
  <c r="K267" i="1"/>
  <c r="H267" i="1"/>
  <c r="L266" i="1"/>
  <c r="K266" i="1"/>
  <c r="H266" i="1"/>
  <c r="L265" i="1"/>
  <c r="K265" i="1"/>
  <c r="H265" i="1"/>
  <c r="L264" i="1"/>
  <c r="K264" i="1"/>
  <c r="H264" i="1"/>
  <c r="L263" i="1"/>
  <c r="K263" i="1"/>
  <c r="H263" i="1"/>
  <c r="L262" i="1"/>
  <c r="K262" i="1"/>
  <c r="H262" i="1"/>
  <c r="L261" i="1"/>
  <c r="K261" i="1"/>
  <c r="H261" i="1"/>
  <c r="L260" i="1"/>
  <c r="K260" i="1"/>
  <c r="H260" i="1"/>
  <c r="L254" i="1"/>
  <c r="K254" i="1"/>
  <c r="H254" i="1"/>
  <c r="L253" i="1"/>
  <c r="K253" i="1"/>
  <c r="H253" i="1"/>
  <c r="L252" i="1"/>
  <c r="K252" i="1"/>
  <c r="H252" i="1"/>
  <c r="L251" i="1"/>
  <c r="K251" i="1"/>
  <c r="H251" i="1"/>
  <c r="L250" i="1"/>
  <c r="K250" i="1"/>
  <c r="H250" i="1"/>
  <c r="L249" i="1"/>
  <c r="K249" i="1"/>
  <c r="H249" i="1"/>
  <c r="L248" i="1"/>
  <c r="K248" i="1"/>
  <c r="H248" i="1"/>
  <c r="L247" i="1"/>
  <c r="K247" i="1"/>
  <c r="H247" i="1"/>
  <c r="L246" i="1"/>
  <c r="K246" i="1"/>
  <c r="H246" i="1"/>
  <c r="L245" i="1"/>
  <c r="K245" i="1"/>
  <c r="H245" i="1"/>
  <c r="L244" i="1"/>
  <c r="K244" i="1"/>
  <c r="H244" i="1"/>
  <c r="L243" i="1"/>
  <c r="K243" i="1"/>
  <c r="H243" i="1"/>
  <c r="L237" i="1"/>
  <c r="K237" i="1"/>
  <c r="H237" i="1"/>
  <c r="L236" i="1"/>
  <c r="K236" i="1"/>
  <c r="H236" i="1"/>
  <c r="L235" i="1"/>
  <c r="K235" i="1"/>
  <c r="H235" i="1"/>
  <c r="L234" i="1"/>
  <c r="K234" i="1"/>
  <c r="H234" i="1"/>
  <c r="L233" i="1"/>
  <c r="K233" i="1"/>
  <c r="H233" i="1"/>
  <c r="L232" i="1"/>
  <c r="K232" i="1"/>
  <c r="H232" i="1"/>
  <c r="L231" i="1"/>
  <c r="K231" i="1"/>
  <c r="H231" i="1"/>
  <c r="L225" i="1"/>
  <c r="K225" i="1"/>
  <c r="H225" i="1"/>
  <c r="L224" i="1"/>
  <c r="K224" i="1"/>
  <c r="H224" i="1"/>
  <c r="L223" i="1"/>
  <c r="K223" i="1"/>
  <c r="H223" i="1"/>
  <c r="L217" i="1"/>
  <c r="K217" i="1"/>
  <c r="H217" i="1"/>
  <c r="L216" i="1"/>
  <c r="K216" i="1"/>
  <c r="H216" i="1"/>
  <c r="L215" i="1"/>
  <c r="K215" i="1"/>
  <c r="H215" i="1"/>
  <c r="L214" i="1"/>
  <c r="K214" i="1"/>
  <c r="H214" i="1"/>
  <c r="L213" i="1"/>
  <c r="K213" i="1"/>
  <c r="H213" i="1"/>
  <c r="L207" i="1"/>
  <c r="K207" i="1"/>
  <c r="H207" i="1"/>
  <c r="L206" i="1"/>
  <c r="K206" i="1"/>
  <c r="H206" i="1"/>
  <c r="L205" i="1"/>
  <c r="K205" i="1"/>
  <c r="H205" i="1"/>
  <c r="L204" i="1"/>
  <c r="K204" i="1"/>
  <c r="H204" i="1"/>
  <c r="L203" i="1"/>
  <c r="K203" i="1"/>
  <c r="H203" i="1"/>
  <c r="L202" i="1"/>
  <c r="K202" i="1"/>
  <c r="H202" i="1"/>
  <c r="L201" i="1"/>
  <c r="K201" i="1"/>
  <c r="H201" i="1"/>
  <c r="L200" i="1"/>
  <c r="K200" i="1"/>
  <c r="H200" i="1"/>
  <c r="L199" i="1"/>
  <c r="K199" i="1"/>
  <c r="H199" i="1"/>
  <c r="L198" i="1"/>
  <c r="K198" i="1"/>
  <c r="H198" i="1"/>
  <c r="L197" i="1"/>
  <c r="K197" i="1"/>
  <c r="H197" i="1"/>
  <c r="L196" i="1"/>
  <c r="K196" i="1"/>
  <c r="H196" i="1"/>
  <c r="L195" i="1"/>
  <c r="K195" i="1"/>
  <c r="H195" i="1"/>
  <c r="L194" i="1"/>
  <c r="K194" i="1"/>
  <c r="H194" i="1"/>
  <c r="L188" i="1"/>
  <c r="K188" i="1"/>
  <c r="H188" i="1"/>
  <c r="L187" i="1"/>
  <c r="K187" i="1"/>
  <c r="H187" i="1"/>
  <c r="L186" i="1"/>
  <c r="K186" i="1"/>
  <c r="H186" i="1"/>
  <c r="L185" i="1"/>
  <c r="K185" i="1"/>
  <c r="H185" i="1"/>
  <c r="L184" i="1"/>
  <c r="K184" i="1"/>
  <c r="H184" i="1"/>
  <c r="L183" i="1"/>
  <c r="K183" i="1"/>
  <c r="H183" i="1"/>
  <c r="L182" i="1"/>
  <c r="K182" i="1"/>
  <c r="H182" i="1"/>
  <c r="L176" i="1"/>
  <c r="K176" i="1"/>
  <c r="H176" i="1"/>
  <c r="L175" i="1"/>
  <c r="K175" i="1"/>
  <c r="H175" i="1"/>
  <c r="L169" i="1"/>
  <c r="K169" i="1"/>
  <c r="H169" i="1"/>
  <c r="L168" i="1"/>
  <c r="K168" i="1"/>
  <c r="H168" i="1"/>
  <c r="L167" i="1"/>
  <c r="K167" i="1"/>
  <c r="H167" i="1"/>
  <c r="L166" i="1"/>
  <c r="K166" i="1"/>
  <c r="H166" i="1"/>
  <c r="L165" i="1"/>
  <c r="K165" i="1"/>
  <c r="H165" i="1"/>
  <c r="L164" i="1"/>
  <c r="K164" i="1"/>
  <c r="H164" i="1"/>
  <c r="L163" i="1"/>
  <c r="K163" i="1"/>
  <c r="H163" i="1"/>
  <c r="L162" i="1"/>
  <c r="K162" i="1"/>
  <c r="H162" i="1"/>
  <c r="L161" i="1"/>
  <c r="K161" i="1"/>
  <c r="H161" i="1"/>
  <c r="L160" i="1"/>
  <c r="K160" i="1"/>
  <c r="H160" i="1"/>
  <c r="L154" i="1"/>
  <c r="K154" i="1"/>
  <c r="H154" i="1"/>
  <c r="L153" i="1"/>
  <c r="K153" i="1"/>
  <c r="H153" i="1"/>
  <c r="L152" i="1"/>
  <c r="K152" i="1"/>
  <c r="H152" i="1"/>
  <c r="L151" i="1"/>
  <c r="K151" i="1"/>
  <c r="H151" i="1"/>
  <c r="L150" i="1"/>
  <c r="K150" i="1"/>
  <c r="H150" i="1"/>
  <c r="L149" i="1"/>
  <c r="K149" i="1"/>
  <c r="H149" i="1"/>
  <c r="L148" i="1"/>
  <c r="K148" i="1"/>
  <c r="H148" i="1"/>
  <c r="L147" i="1"/>
  <c r="K147" i="1"/>
  <c r="H147" i="1"/>
  <c r="L146" i="1"/>
  <c r="K146" i="1"/>
  <c r="H146" i="1"/>
  <c r="L140" i="1"/>
  <c r="K140" i="1"/>
  <c r="H140" i="1"/>
  <c r="L139" i="1"/>
  <c r="K139" i="1"/>
  <c r="H139" i="1"/>
  <c r="L138" i="1"/>
  <c r="K138" i="1"/>
  <c r="H138" i="1"/>
  <c r="L137" i="1"/>
  <c r="K137" i="1"/>
  <c r="H137" i="1"/>
  <c r="L136" i="1"/>
  <c r="K136" i="1"/>
  <c r="H136" i="1"/>
  <c r="L135" i="1"/>
  <c r="K135" i="1"/>
  <c r="H135" i="1"/>
  <c r="L134" i="1"/>
  <c r="K134" i="1"/>
  <c r="H134" i="1"/>
  <c r="L133" i="1"/>
  <c r="K133" i="1"/>
  <c r="H133" i="1"/>
  <c r="L132" i="1"/>
  <c r="K132" i="1"/>
  <c r="H132" i="1"/>
  <c r="L131" i="1"/>
  <c r="K131" i="1"/>
  <c r="H131" i="1"/>
  <c r="L130" i="1"/>
  <c r="K130" i="1"/>
  <c r="H130" i="1"/>
  <c r="L129" i="1"/>
  <c r="K129" i="1"/>
  <c r="H129" i="1"/>
  <c r="L128" i="1"/>
  <c r="K128" i="1"/>
  <c r="H128" i="1"/>
  <c r="L122" i="1"/>
  <c r="K122" i="1"/>
  <c r="H122" i="1"/>
  <c r="L121" i="1"/>
  <c r="K121" i="1"/>
  <c r="H121" i="1"/>
  <c r="L120" i="1"/>
  <c r="K120" i="1"/>
  <c r="H120" i="1"/>
  <c r="L119" i="1"/>
  <c r="K119" i="1"/>
  <c r="H119" i="1"/>
  <c r="L118" i="1"/>
  <c r="K118" i="1"/>
  <c r="H118" i="1"/>
  <c r="L117" i="1"/>
  <c r="K117" i="1"/>
  <c r="H117" i="1"/>
  <c r="L116" i="1"/>
  <c r="K116" i="1"/>
  <c r="H116" i="1"/>
  <c r="L115" i="1"/>
  <c r="K115" i="1"/>
  <c r="H115" i="1"/>
  <c r="L114" i="1"/>
  <c r="K114" i="1"/>
  <c r="H114" i="1"/>
  <c r="L113" i="1"/>
  <c r="K113" i="1"/>
  <c r="H113" i="1"/>
  <c r="L112" i="1"/>
  <c r="K112" i="1"/>
  <c r="H112" i="1"/>
  <c r="L111" i="1"/>
  <c r="K111" i="1"/>
  <c r="H111" i="1"/>
  <c r="L110" i="1"/>
  <c r="K110" i="1"/>
  <c r="H110" i="1"/>
  <c r="L109" i="1"/>
  <c r="K109" i="1"/>
  <c r="H109" i="1"/>
  <c r="L108" i="1"/>
  <c r="K108" i="1"/>
  <c r="H108" i="1"/>
  <c r="L107" i="1"/>
  <c r="K107" i="1"/>
  <c r="H107" i="1"/>
  <c r="L106" i="1"/>
  <c r="K106" i="1"/>
  <c r="H106" i="1"/>
  <c r="L105" i="1"/>
  <c r="K105" i="1"/>
  <c r="H105" i="1"/>
  <c r="L104" i="1"/>
  <c r="K104" i="1"/>
  <c r="H104" i="1"/>
  <c r="L98" i="1"/>
  <c r="K98" i="1"/>
  <c r="H98" i="1"/>
  <c r="L97" i="1"/>
  <c r="K97" i="1"/>
  <c r="H97" i="1"/>
  <c r="L96" i="1"/>
  <c r="K96" i="1"/>
  <c r="H96" i="1"/>
  <c r="L95" i="1"/>
  <c r="K95" i="1"/>
  <c r="H95" i="1"/>
  <c r="L94" i="1"/>
  <c r="K94" i="1"/>
  <c r="H94" i="1"/>
  <c r="L93" i="1"/>
  <c r="K93" i="1"/>
  <c r="H93" i="1"/>
  <c r="L92" i="1"/>
  <c r="K92" i="1"/>
  <c r="H92" i="1"/>
  <c r="L86" i="1"/>
  <c r="K86" i="1"/>
  <c r="H86" i="1"/>
  <c r="L85" i="1"/>
  <c r="K85" i="1"/>
  <c r="H85" i="1"/>
  <c r="L84" i="1"/>
  <c r="K84" i="1"/>
  <c r="H84" i="1"/>
  <c r="L83" i="1"/>
  <c r="K83" i="1"/>
  <c r="H83" i="1"/>
  <c r="L82" i="1"/>
  <c r="K82" i="1"/>
  <c r="H82" i="1"/>
  <c r="L81" i="1"/>
  <c r="K81" i="1"/>
  <c r="H81" i="1"/>
  <c r="L80" i="1"/>
  <c r="K80" i="1"/>
  <c r="H80" i="1"/>
  <c r="L79" i="1"/>
  <c r="K79" i="1"/>
  <c r="H79" i="1"/>
  <c r="L78" i="1"/>
  <c r="K78" i="1"/>
  <c r="H78" i="1"/>
  <c r="L77" i="1"/>
  <c r="K77" i="1"/>
  <c r="H77" i="1"/>
  <c r="M69" i="1"/>
  <c r="L69" i="1"/>
  <c r="I69" i="1"/>
  <c r="M68" i="1"/>
  <c r="L68" i="1"/>
  <c r="I68" i="1"/>
  <c r="M67" i="1"/>
  <c r="L67" i="1"/>
  <c r="I67" i="1"/>
  <c r="M66" i="1"/>
  <c r="L66" i="1"/>
  <c r="I66" i="1"/>
  <c r="M65" i="1"/>
  <c r="L65" i="1"/>
  <c r="I65" i="1"/>
  <c r="M64" i="1"/>
  <c r="L64" i="1"/>
  <c r="I64" i="1"/>
  <c r="M63" i="1"/>
  <c r="L63" i="1"/>
  <c r="I63" i="1"/>
  <c r="M62" i="1"/>
  <c r="L62" i="1"/>
  <c r="I62" i="1"/>
  <c r="M61" i="1"/>
  <c r="L61" i="1"/>
  <c r="I61" i="1"/>
  <c r="M60" i="1"/>
  <c r="L60" i="1"/>
  <c r="I60" i="1"/>
  <c r="M59" i="1"/>
  <c r="L59" i="1"/>
  <c r="I59" i="1"/>
  <c r="M58" i="1"/>
  <c r="L58" i="1"/>
  <c r="I58" i="1"/>
  <c r="M57" i="1"/>
  <c r="L57" i="1"/>
  <c r="I57" i="1"/>
  <c r="M56" i="1"/>
  <c r="L56" i="1"/>
  <c r="I56" i="1"/>
  <c r="M55" i="1"/>
  <c r="L55" i="1"/>
  <c r="I55" i="1"/>
  <c r="M54" i="1"/>
  <c r="L54" i="1"/>
  <c r="I54" i="1"/>
  <c r="M53" i="1"/>
  <c r="L53" i="1"/>
  <c r="I53" i="1"/>
  <c r="M52" i="1"/>
  <c r="L52" i="1"/>
  <c r="I52" i="1"/>
  <c r="M51" i="1"/>
  <c r="L51" i="1"/>
  <c r="I51" i="1"/>
  <c r="M50" i="1"/>
  <c r="L50" i="1"/>
  <c r="I50" i="1"/>
  <c r="M49" i="1"/>
  <c r="L49" i="1"/>
  <c r="I49" i="1"/>
  <c r="M48" i="1"/>
  <c r="L48" i="1"/>
  <c r="I48" i="1"/>
  <c r="M47" i="1"/>
  <c r="L47" i="1"/>
  <c r="I47" i="1"/>
  <c r="M46" i="1"/>
  <c r="L46" i="1"/>
  <c r="I46" i="1"/>
  <c r="M45" i="1"/>
  <c r="L45" i="1"/>
  <c r="I45" i="1"/>
  <c r="M44" i="1"/>
  <c r="L44" i="1"/>
  <c r="I44" i="1"/>
  <c r="M43" i="1"/>
  <c r="L43" i="1"/>
  <c r="I43" i="1"/>
  <c r="M42" i="1"/>
  <c r="L42" i="1"/>
  <c r="I42" i="1"/>
  <c r="M41" i="1"/>
  <c r="L41" i="1"/>
  <c r="I41" i="1"/>
  <c r="M40" i="1"/>
  <c r="L40" i="1"/>
  <c r="I40" i="1"/>
  <c r="M39" i="1"/>
  <c r="L39" i="1"/>
  <c r="I39" i="1"/>
  <c r="M38" i="1"/>
  <c r="L38" i="1"/>
  <c r="I38" i="1"/>
  <c r="M37" i="1"/>
  <c r="L37" i="1"/>
  <c r="I37" i="1"/>
  <c r="M36" i="1"/>
  <c r="L36" i="1"/>
  <c r="I36" i="1"/>
  <c r="M35" i="1"/>
  <c r="L35" i="1"/>
  <c r="I35" i="1"/>
  <c r="M34" i="1"/>
  <c r="L34" i="1"/>
  <c r="I34" i="1"/>
  <c r="M33" i="1"/>
  <c r="L33" i="1"/>
  <c r="I33" i="1"/>
  <c r="M32" i="1"/>
  <c r="L32" i="1"/>
  <c r="I32" i="1"/>
  <c r="M31" i="1"/>
  <c r="L31" i="1"/>
  <c r="I31" i="1"/>
  <c r="M30" i="1"/>
  <c r="L30" i="1"/>
  <c r="I30" i="1"/>
  <c r="M29" i="1"/>
  <c r="L29" i="1"/>
  <c r="I29" i="1"/>
  <c r="M28" i="1"/>
  <c r="L28" i="1"/>
  <c r="I28" i="1"/>
  <c r="M27" i="1"/>
  <c r="L27" i="1"/>
  <c r="I27" i="1"/>
  <c r="M26" i="1"/>
  <c r="L26" i="1"/>
  <c r="I26" i="1"/>
  <c r="M25" i="1"/>
  <c r="L25" i="1"/>
  <c r="I25" i="1"/>
  <c r="M24" i="1"/>
  <c r="L24" i="1"/>
  <c r="I24" i="1"/>
  <c r="M23" i="1"/>
  <c r="L23" i="1"/>
  <c r="I23" i="1"/>
  <c r="M22" i="1"/>
  <c r="L22" i="1"/>
  <c r="I22" i="1"/>
  <c r="M21" i="1"/>
  <c r="L21" i="1"/>
  <c r="I21" i="1"/>
  <c r="M20" i="1"/>
  <c r="L20" i="1"/>
  <c r="I20" i="1"/>
  <c r="M19" i="1"/>
  <c r="L19" i="1"/>
  <c r="I19" i="1"/>
  <c r="M18" i="1"/>
  <c r="L18" i="1"/>
  <c r="I18" i="1"/>
  <c r="M17" i="1"/>
  <c r="L17" i="1"/>
  <c r="I17" i="1"/>
  <c r="M16" i="1"/>
  <c r="L16" i="1"/>
  <c r="I16" i="1"/>
  <c r="M15" i="1"/>
  <c r="L15" i="1"/>
  <c r="I15" i="1"/>
  <c r="M14" i="1"/>
  <c r="L14" i="1"/>
  <c r="I14" i="1"/>
  <c r="M13" i="1"/>
  <c r="L13" i="1"/>
  <c r="I13" i="1"/>
  <c r="M12" i="1"/>
  <c r="L12" i="1"/>
  <c r="I12" i="1"/>
  <c r="M11" i="1"/>
  <c r="L11" i="1"/>
  <c r="I11" i="1"/>
  <c r="M10" i="1"/>
  <c r="L10" i="1"/>
  <c r="I10" i="1"/>
  <c r="M9" i="1"/>
  <c r="L9" i="1"/>
  <c r="I9" i="1"/>
  <c r="M8" i="1"/>
  <c r="L8" i="1"/>
  <c r="I8" i="1"/>
</calcChain>
</file>

<file path=xl/sharedStrings.xml><?xml version="1.0" encoding="utf-8"?>
<sst xmlns="http://schemas.openxmlformats.org/spreadsheetml/2006/main" count="3587" uniqueCount="363">
  <si>
    <t>Informe de trayectos</t>
  </si>
  <si>
    <t>Periodo: 12 de febrero de 2025 0:00 - 12 de febrero de 2025 23:59</t>
  </si>
  <si>
    <t>Informe generado</t>
  </si>
  <si>
    <t>a: 22 de septiembre de 2025 14:13</t>
  </si>
  <si>
    <t>Resumen del informe</t>
  </si>
  <si>
    <t>Nombre de objeto</t>
  </si>
  <si>
    <t>Hora de inicio de trabajo</t>
  </si>
  <si>
    <t>Ubicación de inicio de trabajo</t>
  </si>
  <si>
    <t>Hora de fin de trabajo</t>
  </si>
  <si>
    <t>Ubicación de fin de trabajo</t>
  </si>
  <si>
    <t>Kilometraje recorrido</t>
  </si>
  <si>
    <t>Kilometraje al inicio</t>
  </si>
  <si>
    <t>Kilometraje al final</t>
  </si>
  <si>
    <t>Duración de inactividad</t>
  </si>
  <si>
    <t>Velocidad máxima</t>
  </si>
  <si>
    <t>Velocidad media</t>
  </si>
  <si>
    <t>Duración del trabajo</t>
  </si>
  <si>
    <t>Duración de parada</t>
  </si>
  <si>
    <t>Ate, Lima Metropolitana, Lima, 15498, Perú</t>
  </si>
  <si>
    <t>94 km/h</t>
  </si>
  <si>
    <t>15 km/h</t>
  </si>
  <si>
    <t>Avenida Lima Norte, Santa Eulalia, Lima Metropolitana, Lima, 15468, Perú</t>
  </si>
  <si>
    <t>82 km/h</t>
  </si>
  <si>
    <t>19 km/h</t>
  </si>
  <si>
    <t>Avenida Los Incas, Ate, Lima Metropolitana, Lima, 15483, Perú</t>
  </si>
  <si>
    <t>Los Huancas, Ate, Lima Metropolitana, Lima, 15483, Perú</t>
  </si>
  <si>
    <t>Calle Manantiales de Vida, Ate, Lima Metropolitana, Lima, 15487, Perú</t>
  </si>
  <si>
    <t>81 km/h</t>
  </si>
  <si>
    <t>17 km/h</t>
  </si>
  <si>
    <t>Ate, Lima Metropolitana, Lima, 15483, Perú</t>
  </si>
  <si>
    <t>74 km/h</t>
  </si>
  <si>
    <t>18 km/h</t>
  </si>
  <si>
    <t>Carretera Central, Chaclacayo, Lima Metropolitana, Lima, 15476, Perú</t>
  </si>
  <si>
    <t>72 km/h</t>
  </si>
  <si>
    <t>16 km/h</t>
  </si>
  <si>
    <t>Calle los Alamos, Chosica, Lima Metropolitana, Lima, 15468, Perú</t>
  </si>
  <si>
    <t>Avenida Las Retamas, Ricardo Palma, Huarochirí, Lima, 15468, Perú</t>
  </si>
  <si>
    <t>80 km/h</t>
  </si>
  <si>
    <t>Calle Las Gardenias, Ricardo Palma, Huarochirí, Lima, 15468, Perú</t>
  </si>
  <si>
    <t>14 km/h</t>
  </si>
  <si>
    <t>Capitan Gamarra, Ricardo Palma, Huarochirí, Lima, 15468, Perú, (Ruta4507nueva era 23-10-23)</t>
  </si>
  <si>
    <t>70 km/h</t>
  </si>
  <si>
    <t>0 km/h</t>
  </si>
  <si>
    <t>Avenida José Carlos Mariátegui, Ricardo Palma, Huarochirí, Lima, 15468, Perú</t>
  </si>
  <si>
    <t>Calle Huayna Cápac, 200, Chaclacayo, Lima Metropolitana, Lima, 15474, Perú</t>
  </si>
  <si>
    <t>147 km/h</t>
  </si>
  <si>
    <t>13 km/h</t>
  </si>
  <si>
    <t>Avenida Micaela Bastidas, 382, Santa Eulalia, Huarochirí, Lima, 15468, Perú</t>
  </si>
  <si>
    <t>Calle Nueva Los Alamos, Santa Eulalia, Huarochirí, Lima, 15468, Perú</t>
  </si>
  <si>
    <t>77 km/h</t>
  </si>
  <si>
    <t>Calle Cerro de Pasco, Ate, Lima Metropolitana, Lima, 15498, Perú</t>
  </si>
  <si>
    <t>73 km/h</t>
  </si>
  <si>
    <t>Avenida Bernard de Balaguer, Lurigancho, Lima Metropolitana, Lima, 15464, Perú</t>
  </si>
  <si>
    <t>75 km/h</t>
  </si>
  <si>
    <t>63 km/h</t>
  </si>
  <si>
    <t>12 km/h</t>
  </si>
  <si>
    <t>69 km/h</t>
  </si>
  <si>
    <t>Calle 1, Ate, Lima Metropolitana, Lima, 15483, Perú</t>
  </si>
  <si>
    <t>76 km/h</t>
  </si>
  <si>
    <t>Avenida Las Retamas, Chaclacayo, Lima Metropolitana, Lima, 15474, Perú</t>
  </si>
  <si>
    <t>Avenida Los Cipreses, Santa Anita, Lima Metropolitana, Lima, 15002, Perú, (RUTA DESVIO TEM.  4507)</t>
  </si>
  <si>
    <t>Calle Leoncio Prado, Santa Eulalia, Huarochirí, Lima, 15468, Perú</t>
  </si>
  <si>
    <t>Avenida Simón Bolívar, Santa Eulalia, Huarochirí, Lima, 15468, Perú</t>
  </si>
  <si>
    <t>Calle Estocolmo, Ate, Lima Metropolitana, Lima, 15498, Perú</t>
  </si>
  <si>
    <t>Calle Las Tunas, Santa Anita, Lima Metropolitana, Lima, 15007, Perú</t>
  </si>
  <si>
    <t>67 km/h</t>
  </si>
  <si>
    <t>Calle Los Topacios, Lurigancho, Lima Metropolitana, Lima, 15472, Perú</t>
  </si>
  <si>
    <t>78 km/h</t>
  </si>
  <si>
    <t>Avenida Andrés Avelino Cáceres, Ate, Lima Metropolitana, Lima, 15019, Perú</t>
  </si>
  <si>
    <t>Carretera Panamericana Sur, Km. 49, Santa María del Mar, Lima Metropolitana, Lima, 15856, Perú</t>
  </si>
  <si>
    <t>20 km/h</t>
  </si>
  <si>
    <t>Avenida Paseo de la República, Lima, Lima Metropolitana, Lima, 15083, Perú, (Ruta4507nueva era 23-10-23)</t>
  </si>
  <si>
    <t>Carretera Central, Ate, Lima Metropolitana, Lima, 15487, Perú, (Ruta4507nueva era 23-10-23)</t>
  </si>
  <si>
    <t>91 km/h</t>
  </si>
  <si>
    <t>83 km/h</t>
  </si>
  <si>
    <t>Calle 11, Santa Anita, Lima Metropolitana, Lima, 15009, Perú</t>
  </si>
  <si>
    <t>40 km/h</t>
  </si>
  <si>
    <t>3 km/h</t>
  </si>
  <si>
    <t>Carretera Central, Km. 17.5, Chaclacayo, Lima Metropolitana, Lima, 15474, Perú</t>
  </si>
  <si>
    <t>Ate, Lima Metropolitana, Lima, 15474, Perú</t>
  </si>
  <si>
    <t>Jirón Tacna, Chosica, Lima Metropolitana, Lima, 15468, Perú</t>
  </si>
  <si>
    <t>Chosica, Lima Metropolitana, Lima, 15468, Perú</t>
  </si>
  <si>
    <t>Calle Los Álamos, Ate, Lima Metropolitana, Lima, 15483, Perú</t>
  </si>
  <si>
    <t>79 km/h</t>
  </si>
  <si>
    <t>Avenida Enrique Guzmán y Valle, Chosica, Lima Metropolitana, Lima, 15468, Perú</t>
  </si>
  <si>
    <t>86 km/h</t>
  </si>
  <si>
    <t>Calle El Trabajo, Ate, Lima Metropolitana, Lima, 15498, Perú, (Ruta4507nueva era 23-10-23)</t>
  </si>
  <si>
    <t>Carretera Central, Ate, Lima Metropolitana, Lima, 15474, Perú, (Ruta4507nueva era 23-10-23)</t>
  </si>
  <si>
    <t>90 km/h</t>
  </si>
  <si>
    <t>Avenida Andrés Avelino Cáceres, Ate, Lima Metropolitana, Lima, 15483, Perú</t>
  </si>
  <si>
    <t>Santa Eulalia, Huarochirí, Lima, 15468, Perú</t>
  </si>
  <si>
    <t>98 km/h</t>
  </si>
  <si>
    <t>Avenida José Santos Chocano, Ricardo Palma, Huarochirí, Lima, 15468, Perú</t>
  </si>
  <si>
    <t>89 km/h</t>
  </si>
  <si>
    <t>Avenida Nicolás de Ayllón, Ate, Lima Metropolitana, Lima, 15487, Perú, (Ruta4507nueva era 23-10-23)</t>
  </si>
  <si>
    <t>Ate, Lima Metropolitana, Lima, 15487, Perú</t>
  </si>
  <si>
    <t>Corcona, Huarochirí, Lima, Perú</t>
  </si>
  <si>
    <t>61 km/h</t>
  </si>
  <si>
    <t>Lurigancho, Lima Metropolitana, Lima, 15468, Perú</t>
  </si>
  <si>
    <t>Avenida Nicolás de Ayllón, Santa Anita, Lima Metropolitana, Lima, 15008, Perú, (Ruta4507nueva era 23-10-23, RUTA DESVIO TEM.  4507)</t>
  </si>
  <si>
    <t>88 km/h</t>
  </si>
  <si>
    <t>Avenida Colectora, Chosica, Lima Metropolitana, Lima, 15468, Perú</t>
  </si>
  <si>
    <t>Calle 3, Chosica, Lima Metropolitana, Lima, 15468, Perú</t>
  </si>
  <si>
    <t>Avenida Micaela Bastidas, 561, Santa Eulalia, Huarochirí, Lima, 15468, Perú</t>
  </si>
  <si>
    <t>Carretera Central, Chaclacayo, Lima Metropolitana, Lima, 15474, Perú, (Ruta4507nueva era 23-10-23)</t>
  </si>
  <si>
    <t>Micaela Bastidas, Ate, Lima Metropolitana, Lima, 15498, Perú</t>
  </si>
  <si>
    <t>Avenida Inca Garcilazo de la Vega, Lima, Lima Metropolitana, Lima, 15004, Perú</t>
  </si>
  <si>
    <t>Avenida Simón Bolívar, Santa Eulalia, Huarochirí, Lima, 15468, Perú, (Ruta4507nueva era 23-10-23)</t>
  </si>
  <si>
    <t>99 km/h</t>
  </si>
  <si>
    <t>Avenida Lima Norte, Chosica, Lima Metropolitana, Lima, 15468, Perú</t>
  </si>
  <si>
    <t>Avenida Metropolitana, Ate, Lima Metropolitana, Lima, 15498, Perú, (RUTA DESVIO TEM.  4507)</t>
  </si>
  <si>
    <t>Avenida Nicolás Ayllón, 137, Lima, Lima Metropolitana, Lima, 15011, Perú, (Ruta4507nueva era 23-10-23)</t>
  </si>
  <si>
    <t>87 km/h</t>
  </si>
  <si>
    <t>Calle 2, Ate, Lima Metropolitana, Lima, 15487, Perú</t>
  </si>
  <si>
    <t>92 km/h</t>
  </si>
  <si>
    <t>Jirón Los Próceres, Santa Eulalia, Huarochirí, Lima, 15468, Perú</t>
  </si>
  <si>
    <t>23 km/h</t>
  </si>
  <si>
    <t>Totales:</t>
  </si>
  <si>
    <t/>
  </si>
  <si>
    <t>* Los datos de combustible se calculan de acuerdo con el consumo medio de combustible del vehículo especificado en su configuración</t>
  </si>
  <si>
    <t>Avenida José Carlos Mariátegui, Ricardo Palma, Huarochirí, Lima, 15468, Perú, (Ruta4507nueva era 23-10-23)</t>
  </si>
  <si>
    <t>Jirón Sánchez Pinillos, Lima, Lima Metropolitana, Lima, 15082, Perú</t>
  </si>
  <si>
    <t>Avenida Nicolás Ayllón, Chaclacayo, Lima Metropolitana, Lima, 15472, Perú</t>
  </si>
  <si>
    <t>Avenida Malecón Manco Cápac, Chaclacayo, Lima Metropolitana, Lima, 15472, Perú, (Ruta4507nueva era 23-10-23)</t>
  </si>
  <si>
    <t>21 km/h</t>
  </si>
  <si>
    <t>Prolongación Javier Prado Este, Ate, Lima Metropolitana, Lima, 15498, Perú, (RUTA DESVIO TEM.  4507)</t>
  </si>
  <si>
    <t>11 km/h</t>
  </si>
  <si>
    <t>Calle Berlin, Ate, Lima Metropolitana, Lima, 15498, Perú, (RUTA DESVIO TEM.  4507)</t>
  </si>
  <si>
    <t>2 km/h</t>
  </si>
  <si>
    <t>Calle Berlín, Ate, Lima Metropolitana, Lima, 15498, Perú</t>
  </si>
  <si>
    <t>43 km/h</t>
  </si>
  <si>
    <t>6 km/h</t>
  </si>
  <si>
    <t>Marcos Puente Llanos, Ate, Lima Metropolitana, Lima, 15498, Perú, (RUTA DESVIO TEM.  4507)</t>
  </si>
  <si>
    <t>4 km/h</t>
  </si>
  <si>
    <t>22 km/h</t>
  </si>
  <si>
    <t>Jose Carlos Mariátegui, Chosica, Lima Metropolitana, Lima, 15468, Perú, (PARADERO RICARDO PALMA)</t>
  </si>
  <si>
    <t>29 km/h</t>
  </si>
  <si>
    <t>9 km/h</t>
  </si>
  <si>
    <t>Jose Carlos Mariátegui, Ricardo Palma, Lima Metropolitana, Lima, 15468, Perú, (PARADERO RICARDO PALMA)</t>
  </si>
  <si>
    <t>Avenida Lima Norte, Santa Eulalia, Huarochirí, Lima, 15468, Perú</t>
  </si>
  <si>
    <t>26 km/h</t>
  </si>
  <si>
    <t>Avenida Lima Norte, Santa Eulalia, Huarochirí, Lima, 15468, Perú, (Ruta4507nueva era 23-10-23)</t>
  </si>
  <si>
    <t>28 km/h</t>
  </si>
  <si>
    <t>7 km/h</t>
  </si>
  <si>
    <t>30 km/h</t>
  </si>
  <si>
    <t>Carretera Central, Chaclacayo, Lima Metropolitana, Lima, 15464, Perú, (Ruta4507nueva era 23-10-23)</t>
  </si>
  <si>
    <t>33 km/h</t>
  </si>
  <si>
    <t>Avenida De Las Torres, San Luis, Lima Metropolitana, Lima, 15022, Perú</t>
  </si>
  <si>
    <t>8 km/h</t>
  </si>
  <si>
    <t>5 km/h</t>
  </si>
  <si>
    <t>1 km/h</t>
  </si>
  <si>
    <t>Jirón Tacna, Chosica, Lima Metropolitana, Lima, 15468, Perú, (Ruta4507nueva era 23-10-23)</t>
  </si>
  <si>
    <t>Avenida Alexander Fleming, Ate, Lima Metropolitana, Lima, 15002, Perú</t>
  </si>
  <si>
    <t>59 km/h</t>
  </si>
  <si>
    <t>Carretera Central, Ate, Lima Metropolitana, Lima, 15474, Perú</t>
  </si>
  <si>
    <t>65 km/h</t>
  </si>
  <si>
    <t>39 km/h</t>
  </si>
  <si>
    <t>60 km/h</t>
  </si>
  <si>
    <t>Avenida Paseo de la República, 385, La Victoria, Lima Metropolitana, Lima, 15001, Perú</t>
  </si>
  <si>
    <t>64 km/h</t>
  </si>
  <si>
    <t>Carretera Central, Chaclacayo, Lima Metropolitana, Lima, 15474, Perú</t>
  </si>
  <si>
    <t>56 km/h</t>
  </si>
  <si>
    <t>55 km/h</t>
  </si>
  <si>
    <t>Avenida La Estrella, Ate, Lima Metropolitana, Lima, 15487, Perú</t>
  </si>
  <si>
    <t>10 km/h</t>
  </si>
  <si>
    <t>Avenida Sol de las Viñas, Ate, Lima Metropolitana, Lima, 15487, Perú</t>
  </si>
  <si>
    <t>Chaclacayo, Lima Metropolitana, Lima, 15476, Perú</t>
  </si>
  <si>
    <t>37 km/h</t>
  </si>
  <si>
    <t>47 km/h</t>
  </si>
  <si>
    <t>Pasaje Gould, Lima, Lima Metropolitana, Lima, 15082, Perú</t>
  </si>
  <si>
    <t>Calle Los Ficus, Chaclacayo, Lima Metropolitana, Lima, 15472, Perú</t>
  </si>
  <si>
    <t>Avenida Unión, Chaclacayo, Lima Metropolitana, Lima, 15476, Perú</t>
  </si>
  <si>
    <t>62 km/h</t>
  </si>
  <si>
    <t>32 km/h</t>
  </si>
  <si>
    <t>52 km/h</t>
  </si>
  <si>
    <t>Calle Córdova, Ricardo Palma, Huarochirí, Lima, 15468, Perú, (Ruta4507nueva era 23-10-23)</t>
  </si>
  <si>
    <t>24 km/h</t>
  </si>
  <si>
    <t>53 km/h</t>
  </si>
  <si>
    <t>Marcos Puente Llanos, Ate, Lima Metropolitana, Lima, 15498, Perú</t>
  </si>
  <si>
    <t>Jirón Cornelio Borda, Lima, Lima Metropolitana, Lima, 15082, Perú</t>
  </si>
  <si>
    <t>66 km/h</t>
  </si>
  <si>
    <t>25 km/h</t>
  </si>
  <si>
    <t>Pasaje Gould, Lima, Lima Metropolitana, Lima, 15082, Perú, (PARADERO DESTINO ASCOPE)</t>
  </si>
  <si>
    <t>Ricardo Palma, Huarochirí, Lima, 15468, Perú, (Ruta4507nueva era 23-10-23)</t>
  </si>
  <si>
    <t>57 km/h</t>
  </si>
  <si>
    <t>Simón Bolívar, Ricardo Palma, Huarochirí, Lima, 15468, Perú</t>
  </si>
  <si>
    <t>Avenida Iquitos, Lima, Lima Metropolitana, Lima, 15001, Perú, (Ruta4507nueva era 23-10-23)</t>
  </si>
  <si>
    <t>Abraham Valdelomar, Ricardo Palma, Huarochirí, Lima, 15468, Perú</t>
  </si>
  <si>
    <t>Jirón Huarochirí, 643, Lima, Lima Metropolitana, Lima, 15082, Perú</t>
  </si>
  <si>
    <t>31 km/h</t>
  </si>
  <si>
    <t>Carretera Central, Chaclacayo, Lima Metropolitana, Lima, 15476, Perú, (Ruta4507nueva era 23-10-23)</t>
  </si>
  <si>
    <t>Calle Manuel Gonzales Prada, Ricardo Palma, Huarochirí, Lima, 15468, Perú, (Ruta4507nueva era 23-10-23)</t>
  </si>
  <si>
    <t>Avenida José Carlos Mariátegui, Ricardo Palma, Huarochirí, Lima, 15468, Perú, (CURVA RICARDO PALMA, Ruta4507nueva era 23-10-23)</t>
  </si>
  <si>
    <t>Ricardo Palma, Huarochirí, Lima, 15468, Perú, (CURVA RICARDO PALMA, Ruta4507nueva era 23-10-23)</t>
  </si>
  <si>
    <t>Jirón Huarochirí, Lima, Lima Metropolitana, Lima, 15082, Perú</t>
  </si>
  <si>
    <t>Jirón Ascope, Lima, Lima Metropolitana, Lima, 15082, Perú, (PARADERO DESTINO ASCOPE)</t>
  </si>
  <si>
    <t>Jirón Ascope, Lima, Lima Metropolitana, Lima, 15082, Perú, (PARADERO DESTINO ASCOPE, Ruta4507nueva era 23-10-23)</t>
  </si>
  <si>
    <t>Carretera Central, Ricardo Palma, Huarochirí, Lima, 15468, Perú</t>
  </si>
  <si>
    <t>Víctor Raúl Haya de la Torre, Ate, Lima Metropolitana, Lima, 15498, Perú, (Ruta4507nueva era 23-10-23)</t>
  </si>
  <si>
    <t>Avenida Río Perene, Ate, Lima Metropolitana, Lima, 15498, Perú</t>
  </si>
  <si>
    <t>27 km/h</t>
  </si>
  <si>
    <t>Vía de Evitamiento, Ate, Lima Metropolitana, Lima, 15008, Perú, (Ruta4507nueva era 23-10-23)</t>
  </si>
  <si>
    <t>Jirón Zorritos, 612, Lima, Lima Metropolitana, Lima, 15082, Perú</t>
  </si>
  <si>
    <t>Calle Arequipa, Ate, Lima Metropolitana, Lima, 15498, Perú</t>
  </si>
  <si>
    <t>Calle Atahualpa, Chaclacayo, Lima Metropolitana, Lima, 15474, Perú</t>
  </si>
  <si>
    <t>49 km/h</t>
  </si>
  <si>
    <t>Avenida Paseo de la República, 400, Jesús María, Lima Metropolitana, Lima, 15001, Perú</t>
  </si>
  <si>
    <t>68 km/h</t>
  </si>
  <si>
    <t>36 km/h</t>
  </si>
  <si>
    <t>Calle Cusco, Chosica, Lima Metropolitana, Lima, 15468, Perú</t>
  </si>
  <si>
    <t>Avenida Jaime Zubieta Calderón, Ate, Lima Metropolitana, Lima, 15483, Perú</t>
  </si>
  <si>
    <t>38 km/h</t>
  </si>
  <si>
    <t>54 km/h</t>
  </si>
  <si>
    <t>Avenida San Martín, Santa Eulalia, Huarochirí, Lima, 15468, Perú</t>
  </si>
  <si>
    <t>Calle Cesar Vallejo, Ricardo Palma, Huarochirí, Lima, 15468, Perú</t>
  </si>
  <si>
    <t>Avenida Nicolás de Ayllón, Ate, Lima Metropolitana, Lima, 15498, Perú, (Ruta4507nueva era 23-10-23)</t>
  </si>
  <si>
    <t>34 km/h</t>
  </si>
  <si>
    <t>Ate, Lima Metropolitana, Lima, 15498, Perú, (Ruta4507nueva era 23-10-23)</t>
  </si>
  <si>
    <t>Vista Alegre, Ate, Lima Metropolitana, Lima, 15498, Perú</t>
  </si>
  <si>
    <t>Calle 30, Santa Anita, Lima Metropolitana, Lima, 15007, Perú</t>
  </si>
  <si>
    <t>Ciclovía Colonial, Lima, Lima Metropolitana, Lima, 15082, Perú, (Ruta4507nueva era 23-10-23)</t>
  </si>
  <si>
    <t>Avenida 9 de Diciembre, 150, Lima, Lima Metropolitana, Lima, 15083, Perú, (Ruta4507nueva era 23-10-23)</t>
  </si>
  <si>
    <t>Avenida Alfonso Cobián, Chaclacayo, Lima Metropolitana, Lima, 15476, Perú</t>
  </si>
  <si>
    <t>Calle Alhelíes, Chaclacayo, Lima Metropolitana, Lima, 15476, Perú</t>
  </si>
  <si>
    <t>Simón Bolívar, Ricardo Palma, Huarochirí, Lima, 15468, Perú, (TALLER TRASANDINO)</t>
  </si>
  <si>
    <t>71 km/h</t>
  </si>
  <si>
    <t>44 km/h</t>
  </si>
  <si>
    <t>Calle Principal (Huascata), Chaclacayo, Lima Metropolitana, Lima, 15474, Perú</t>
  </si>
  <si>
    <t>Chaclacayo, Lima Metropolitana, Lima, 15474, Perú</t>
  </si>
  <si>
    <t>Chaclacayo, Lima Metropolitana, Lima, 15474, Perú, (Ruta4507nueva era 23-10-23)</t>
  </si>
  <si>
    <t>Calle Abraham Valdelomar, 108, Ricardo Palma, Huarochirí, Lima, 15468, Perú</t>
  </si>
  <si>
    <t>Jirón Zepita, 101, Lima, Lima Metropolitana, Lima, 15082, Perú</t>
  </si>
  <si>
    <t>Avenida Lima Sur, Chosica, Lima Metropolitana, Lima, 15468, Perú</t>
  </si>
  <si>
    <t>85 km/h</t>
  </si>
  <si>
    <t>Carretera Central, Ate, Lima Metropolitana, Lima, 15483, Perú, (Ruta4507nueva era 23-10-23)</t>
  </si>
  <si>
    <t>Avenida Jaime Zubieta Calderón, Ate, Lima Metropolitana, Lima, 15483, Perú, (Ruta4507nueva era 23-10-23)</t>
  </si>
  <si>
    <t>Avenida Nicolás de Ayllón, Santa Anita, Lima Metropolitana, Lima, 15498, Perú, (Ruta4507nueva era 23-10-23)</t>
  </si>
  <si>
    <t>51 km/h</t>
  </si>
  <si>
    <t>Avenida de La Cultura, Santa Anita, Lima Metropolitana, Lima, 15009, Perú</t>
  </si>
  <si>
    <t>Avenida Calca, Ate, Lima Metropolitana, Lima, 15008, Perú</t>
  </si>
  <si>
    <t>Jorge Basadre, Ate, Lima Metropolitana, Lima, 15008, Perú</t>
  </si>
  <si>
    <t>Avenida Santa Rosa, Ate, Lima Metropolitana, Lima, 15002, Perú</t>
  </si>
  <si>
    <t>Avenida Metropolitana, Santa Anita, Lima Metropolitana, Lima, 15009, Perú</t>
  </si>
  <si>
    <t>Avenida Nicolás Ayllón, Chaclacayo, Lima Metropolitana, Lima, 15472, Perú, (Ruta4507nueva era 23-10-23)</t>
  </si>
  <si>
    <t>Chaclacayo, Lima Metropolitana, Lima, 15472, Perú, (Ruta4507nueva era 23-10-23)</t>
  </si>
  <si>
    <t>Avenida José de la Riva Aguero, El Agustino, Lima Metropolitana, Lima, 15004, Perú</t>
  </si>
  <si>
    <t>Avenida Nicolás Arriola, San Luis, Lima Metropolitana, Lima, 15019, Perú</t>
  </si>
  <si>
    <t>Ricardo Palma, Huarochirí, Lima, 15468, Perú, (Exceso de Velocidad)</t>
  </si>
  <si>
    <t>Jose Carlos Mariátegui, Ricardo Palma, Lima Metropolitana, Lima, 15468, Perú, (PARADERO RICARDO PALMA, Exceso de Velocidad)</t>
  </si>
  <si>
    <t>Avenida Lima Norte, Chosica, Lima Metropolitana, Lima, 15468, Perú, (Ruta4507nueva era 23-10-23)</t>
  </si>
  <si>
    <t>Avenida Lima Norte, 474, Chosica, Lima Metropolitana, Lima, 15468, Perú, (Ruta4507nueva era 23-10-23)</t>
  </si>
  <si>
    <t>Jirón Trujillo Sur, Chosica, Lima Metropolitana, Lima, 15468, Perú</t>
  </si>
  <si>
    <t>Jirón Chucuito, 187, Chosica, Lima Metropolitana, Lima, 15468, Perú</t>
  </si>
  <si>
    <t>Avenida Las Flores, Chosica, Lima Metropolitana, Lima, 15468, Perú, (Ruta4507nueva era 23-10-23)</t>
  </si>
  <si>
    <t>48 km/h</t>
  </si>
  <si>
    <t>Metropolitano, Lima, Lima Metropolitana, Lima, 15001, Perú, (Ruta4507nueva era 23-10-23)</t>
  </si>
  <si>
    <t>Jirón Iquitos, Chosica, Lima Metropolitana, Lima, 15468, Perú</t>
  </si>
  <si>
    <t>Avenida Palomar Sur, Santa Eulalia, Huarochirí, Lima, 15468, Perú</t>
  </si>
  <si>
    <t>58 km/h</t>
  </si>
  <si>
    <t>Avenida José Carlos Mariátegui, Ate, Lima Metropolitana, Lima, 15483, Perú</t>
  </si>
  <si>
    <t>Avenida Almirante Miguel Grau, 351, La Victoria, Lima Metropolitana, Lima, 15001, Perú</t>
  </si>
  <si>
    <t>Avenida Almirante Miguel Grau, 351, La Victoria, Lima Metropolitana, Lima, 15001, Perú, (Ruta4507nueva era 23-10-23)</t>
  </si>
  <si>
    <t>Avenida Almirante Miguel Grau, 300, La Victoria, Lima Metropolitana, Lima, 15001, Perú, (Ruta4507nueva era 23-10-23)</t>
  </si>
  <si>
    <t>Vía Expresa Almirante Miguel Grau, La Victoria, Lima Metropolitana, Lima, 15001, Perú, (Ruta4507nueva era 23-10-23)</t>
  </si>
  <si>
    <t>Avenida Colectora, Frnt. O1_5, Ate, Lima Metropolitana, Lima, 15483, Perú</t>
  </si>
  <si>
    <t>41 km/h</t>
  </si>
  <si>
    <t>Calle Angel Cepollini, San Luis, Lima Metropolitana, Lima, 15019, Perú</t>
  </si>
  <si>
    <t>Avenida Alfonso Ugarte, 650, Lima, Lima Metropolitana, Lima, 15082, Perú</t>
  </si>
  <si>
    <t>Ate, Lima Metropolitana, Lima, 15009, Perú</t>
  </si>
  <si>
    <t>Avenida 15 de Julio, Ate, Lima Metropolitana, Lima, 15483, Perú</t>
  </si>
  <si>
    <t>Avenida Alfonso Ugarte, 1409, Lima, Lima Metropolitana, Lima, 15083, Perú, (Ruta4507nueva era 23-10-23)</t>
  </si>
  <si>
    <t>Plaza Francisco Bolognesi, Lima, Lima Metropolitana, Lima, 15083, Perú, (Ruta4507nueva era 23-10-23)</t>
  </si>
  <si>
    <t>Avenida Lima Sur, Chosica, Lima Metropolitana, Lima, 15468, Perú, (Ruta4507nueva era 23-10-23)</t>
  </si>
  <si>
    <t>Calle 20 de Enero, Santa Eulalia, Huarochirí, Lima, 15468, Perú</t>
  </si>
  <si>
    <t>Jirón Cornelio Borda, Breña, Lima Metropolitana, Lima, 15082, Perú, (Ruta4507nueva era 23-10-23)</t>
  </si>
  <si>
    <t>Avenida Almirante Miguel Grau, 243, Lima, Lima Metropolitana, Lima, 15001, Perú, (Ruta4507nueva era 23-10-23)</t>
  </si>
  <si>
    <t>Avenida Almirante Miguel Grau, La Victoria, Lima Metropolitana, Lima, 15001, Perú, (Ruta4507nueva era 23-10-23)</t>
  </si>
  <si>
    <t>Jirón Junín, 1667, Lima, Lima Metropolitana, Lima, 15003, Perú</t>
  </si>
  <si>
    <t>Jirón Arequipa, 208, Chosica, Lima Metropolitana, Lima, 15468, Perú</t>
  </si>
  <si>
    <t>Avenida Nicolás de Ayllón, El Agustino, Lima Metropolitana, Lima, 15008, Perú, (Ruta4507nueva era 23-10-23, RUTA DESVIO TEM.  4507)</t>
  </si>
  <si>
    <t>Avenida Nicolás de Ayllón, Ate, Lima Metropolitana, Lima, 15008, Perú, (Ruta4507nueva era 23-10-23, RUTA DESVIO TEM.  4507)</t>
  </si>
  <si>
    <t>Avenida Nicolás de Ayllón, 2691, El Agustino, Lima Metropolitana, Lima, 15002, Perú, (Ruta4507nueva era 23-10-23)</t>
  </si>
  <si>
    <t>35 km/h</t>
  </si>
  <si>
    <t>Calle Camino Real, Santa Eulalia, Lima Metropolitana, Lima, 15468, Perú</t>
  </si>
  <si>
    <t>Calle 5, Santa Eulalia, Lima Metropolitana, Lima, 15468, Perú</t>
  </si>
  <si>
    <t>Jirón García Naranjo, 187, La Victoria, Lima Metropolitana, Lima, 15001, Perú</t>
  </si>
  <si>
    <t>Avenida Nicolás Arriola, 1546, San Luis, Lima Metropolitana, Lima, 15021, Perú</t>
  </si>
  <si>
    <t>Alameda E, Chaclacayo, Lima Metropolitana, Lima, 15476, Perú</t>
  </si>
  <si>
    <t>50 km/h</t>
  </si>
  <si>
    <t>45 km/h</t>
  </si>
  <si>
    <t>42 km/h</t>
  </si>
  <si>
    <t>Carretera Central, Lurigancho, Lima Metropolitana, Lima, 15483, Perú</t>
  </si>
  <si>
    <t>Avenida República de Venezuela, 3400, Bellavista, Lima Metropolitana, Callao, 06011, Perú</t>
  </si>
  <si>
    <t>Avenida 9 de Diciembre, 371, Lima, Lima Metropolitana, Lima, 15083, Perú, (Ruta4507nueva era 23-10-23)</t>
  </si>
  <si>
    <t>Carretera Central, Lurigancho, Lima Metropolitana, Lima, 15483, Perú, (Ruta4507nueva era 23-10-23)</t>
  </si>
  <si>
    <t>122 km/h</t>
  </si>
  <si>
    <t>Avenida Gloria Grande, Ate, Lima Metropolitana, Lima, 15483, Perú</t>
  </si>
  <si>
    <t>141 km/h</t>
  </si>
  <si>
    <t>114 km/h</t>
  </si>
  <si>
    <t>Avenida José Carlos Mariátegui, Ate, Lima Metropolitana, Lima, 15474, Perú</t>
  </si>
  <si>
    <t>Avenida Inca Garcilazo de la Vega, El Agustino, Lima Metropolitana, Lima, 15004, Perú</t>
  </si>
  <si>
    <t>Avenida Almirante Miguel Grau, Lima, Lima Metropolitana, Lima, 15011, Perú, (Ruta4507nueva era 23-10-23)</t>
  </si>
  <si>
    <t>Objeto 1</t>
  </si>
  <si>
    <t>Objeto 2</t>
  </si>
  <si>
    <t>Objeto 3</t>
  </si>
  <si>
    <t>Objeto 4</t>
  </si>
  <si>
    <t>Objeto 5</t>
  </si>
  <si>
    <t>Objeto 6</t>
  </si>
  <si>
    <t>Objeto 7</t>
  </si>
  <si>
    <t>Objeto 8</t>
  </si>
  <si>
    <t>Objeto 9</t>
  </si>
  <si>
    <t>Objeto 10</t>
  </si>
  <si>
    <t>Objeto 11</t>
  </si>
  <si>
    <t>Objeto 12</t>
  </si>
  <si>
    <t>Objeto 13</t>
  </si>
  <si>
    <t>Objeto 14</t>
  </si>
  <si>
    <t>Objeto 15</t>
  </si>
  <si>
    <t>Objeto 16</t>
  </si>
  <si>
    <t>Objeto 17</t>
  </si>
  <si>
    <t>Objeto 18</t>
  </si>
  <si>
    <t>Objeto 19</t>
  </si>
  <si>
    <t>Objeto 20</t>
  </si>
  <si>
    <t>Objeto 21</t>
  </si>
  <si>
    <t>Objeto 22</t>
  </si>
  <si>
    <t>Objeto 23</t>
  </si>
  <si>
    <t>Objeto 24</t>
  </si>
  <si>
    <t>Objeto 25</t>
  </si>
  <si>
    <t>Objeto 26</t>
  </si>
  <si>
    <t>Objeto 27</t>
  </si>
  <si>
    <t>Objeto 28</t>
  </si>
  <si>
    <t>Objeto 29</t>
  </si>
  <si>
    <t>Objeto 30</t>
  </si>
  <si>
    <t>Objeto 31</t>
  </si>
  <si>
    <t>Objeto 32</t>
  </si>
  <si>
    <t>Objeto 33</t>
  </si>
  <si>
    <t>Objeto 34</t>
  </si>
  <si>
    <t>Objeto 35</t>
  </si>
  <si>
    <t>Objeto 36</t>
  </si>
  <si>
    <t>Objeto 37</t>
  </si>
  <si>
    <t>Objeto 38</t>
  </si>
  <si>
    <t>Objeto 39</t>
  </si>
  <si>
    <t>Objeto 40</t>
  </si>
  <si>
    <t>Objeto 41</t>
  </si>
  <si>
    <t>Objeto 42</t>
  </si>
  <si>
    <t>Objeto 43</t>
  </si>
  <si>
    <t>Objeto 44</t>
  </si>
  <si>
    <t>Objeto 45</t>
  </si>
  <si>
    <t>Objeto 46</t>
  </si>
  <si>
    <t>Objeto 47</t>
  </si>
  <si>
    <t>Objeto 48</t>
  </si>
  <si>
    <t>Objeto 49</t>
  </si>
  <si>
    <t>Objeto 50</t>
  </si>
  <si>
    <t>Objeto 51</t>
  </si>
  <si>
    <t>Objeto 52</t>
  </si>
  <si>
    <t>Objeto 53</t>
  </si>
  <si>
    <t>Objeto 54</t>
  </si>
  <si>
    <t>Objeto 55</t>
  </si>
  <si>
    <t>Objeto 56</t>
  </si>
  <si>
    <t>Objeto 57</t>
  </si>
  <si>
    <t>Objeto 58</t>
  </si>
  <si>
    <t>Objeto 59</t>
  </si>
  <si>
    <t>Objeto 60</t>
  </si>
  <si>
    <t>Objeto 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</si>
</sst>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:mm:ss"/>
    <numFmt numFmtId="165" formatCode="&quot;&quot;#,##0.0##&quot; km&quot;"/>
  </numFmts>
  <fonts count="5" x14ac:knownFonts="1">
    <font>
      <sz val="11"/>
      <color theme="1"/>
      <name val="Calibri"/>
      <family val="2"/>
      <scheme val="minor"/>
    </font>
    <font>
      <b/>
      <sz val="18"/>
      <name val="Calibri"/>
    </font>
    <font>
      <b/>
      <sz val="11"/>
      <name val="Calibri"/>
    </font>
    <font>
      <i/>
      <sz val="11"/>
      <name val="Calibri"/>
    </font>
    <font>
      <b/>
      <sz val="16"/>
      <name val="Calibri"/>
    </font>
  </fonts>
  <fills count="3">
    <fill>
      <patternFill patternType="none"/>
    </fill>
    <fill>
      <patternFill patternType="gray125"/>
    </fill>
    <fill>
      <patternFill patternType="darkTrellis">
        <fgColor rgb="FFD9D9D9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wrapText="1"/>
    </xf>
    <xf numFmtId="164" fontId="0" fillId="0" borderId="0" xfId="0" applyNumberFormat="1"/>
    <xf numFmtId="165" fontId="0" fillId="0" borderId="0" xfId="0" applyNumberFormat="1"/>
    <xf numFmtId="46" fontId="0" fillId="0" borderId="0" xfId="0" applyNumberFormat="1"/>
    <xf numFmtId="0" fontId="0" fillId="2" borderId="2" xfId="0" applyFill="1" applyBorder="1"/>
    <xf numFmtId="165" fontId="0" fillId="2" borderId="2" xfId="0" applyNumberFormat="1" applyFill="1" applyBorder="1"/>
    <xf numFmtId="46" fontId="0" fillId="2" borderId="2" xfId="0" applyNumberFormat="1" applyFill="1" applyBorder="1"/>
    <xf numFmtId="0" fontId="3" fillId="0" borderId="0" xfId="0" applyFont="1"/>
    <xf numFmtId="0" fontId="4" fillId="0" borderId="0" xfId="0" applyFont="1"/>
    <xf numFmtId="0" fontId="1" fillId="0" borderId="0" xfId="0" applyFont="1"/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M993"/>
  <sheetViews>
    <sheetView tabSelected="1" workbookViewId="0">
      <selection sqref="A1:J1"/>
    </sheetView>
  </sheetViews>
  <sheetFormatPr baseColWidth="10" defaultColWidth="9.140625" defaultRowHeight="15" x14ac:dyDescent="0.25"/>
  <cols>
    <col min="1" max="30" width="19" customWidth="1"/>
  </cols>
  <sheetData>
    <row r="1" spans="1:13" ht="24" customHeight="1" x14ac:dyDescent="0.3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</row>
    <row r="2" spans="1:13" x14ac:dyDescent="0.25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</row>
    <row r="3" spans="1:13" x14ac:dyDescent="0.25">
      <c r="A3" s="12" t="s">
        <v>2</v>
      </c>
      <c r="B3" s="12"/>
      <c r="C3" s="12"/>
      <c r="D3" s="12"/>
      <c r="E3" s="12"/>
      <c r="F3" s="12"/>
      <c r="G3" s="12"/>
      <c r="H3" s="12"/>
      <c r="I3" s="12"/>
      <c r="J3" s="12"/>
    </row>
    <row r="4" spans="1:13" x14ac:dyDescent="0.25">
      <c r="A4" s="12" t="s">
        <v>3</v>
      </c>
      <c r="B4" s="12"/>
      <c r="C4" s="12"/>
      <c r="D4" s="12"/>
      <c r="E4" s="12"/>
      <c r="F4" s="12"/>
      <c r="G4" s="12"/>
      <c r="H4" s="12"/>
      <c r="I4" s="12"/>
      <c r="J4" s="12"/>
    </row>
    <row r="5" spans="1:13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</row>
    <row r="6" spans="1:13" s="1" customFormat="1" x14ac:dyDescent="0.25">
      <c r="A6" s="13" t="s">
        <v>4</v>
      </c>
      <c r="B6" s="13"/>
      <c r="C6" s="13"/>
      <c r="D6" s="13"/>
      <c r="E6" s="13"/>
      <c r="F6" s="13"/>
      <c r="G6" s="13"/>
      <c r="H6" s="13"/>
      <c r="I6" s="13"/>
      <c r="J6" s="13"/>
    </row>
    <row r="7" spans="1:13" ht="30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  <c r="K7" s="2" t="s">
        <v>15</v>
      </c>
      <c r="L7" s="2" t="s">
        <v>16</v>
      </c>
      <c r="M7" s="2" t="s">
        <v>17</v>
      </c>
    </row>
    <row r="8" spans="1:13" x14ac:dyDescent="0.25">
      <c r="A8" t="s">
        <v>302</v>
      </c>
      <c r="B8" s="3">
        <v>45700.179861111115</v>
      </c>
      <c r="C8" t="s">
        <v>18</v>
      </c>
      <c r="D8" s="3">
        <v>45700.894363425927</v>
      </c>
      <c r="E8" t="s">
        <v>18</v>
      </c>
      <c r="F8" s="4">
        <v>195.30199999999999</v>
      </c>
      <c r="G8" s="4">
        <v>513943.56400000001</v>
      </c>
      <c r="H8" s="4">
        <v>514138.86599999998</v>
      </c>
      <c r="I8" s="5">
        <f>17197 / 86400</f>
        <v>0.19903935185185184</v>
      </c>
      <c r="J8" t="s">
        <v>19</v>
      </c>
      <c r="K8" t="s">
        <v>20</v>
      </c>
      <c r="L8" s="5">
        <f>48335 / 86400</f>
        <v>0.55943287037037037</v>
      </c>
      <c r="M8" s="5">
        <f>38062 / 86400</f>
        <v>0.4405324074074074</v>
      </c>
    </row>
    <row r="9" spans="1:13" x14ac:dyDescent="0.25">
      <c r="A9" t="s">
        <v>303</v>
      </c>
      <c r="B9" s="3">
        <v>45700.090925925921</v>
      </c>
      <c r="C9" t="s">
        <v>21</v>
      </c>
      <c r="D9" s="3">
        <v>45700.570497685185</v>
      </c>
      <c r="E9" t="s">
        <v>21</v>
      </c>
      <c r="F9" s="4">
        <v>202.99499999999998</v>
      </c>
      <c r="G9" s="4">
        <v>18937.682000000001</v>
      </c>
      <c r="H9" s="4">
        <v>19140.677</v>
      </c>
      <c r="I9" s="5">
        <f>11476 / 86400</f>
        <v>0.13282407407407407</v>
      </c>
      <c r="J9" t="s">
        <v>22</v>
      </c>
      <c r="K9" t="s">
        <v>23</v>
      </c>
      <c r="L9" s="5">
        <f>38420 / 86400</f>
        <v>0.44467592592592592</v>
      </c>
      <c r="M9" s="5">
        <f>47975 / 86400</f>
        <v>0.55526620370370372</v>
      </c>
    </row>
    <row r="10" spans="1:13" x14ac:dyDescent="0.25">
      <c r="A10" t="s">
        <v>304</v>
      </c>
      <c r="B10" s="3">
        <v>45700.227743055555</v>
      </c>
      <c r="C10" t="s">
        <v>24</v>
      </c>
      <c r="D10" s="3">
        <v>45700.82912037037</v>
      </c>
      <c r="E10" t="s">
        <v>25</v>
      </c>
      <c r="F10" s="4">
        <v>214.78800000000001</v>
      </c>
      <c r="G10" s="4">
        <v>328367.87</v>
      </c>
      <c r="H10" s="4">
        <v>328582.658</v>
      </c>
      <c r="I10" s="5">
        <f>12933 / 86400</f>
        <v>0.1496875</v>
      </c>
      <c r="J10" t="s">
        <v>22</v>
      </c>
      <c r="K10" t="s">
        <v>23</v>
      </c>
      <c r="L10" s="5">
        <f>41578 / 86400</f>
        <v>0.48122685185185188</v>
      </c>
      <c r="M10" s="5">
        <f>44813 / 86400</f>
        <v>0.51866898148148144</v>
      </c>
    </row>
    <row r="11" spans="1:13" x14ac:dyDescent="0.25">
      <c r="A11" t="s">
        <v>305</v>
      </c>
      <c r="B11" s="3">
        <v>45700.246377314819</v>
      </c>
      <c r="C11" t="s">
        <v>26</v>
      </c>
      <c r="D11" s="3">
        <v>45700.948182870372</v>
      </c>
      <c r="E11" t="s">
        <v>26</v>
      </c>
      <c r="F11" s="4">
        <v>224.07599999999999</v>
      </c>
      <c r="G11" s="4">
        <v>513023.391</v>
      </c>
      <c r="H11" s="4">
        <v>513247.467</v>
      </c>
      <c r="I11" s="5">
        <f>14052 / 86400</f>
        <v>0.16263888888888889</v>
      </c>
      <c r="J11" t="s">
        <v>27</v>
      </c>
      <c r="K11" t="s">
        <v>28</v>
      </c>
      <c r="L11" s="5">
        <f>48340 / 86400</f>
        <v>0.55949074074074079</v>
      </c>
      <c r="M11" s="5">
        <f>38051 / 86400</f>
        <v>0.44040509259259258</v>
      </c>
    </row>
    <row r="12" spans="1:13" x14ac:dyDescent="0.25">
      <c r="A12" t="s">
        <v>306</v>
      </c>
      <c r="B12" s="3">
        <v>45700.204375000001</v>
      </c>
      <c r="C12" t="s">
        <v>29</v>
      </c>
      <c r="D12" s="3">
        <v>45700.863680555558</v>
      </c>
      <c r="E12" t="s">
        <v>29</v>
      </c>
      <c r="F12" s="4">
        <v>194.61100000000002</v>
      </c>
      <c r="G12" s="4">
        <v>92173.415999999997</v>
      </c>
      <c r="H12" s="4">
        <v>92368.027000000002</v>
      </c>
      <c r="I12" s="5">
        <f>15103 / 86400</f>
        <v>0.17480324074074075</v>
      </c>
      <c r="J12" t="s">
        <v>30</v>
      </c>
      <c r="K12" t="s">
        <v>20</v>
      </c>
      <c r="L12" s="5">
        <f>48025 / 86400</f>
        <v>0.55584490740740744</v>
      </c>
      <c r="M12" s="5">
        <f>38373 / 86400</f>
        <v>0.44413194444444443</v>
      </c>
    </row>
    <row r="13" spans="1:13" x14ac:dyDescent="0.25">
      <c r="A13" t="s">
        <v>307</v>
      </c>
      <c r="B13" s="3">
        <v>45700.176168981481</v>
      </c>
      <c r="C13" t="s">
        <v>18</v>
      </c>
      <c r="D13" s="3">
        <v>45700.817094907412</v>
      </c>
      <c r="E13" t="s">
        <v>18</v>
      </c>
      <c r="F13" s="4">
        <v>247.51600000000002</v>
      </c>
      <c r="G13" s="4">
        <v>137585.37299999999</v>
      </c>
      <c r="H13" s="4">
        <v>137832.889</v>
      </c>
      <c r="I13" s="5">
        <f>15998 / 86400</f>
        <v>0.18516203703703704</v>
      </c>
      <c r="J13" t="s">
        <v>30</v>
      </c>
      <c r="K13" t="s">
        <v>31</v>
      </c>
      <c r="L13" s="5">
        <f>50817 / 86400</f>
        <v>0.58815972222222224</v>
      </c>
      <c r="M13" s="5">
        <f>35580 / 86400</f>
        <v>0.41180555555555554</v>
      </c>
    </row>
    <row r="14" spans="1:13" x14ac:dyDescent="0.25">
      <c r="A14" t="s">
        <v>308</v>
      </c>
      <c r="B14" s="3">
        <v>45700.171076388884</v>
      </c>
      <c r="C14" t="s">
        <v>32</v>
      </c>
      <c r="D14" s="3">
        <v>45700.621712962966</v>
      </c>
      <c r="E14" t="s">
        <v>32</v>
      </c>
      <c r="F14" s="4">
        <v>166.238</v>
      </c>
      <c r="G14" s="4">
        <v>484024.67</v>
      </c>
      <c r="H14" s="4">
        <v>484190.908</v>
      </c>
      <c r="I14" s="5">
        <f>12617 / 86400</f>
        <v>0.14603009259259259</v>
      </c>
      <c r="J14" t="s">
        <v>33</v>
      </c>
      <c r="K14" t="s">
        <v>34</v>
      </c>
      <c r="L14" s="5">
        <f>38044 / 86400</f>
        <v>0.44032407407407409</v>
      </c>
      <c r="M14" s="5">
        <f>48354 / 86400</f>
        <v>0.55965277777777778</v>
      </c>
    </row>
    <row r="15" spans="1:13" x14ac:dyDescent="0.25">
      <c r="A15" t="s">
        <v>309</v>
      </c>
      <c r="B15" s="3">
        <v>45700.129907407405</v>
      </c>
      <c r="C15" t="s">
        <v>35</v>
      </c>
      <c r="D15" s="3">
        <v>45700.893993055557</v>
      </c>
      <c r="E15" t="s">
        <v>36</v>
      </c>
      <c r="F15" s="4">
        <v>222.14400000000001</v>
      </c>
      <c r="G15" s="4">
        <v>507901.49099999998</v>
      </c>
      <c r="H15" s="4">
        <v>508123.63500000001</v>
      </c>
      <c r="I15" s="5">
        <f>15316 / 86400</f>
        <v>0.17726851851851852</v>
      </c>
      <c r="J15" t="s">
        <v>37</v>
      </c>
      <c r="K15" t="s">
        <v>34</v>
      </c>
      <c r="L15" s="5">
        <f>48695 / 86400</f>
        <v>0.56359953703703702</v>
      </c>
      <c r="M15" s="5">
        <f>37702 / 86400</f>
        <v>0.43636574074074075</v>
      </c>
    </row>
    <row r="16" spans="1:13" x14ac:dyDescent="0.25">
      <c r="A16" t="s">
        <v>310</v>
      </c>
      <c r="B16" s="3">
        <v>45700.230821759258</v>
      </c>
      <c r="C16" t="s">
        <v>38</v>
      </c>
      <c r="D16" s="3">
        <v>45700.955416666664</v>
      </c>
      <c r="E16" t="s">
        <v>38</v>
      </c>
      <c r="F16" s="4">
        <v>199.97299999999998</v>
      </c>
      <c r="G16" s="4">
        <v>407588.90399999998</v>
      </c>
      <c r="H16" s="4">
        <v>407788.87699999998</v>
      </c>
      <c r="I16" s="5">
        <f>18695 / 86400</f>
        <v>0.21637731481481481</v>
      </c>
      <c r="J16" t="s">
        <v>33</v>
      </c>
      <c r="K16" t="s">
        <v>39</v>
      </c>
      <c r="L16" s="5">
        <f>51407 / 86400</f>
        <v>0.59498842592592593</v>
      </c>
      <c r="M16" s="5">
        <f>34986 / 86400</f>
        <v>0.40493055555555557</v>
      </c>
    </row>
    <row r="17" spans="1:13" x14ac:dyDescent="0.25">
      <c r="A17" t="s">
        <v>311</v>
      </c>
      <c r="B17" s="3">
        <v>45700.211527777778</v>
      </c>
      <c r="C17" t="s">
        <v>40</v>
      </c>
      <c r="D17" s="3">
        <v>45700.762766203705</v>
      </c>
      <c r="E17" t="s">
        <v>40</v>
      </c>
      <c r="F17" s="4">
        <v>199.03199999999998</v>
      </c>
      <c r="G17" s="4">
        <v>437305.924</v>
      </c>
      <c r="H17" s="4">
        <v>437504.95600000001</v>
      </c>
      <c r="I17" s="5">
        <f>13999 / 86400</f>
        <v>0.16202546296296297</v>
      </c>
      <c r="J17" t="s">
        <v>41</v>
      </c>
      <c r="K17" t="s">
        <v>34</v>
      </c>
      <c r="L17" s="5">
        <f>43896 / 86400</f>
        <v>0.50805555555555559</v>
      </c>
      <c r="M17" s="5">
        <f>42498 / 86400</f>
        <v>0.49187500000000001</v>
      </c>
    </row>
    <row r="18" spans="1:13" x14ac:dyDescent="0.25">
      <c r="A18" t="s">
        <v>312</v>
      </c>
      <c r="B18" s="3">
        <v>45700.20684027778</v>
      </c>
      <c r="C18" t="s">
        <v>21</v>
      </c>
      <c r="D18" s="3">
        <v>45700.251111111109</v>
      </c>
      <c r="E18" t="s">
        <v>21</v>
      </c>
      <c r="F18" s="4">
        <v>2.3E-2</v>
      </c>
      <c r="G18" s="4">
        <v>54097.925999999999</v>
      </c>
      <c r="H18" s="4">
        <v>54097.949000000001</v>
      </c>
      <c r="I18" s="5">
        <f>577 / 86400</f>
        <v>6.6782407407407407E-3</v>
      </c>
      <c r="J18" t="s">
        <v>42</v>
      </c>
      <c r="K18" t="s">
        <v>42</v>
      </c>
      <c r="L18" s="5">
        <f>615 / 86400</f>
        <v>7.1180555555555554E-3</v>
      </c>
      <c r="M18" s="5">
        <f>85782 / 86400</f>
        <v>0.99284722222222221</v>
      </c>
    </row>
    <row r="19" spans="1:13" x14ac:dyDescent="0.25">
      <c r="A19" t="s">
        <v>313</v>
      </c>
      <c r="B19" s="3">
        <v>45700.275358796294</v>
      </c>
      <c r="C19" t="s">
        <v>43</v>
      </c>
      <c r="D19" s="3">
        <v>45700.828032407408</v>
      </c>
      <c r="E19" t="s">
        <v>43</v>
      </c>
      <c r="F19" s="4">
        <v>196.602</v>
      </c>
      <c r="G19" s="4">
        <v>215781.79399999999</v>
      </c>
      <c r="H19" s="4">
        <v>215978.39600000001</v>
      </c>
      <c r="I19" s="5">
        <f>14843 / 86400</f>
        <v>0.17179398148148148</v>
      </c>
      <c r="J19" t="s">
        <v>27</v>
      </c>
      <c r="K19" t="s">
        <v>20</v>
      </c>
      <c r="L19" s="5">
        <f>46156 / 86400</f>
        <v>0.53421296296296295</v>
      </c>
      <c r="M19" s="5">
        <f>40241 / 86400</f>
        <v>0.46575231481481483</v>
      </c>
    </row>
    <row r="20" spans="1:13" x14ac:dyDescent="0.25">
      <c r="A20" t="s">
        <v>314</v>
      </c>
      <c r="B20" s="3">
        <v>45700.248055555552</v>
      </c>
      <c r="C20" t="s">
        <v>44</v>
      </c>
      <c r="D20" s="3">
        <v>45700.89298611111</v>
      </c>
      <c r="E20" t="s">
        <v>44</v>
      </c>
      <c r="F20" s="4">
        <v>176.233</v>
      </c>
      <c r="G20" s="4">
        <v>525038.32799999998</v>
      </c>
      <c r="H20" s="4">
        <v>525214.56099999999</v>
      </c>
      <c r="I20" s="5">
        <f>19221 / 86400</f>
        <v>0.22246527777777778</v>
      </c>
      <c r="J20" t="s">
        <v>45</v>
      </c>
      <c r="K20" t="s">
        <v>46</v>
      </c>
      <c r="L20" s="5">
        <f>49011 / 86400</f>
        <v>0.56725694444444441</v>
      </c>
      <c r="M20" s="5">
        <f>37383 / 86400</f>
        <v>0.43267361111111113</v>
      </c>
    </row>
    <row r="21" spans="1:13" x14ac:dyDescent="0.25">
      <c r="A21" t="s">
        <v>315</v>
      </c>
      <c r="B21" s="3">
        <v>45700.242326388892</v>
      </c>
      <c r="C21" t="s">
        <v>47</v>
      </c>
      <c r="D21" s="3">
        <v>45700.913298611107</v>
      </c>
      <c r="E21" t="s">
        <v>48</v>
      </c>
      <c r="F21" s="4">
        <v>185.97499999999999</v>
      </c>
      <c r="G21" s="4">
        <v>344505.88699999999</v>
      </c>
      <c r="H21" s="4">
        <v>344691.86200000002</v>
      </c>
      <c r="I21" s="5">
        <f>18234 / 86400</f>
        <v>0.21104166666666666</v>
      </c>
      <c r="J21" t="s">
        <v>49</v>
      </c>
      <c r="K21" t="s">
        <v>20</v>
      </c>
      <c r="L21" s="5">
        <f>45826 / 86400</f>
        <v>0.53039351851851857</v>
      </c>
      <c r="M21" s="5">
        <f>40568 / 86400</f>
        <v>0.46953703703703703</v>
      </c>
    </row>
    <row r="22" spans="1:13" x14ac:dyDescent="0.25">
      <c r="A22" t="s">
        <v>316</v>
      </c>
      <c r="B22" s="3">
        <v>45700.259999999995</v>
      </c>
      <c r="C22" t="s">
        <v>50</v>
      </c>
      <c r="D22" s="3">
        <v>45700.810196759259</v>
      </c>
      <c r="E22" t="s">
        <v>50</v>
      </c>
      <c r="F22" s="4">
        <v>122.82599999999999</v>
      </c>
      <c r="G22" s="4">
        <v>425892.14799999999</v>
      </c>
      <c r="H22" s="4">
        <v>426014.97399999999</v>
      </c>
      <c r="I22" s="5">
        <f>6754 / 86400</f>
        <v>7.8171296296296294E-2</v>
      </c>
      <c r="J22" t="s">
        <v>51</v>
      </c>
      <c r="K22" t="s">
        <v>28</v>
      </c>
      <c r="L22" s="5">
        <f>25429 / 86400</f>
        <v>0.29431712962962964</v>
      </c>
      <c r="M22" s="5">
        <f>60960 / 86400</f>
        <v>0.7055555555555556</v>
      </c>
    </row>
    <row r="23" spans="1:13" x14ac:dyDescent="0.25">
      <c r="A23" t="s">
        <v>317</v>
      </c>
      <c r="B23" s="3">
        <v>45700.177557870367</v>
      </c>
      <c r="C23" t="s">
        <v>52</v>
      </c>
      <c r="D23" s="3">
        <v>45700.748495370368</v>
      </c>
      <c r="E23" t="s">
        <v>52</v>
      </c>
      <c r="F23" s="4">
        <v>195.78900000000002</v>
      </c>
      <c r="G23" s="4">
        <v>138435.07500000001</v>
      </c>
      <c r="H23" s="4">
        <v>138630.864</v>
      </c>
      <c r="I23" s="5">
        <f>12174 / 86400</f>
        <v>0.14090277777777777</v>
      </c>
      <c r="J23" t="s">
        <v>53</v>
      </c>
      <c r="K23" t="s">
        <v>31</v>
      </c>
      <c r="L23" s="5">
        <f>40005 / 86400</f>
        <v>0.46302083333333333</v>
      </c>
      <c r="M23" s="5">
        <f>46390 / 86400</f>
        <v>0.53692129629629626</v>
      </c>
    </row>
    <row r="24" spans="1:13" x14ac:dyDescent="0.25">
      <c r="A24" t="s">
        <v>318</v>
      </c>
      <c r="B24" s="3">
        <v>45700.250914351855</v>
      </c>
      <c r="C24" t="s">
        <v>29</v>
      </c>
      <c r="D24" s="3">
        <v>45700.92597222222</v>
      </c>
      <c r="E24" t="s">
        <v>29</v>
      </c>
      <c r="F24" s="4">
        <v>180.83499999999998</v>
      </c>
      <c r="G24" s="4">
        <v>5409.5659999999998</v>
      </c>
      <c r="H24" s="4">
        <v>5590.4009999999998</v>
      </c>
      <c r="I24" s="5">
        <f>25312 / 86400</f>
        <v>0.29296296296296298</v>
      </c>
      <c r="J24" t="s">
        <v>54</v>
      </c>
      <c r="K24" t="s">
        <v>55</v>
      </c>
      <c r="L24" s="5">
        <f>52505 / 86400</f>
        <v>0.60769675925925926</v>
      </c>
      <c r="M24" s="5">
        <f>33893 / 86400</f>
        <v>0.39228009259259261</v>
      </c>
    </row>
    <row r="25" spans="1:13" x14ac:dyDescent="0.25">
      <c r="A25" t="s">
        <v>319</v>
      </c>
      <c r="B25" s="3">
        <v>45700.208437499998</v>
      </c>
      <c r="C25" t="s">
        <v>32</v>
      </c>
      <c r="D25" s="3">
        <v>45700.725486111114</v>
      </c>
      <c r="E25" t="s">
        <v>32</v>
      </c>
      <c r="F25" s="4">
        <v>170.989</v>
      </c>
      <c r="G25" s="4">
        <v>386774.33100000001</v>
      </c>
      <c r="H25" s="4">
        <v>386945.32</v>
      </c>
      <c r="I25" s="5">
        <f>13882 / 86400</f>
        <v>0.16067129629629628</v>
      </c>
      <c r="J25" t="s">
        <v>56</v>
      </c>
      <c r="K25" t="s">
        <v>34</v>
      </c>
      <c r="L25" s="5">
        <f>39212 / 86400</f>
        <v>0.45384259259259258</v>
      </c>
      <c r="M25" s="5">
        <f>47183 / 86400</f>
        <v>0.54609953703703706</v>
      </c>
    </row>
    <row r="26" spans="1:13" x14ac:dyDescent="0.25">
      <c r="A26" t="s">
        <v>320</v>
      </c>
      <c r="B26" s="3">
        <v>45700.147141203706</v>
      </c>
      <c r="C26" t="s">
        <v>57</v>
      </c>
      <c r="D26" s="3">
        <v>45700.713807870372</v>
      </c>
      <c r="E26" t="s">
        <v>57</v>
      </c>
      <c r="F26" s="4">
        <v>201.43600000000001</v>
      </c>
      <c r="G26" s="4">
        <v>522945.261</v>
      </c>
      <c r="H26" s="4">
        <v>523146.69699999999</v>
      </c>
      <c r="I26" s="5">
        <f>9749 / 86400</f>
        <v>0.11283564814814814</v>
      </c>
      <c r="J26" t="s">
        <v>58</v>
      </c>
      <c r="K26" t="s">
        <v>23</v>
      </c>
      <c r="L26" s="5">
        <f>37622 / 86400</f>
        <v>0.43543981481481481</v>
      </c>
      <c r="M26" s="5">
        <f>48776 / 86400</f>
        <v>0.56453703703703706</v>
      </c>
    </row>
    <row r="27" spans="1:13" x14ac:dyDescent="0.25">
      <c r="A27" t="s">
        <v>321</v>
      </c>
      <c r="B27" s="3">
        <v>45700.427002314813</v>
      </c>
      <c r="C27" t="s">
        <v>59</v>
      </c>
      <c r="D27" s="3">
        <v>45700.99998842593</v>
      </c>
      <c r="E27" t="s">
        <v>60</v>
      </c>
      <c r="F27" s="4">
        <v>191.25599999999997</v>
      </c>
      <c r="G27" s="4">
        <v>411545.321</v>
      </c>
      <c r="H27" s="4">
        <v>411736.57699999999</v>
      </c>
      <c r="I27" s="5">
        <f>11836 / 86400</f>
        <v>0.13699074074074075</v>
      </c>
      <c r="J27" t="s">
        <v>51</v>
      </c>
      <c r="K27" t="s">
        <v>34</v>
      </c>
      <c r="L27" s="5">
        <f>42551 / 86400</f>
        <v>0.4924884259259259</v>
      </c>
      <c r="M27" s="5">
        <f>43847 / 86400</f>
        <v>0.50748842592592591</v>
      </c>
    </row>
    <row r="28" spans="1:13" x14ac:dyDescent="0.25">
      <c r="A28" t="s">
        <v>322</v>
      </c>
      <c r="B28" s="3">
        <v>45700.232893518521</v>
      </c>
      <c r="C28" t="s">
        <v>61</v>
      </c>
      <c r="D28" s="3">
        <v>45700.944131944445</v>
      </c>
      <c r="E28" t="s">
        <v>61</v>
      </c>
      <c r="F28" s="4">
        <v>204.34399999999999</v>
      </c>
      <c r="G28" s="4">
        <v>402572.391</v>
      </c>
      <c r="H28" s="4">
        <v>402776.73499999999</v>
      </c>
      <c r="I28" s="5">
        <f>18893 / 86400</f>
        <v>0.21866898148148148</v>
      </c>
      <c r="J28" t="s">
        <v>27</v>
      </c>
      <c r="K28" t="s">
        <v>39</v>
      </c>
      <c r="L28" s="5">
        <f>51641 / 86400</f>
        <v>0.59769675925925925</v>
      </c>
      <c r="M28" s="5">
        <f>34756 / 86400</f>
        <v>0.40226851851851853</v>
      </c>
    </row>
    <row r="29" spans="1:13" x14ac:dyDescent="0.25">
      <c r="A29" t="s">
        <v>323</v>
      </c>
      <c r="B29" s="3">
        <v>45700.345601851848</v>
      </c>
      <c r="C29" t="s">
        <v>62</v>
      </c>
      <c r="D29" s="3">
        <v>45700.842939814815</v>
      </c>
      <c r="E29" t="s">
        <v>63</v>
      </c>
      <c r="F29" s="4">
        <v>152.39700000000002</v>
      </c>
      <c r="G29" s="4">
        <v>407407.02399999998</v>
      </c>
      <c r="H29" s="4">
        <v>407559.42099999997</v>
      </c>
      <c r="I29" s="5">
        <f>12914 / 86400</f>
        <v>0.1494675925925926</v>
      </c>
      <c r="J29" t="s">
        <v>53</v>
      </c>
      <c r="K29" t="s">
        <v>34</v>
      </c>
      <c r="L29" s="5">
        <f>34926 / 86400</f>
        <v>0.40423611111111113</v>
      </c>
      <c r="M29" s="5">
        <f>51466 / 86400</f>
        <v>0.59567129629629634</v>
      </c>
    </row>
    <row r="30" spans="1:13" x14ac:dyDescent="0.25">
      <c r="A30" t="s">
        <v>324</v>
      </c>
      <c r="B30" s="3">
        <v>45700.292175925926</v>
      </c>
      <c r="C30" t="s">
        <v>64</v>
      </c>
      <c r="D30" s="3">
        <v>45700.697604166664</v>
      </c>
      <c r="E30" t="s">
        <v>64</v>
      </c>
      <c r="F30" s="4">
        <v>119.852</v>
      </c>
      <c r="G30" s="4">
        <v>348001.36499999999</v>
      </c>
      <c r="H30" s="4">
        <v>348121.217</v>
      </c>
      <c r="I30" s="5">
        <f>9486 / 86400</f>
        <v>0.10979166666666666</v>
      </c>
      <c r="J30" t="s">
        <v>65</v>
      </c>
      <c r="K30" t="s">
        <v>20</v>
      </c>
      <c r="L30" s="5">
        <f>28029 / 86400</f>
        <v>0.3244097222222222</v>
      </c>
      <c r="M30" s="5">
        <f>58367 / 86400</f>
        <v>0.67554398148148154</v>
      </c>
    </row>
    <row r="31" spans="1:13" x14ac:dyDescent="0.25">
      <c r="A31" t="s">
        <v>325</v>
      </c>
      <c r="B31" s="3">
        <v>45700.124780092592</v>
      </c>
      <c r="C31" t="s">
        <v>66</v>
      </c>
      <c r="D31" s="3">
        <v>45700.72923611111</v>
      </c>
      <c r="E31" t="s">
        <v>66</v>
      </c>
      <c r="F31" s="4">
        <v>244.13400000000001</v>
      </c>
      <c r="G31" s="4">
        <v>40660.978000000003</v>
      </c>
      <c r="H31" s="4">
        <v>40905.112000000001</v>
      </c>
      <c r="I31" s="5">
        <f>13413 / 86400</f>
        <v>0.15524305555555556</v>
      </c>
      <c r="J31" t="s">
        <v>67</v>
      </c>
      <c r="K31" t="s">
        <v>31</v>
      </c>
      <c r="L31" s="5">
        <f>48412 / 86400</f>
        <v>0.56032407407407403</v>
      </c>
      <c r="M31" s="5">
        <f>37983 / 86400</f>
        <v>0.43961805555555555</v>
      </c>
    </row>
    <row r="32" spans="1:13" x14ac:dyDescent="0.25">
      <c r="A32" t="s">
        <v>326</v>
      </c>
      <c r="B32" s="3">
        <v>45700</v>
      </c>
      <c r="C32" t="s">
        <v>68</v>
      </c>
      <c r="D32" s="3">
        <v>45700.99998842593</v>
      </c>
      <c r="E32" t="s">
        <v>69</v>
      </c>
      <c r="F32" s="4">
        <v>370.822</v>
      </c>
      <c r="G32" s="4">
        <v>45983.957999999999</v>
      </c>
      <c r="H32" s="4">
        <v>46354.78</v>
      </c>
      <c r="I32" s="5">
        <f>19573 / 86400</f>
        <v>0.22653935185185184</v>
      </c>
      <c r="J32" t="s">
        <v>53</v>
      </c>
      <c r="K32" t="s">
        <v>70</v>
      </c>
      <c r="L32" s="5">
        <f>68244 / 86400</f>
        <v>0.78986111111111112</v>
      </c>
      <c r="M32" s="5">
        <f>18146 / 86400</f>
        <v>0.21002314814814815</v>
      </c>
    </row>
    <row r="33" spans="1:13" x14ac:dyDescent="0.25">
      <c r="A33" t="s">
        <v>327</v>
      </c>
      <c r="B33" s="3">
        <v>45700.013854166667</v>
      </c>
      <c r="C33" t="s">
        <v>71</v>
      </c>
      <c r="D33" s="3">
        <v>45700.99998842593</v>
      </c>
      <c r="E33" t="s">
        <v>72</v>
      </c>
      <c r="F33" s="4">
        <v>365.68500000005957</v>
      </c>
      <c r="G33" s="4">
        <v>527595.30099999998</v>
      </c>
      <c r="H33" s="4">
        <v>527960.98600000003</v>
      </c>
      <c r="I33" s="5">
        <f>27357 / 86400</f>
        <v>0.31663194444444442</v>
      </c>
      <c r="J33" t="s">
        <v>73</v>
      </c>
      <c r="K33" t="s">
        <v>31</v>
      </c>
      <c r="L33" s="5">
        <f>73220 / 86400</f>
        <v>0.84745370370370365</v>
      </c>
      <c r="M33" s="5">
        <f>13176 / 86400</f>
        <v>0.1525</v>
      </c>
    </row>
    <row r="34" spans="1:13" x14ac:dyDescent="0.25">
      <c r="A34" t="s">
        <v>328</v>
      </c>
      <c r="B34" s="3">
        <v>45700.292025462964</v>
      </c>
      <c r="C34" t="s">
        <v>32</v>
      </c>
      <c r="D34" s="3">
        <v>45700.799675925926</v>
      </c>
      <c r="E34" t="s">
        <v>32</v>
      </c>
      <c r="F34" s="4">
        <v>175.49</v>
      </c>
      <c r="G34" s="4">
        <v>567764.071</v>
      </c>
      <c r="H34" s="4">
        <v>567939.56099999999</v>
      </c>
      <c r="I34" s="5">
        <f>10314 / 86400</f>
        <v>0.119375</v>
      </c>
      <c r="J34" t="s">
        <v>74</v>
      </c>
      <c r="K34" t="s">
        <v>23</v>
      </c>
      <c r="L34" s="5">
        <f>33496 / 86400</f>
        <v>0.38768518518518519</v>
      </c>
      <c r="M34" s="5">
        <f>52899 / 86400</f>
        <v>0.61225694444444445</v>
      </c>
    </row>
    <row r="35" spans="1:13" x14ac:dyDescent="0.25">
      <c r="A35" t="s">
        <v>329</v>
      </c>
      <c r="B35" s="3">
        <v>45700.39230324074</v>
      </c>
      <c r="C35" t="s">
        <v>75</v>
      </c>
      <c r="D35" s="3">
        <v>45700.883368055554</v>
      </c>
      <c r="E35" t="s">
        <v>75</v>
      </c>
      <c r="F35" s="4">
        <v>13.721</v>
      </c>
      <c r="G35" s="4">
        <v>435315.527</v>
      </c>
      <c r="H35" s="4">
        <v>435329.24800000002</v>
      </c>
      <c r="I35" s="5">
        <f>12500 / 86400</f>
        <v>0.14467592592592593</v>
      </c>
      <c r="J35" t="s">
        <v>76</v>
      </c>
      <c r="K35" t="s">
        <v>77</v>
      </c>
      <c r="L35" s="5">
        <f>15945 / 86400</f>
        <v>0.18454861111111112</v>
      </c>
      <c r="M35" s="5">
        <f>70444 / 86400</f>
        <v>0.81532407407407403</v>
      </c>
    </row>
    <row r="36" spans="1:13" x14ac:dyDescent="0.25">
      <c r="A36" t="s">
        <v>330</v>
      </c>
      <c r="B36" s="3">
        <v>45700.237453703703</v>
      </c>
      <c r="C36" t="s">
        <v>43</v>
      </c>
      <c r="D36" s="3">
        <v>45700.822997685187</v>
      </c>
      <c r="E36" t="s">
        <v>43</v>
      </c>
      <c r="F36" s="4">
        <v>205.226</v>
      </c>
      <c r="G36" s="4">
        <v>515212.99099999998</v>
      </c>
      <c r="H36" s="4">
        <v>515418.83899999998</v>
      </c>
      <c r="I36" s="5">
        <f>14940 / 86400</f>
        <v>0.17291666666666666</v>
      </c>
      <c r="J36" t="s">
        <v>33</v>
      </c>
      <c r="K36" t="s">
        <v>34</v>
      </c>
      <c r="L36" s="5">
        <f>46676 / 86400</f>
        <v>0.54023148148148148</v>
      </c>
      <c r="M36" s="5">
        <f>39723 / 86400</f>
        <v>0.45975694444444443</v>
      </c>
    </row>
    <row r="37" spans="1:13" x14ac:dyDescent="0.25">
      <c r="A37" t="s">
        <v>331</v>
      </c>
      <c r="B37" s="3">
        <v>45700.226157407407</v>
      </c>
      <c r="C37" t="s">
        <v>78</v>
      </c>
      <c r="D37" s="3">
        <v>45700.811377314814</v>
      </c>
      <c r="E37" t="s">
        <v>79</v>
      </c>
      <c r="F37" s="4">
        <v>204.86600000000001</v>
      </c>
      <c r="G37" s="4">
        <v>505071.47100000002</v>
      </c>
      <c r="H37" s="4">
        <v>505276.337</v>
      </c>
      <c r="I37" s="5">
        <f>20473 / 86400</f>
        <v>0.23695601851851852</v>
      </c>
      <c r="J37" t="s">
        <v>30</v>
      </c>
      <c r="K37" t="s">
        <v>20</v>
      </c>
      <c r="L37" s="5">
        <f>50563 / 86400</f>
        <v>0.58521990740740737</v>
      </c>
      <c r="M37" s="5">
        <f>35836 / 86400</f>
        <v>0.41476851851851854</v>
      </c>
    </row>
    <row r="38" spans="1:13" x14ac:dyDescent="0.25">
      <c r="A38" t="s">
        <v>332</v>
      </c>
      <c r="B38" s="3">
        <v>45700.296527777777</v>
      </c>
      <c r="C38" t="s">
        <v>80</v>
      </c>
      <c r="D38" s="3">
        <v>45700.940011574072</v>
      </c>
      <c r="E38" t="s">
        <v>81</v>
      </c>
      <c r="F38" s="4">
        <v>209.23000000000002</v>
      </c>
      <c r="G38" s="4">
        <v>352040.15600000002</v>
      </c>
      <c r="H38" s="4">
        <v>352249.386</v>
      </c>
      <c r="I38" s="5">
        <f>18188 / 86400</f>
        <v>0.21050925925925926</v>
      </c>
      <c r="J38" t="s">
        <v>30</v>
      </c>
      <c r="K38" t="s">
        <v>20</v>
      </c>
      <c r="L38" s="5">
        <f>51444 / 86400</f>
        <v>0.59541666666666671</v>
      </c>
      <c r="M38" s="5">
        <f>34948 / 86400</f>
        <v>0.40449074074074076</v>
      </c>
    </row>
    <row r="39" spans="1:13" x14ac:dyDescent="0.25">
      <c r="A39" t="s">
        <v>333</v>
      </c>
      <c r="B39" s="3">
        <v>45700.221701388888</v>
      </c>
      <c r="C39" t="s">
        <v>82</v>
      </c>
      <c r="D39" s="3">
        <v>45700.738715277781</v>
      </c>
      <c r="E39" t="s">
        <v>82</v>
      </c>
      <c r="F39" s="4">
        <v>187.87599999999998</v>
      </c>
      <c r="G39" s="4">
        <v>410636.93900000001</v>
      </c>
      <c r="H39" s="4">
        <v>410824.815</v>
      </c>
      <c r="I39" s="5">
        <f>13096 / 86400</f>
        <v>0.15157407407407408</v>
      </c>
      <c r="J39" t="s">
        <v>51</v>
      </c>
      <c r="K39" t="s">
        <v>28</v>
      </c>
      <c r="L39" s="5">
        <f>40350 / 86400</f>
        <v>0.4670138888888889</v>
      </c>
      <c r="M39" s="5">
        <f>46049 / 86400</f>
        <v>0.53297453703703701</v>
      </c>
    </row>
    <row r="40" spans="1:13" x14ac:dyDescent="0.25">
      <c r="A40" t="s">
        <v>334</v>
      </c>
      <c r="B40" s="3">
        <v>45700.149675925924</v>
      </c>
      <c r="C40" t="s">
        <v>29</v>
      </c>
      <c r="D40" s="3">
        <v>45700.682881944449</v>
      </c>
      <c r="E40" t="s">
        <v>29</v>
      </c>
      <c r="F40" s="4">
        <v>188.316</v>
      </c>
      <c r="G40" s="4">
        <v>441580.44400000002</v>
      </c>
      <c r="H40" s="4">
        <v>441768.76</v>
      </c>
      <c r="I40" s="5">
        <f>10156 / 86400</f>
        <v>0.1175462962962963</v>
      </c>
      <c r="J40" t="s">
        <v>83</v>
      </c>
      <c r="K40" t="s">
        <v>31</v>
      </c>
      <c r="L40" s="5">
        <f>37545 / 86400</f>
        <v>0.43454861111111109</v>
      </c>
      <c r="M40" s="5">
        <f>48851 / 86400</f>
        <v>0.56540509259259264</v>
      </c>
    </row>
    <row r="41" spans="1:13" x14ac:dyDescent="0.25">
      <c r="A41" t="s">
        <v>335</v>
      </c>
      <c r="B41" s="3">
        <v>45700.266273148147</v>
      </c>
      <c r="C41" t="s">
        <v>84</v>
      </c>
      <c r="D41" s="3">
        <v>45700.981967592597</v>
      </c>
      <c r="E41" t="s">
        <v>84</v>
      </c>
      <c r="F41" s="4">
        <v>196.042</v>
      </c>
      <c r="G41" s="4">
        <v>474001.16600000003</v>
      </c>
      <c r="H41" s="4">
        <v>474197.20799999998</v>
      </c>
      <c r="I41" s="5">
        <f>21991 / 86400</f>
        <v>0.25452546296296297</v>
      </c>
      <c r="J41" t="s">
        <v>85</v>
      </c>
      <c r="K41" t="s">
        <v>46</v>
      </c>
      <c r="L41" s="5">
        <f>54572 / 86400</f>
        <v>0.63162037037037033</v>
      </c>
      <c r="M41" s="5">
        <f>31822 / 86400</f>
        <v>0.36831018518518521</v>
      </c>
    </row>
    <row r="42" spans="1:13" x14ac:dyDescent="0.25">
      <c r="A42" t="s">
        <v>336</v>
      </c>
      <c r="B42" s="3">
        <v>45700</v>
      </c>
      <c r="C42" t="s">
        <v>86</v>
      </c>
      <c r="D42" s="3">
        <v>45700.99998842593</v>
      </c>
      <c r="E42" t="s">
        <v>87</v>
      </c>
      <c r="F42" s="4">
        <v>293.536</v>
      </c>
      <c r="G42" s="4">
        <v>413461.48200000002</v>
      </c>
      <c r="H42" s="4">
        <v>413755.01799999998</v>
      </c>
      <c r="I42" s="5">
        <f>17263 / 86400</f>
        <v>0.19980324074074074</v>
      </c>
      <c r="J42" t="s">
        <v>88</v>
      </c>
      <c r="K42" t="s">
        <v>23</v>
      </c>
      <c r="L42" s="5">
        <f>55500 / 86400</f>
        <v>0.64236111111111116</v>
      </c>
      <c r="M42" s="5">
        <f>30894 / 86400</f>
        <v>0.35756944444444444</v>
      </c>
    </row>
    <row r="43" spans="1:13" x14ac:dyDescent="0.25">
      <c r="A43" t="s">
        <v>337</v>
      </c>
      <c r="B43" s="3">
        <v>45700</v>
      </c>
      <c r="C43" t="s">
        <v>89</v>
      </c>
      <c r="D43" s="3">
        <v>45700.939826388887</v>
      </c>
      <c r="E43" t="s">
        <v>29</v>
      </c>
      <c r="F43" s="4">
        <v>179.774</v>
      </c>
      <c r="G43" s="4">
        <v>327710.99400000001</v>
      </c>
      <c r="H43" s="4">
        <v>327890.76799999998</v>
      </c>
      <c r="I43" s="5">
        <f>14561 / 86400</f>
        <v>0.16853009259259261</v>
      </c>
      <c r="J43" t="s">
        <v>19</v>
      </c>
      <c r="K43" t="s">
        <v>34</v>
      </c>
      <c r="L43" s="5">
        <f>41083 / 86400</f>
        <v>0.4754976851851852</v>
      </c>
      <c r="M43" s="5">
        <f>45311 / 86400</f>
        <v>0.52443287037037034</v>
      </c>
    </row>
    <row r="44" spans="1:13" x14ac:dyDescent="0.25">
      <c r="A44" t="s">
        <v>338</v>
      </c>
      <c r="B44" s="3">
        <v>45700.24155092593</v>
      </c>
      <c r="C44" t="s">
        <v>29</v>
      </c>
      <c r="D44" s="3">
        <v>45700.822442129633</v>
      </c>
      <c r="E44" t="s">
        <v>29</v>
      </c>
      <c r="F44" s="4">
        <v>196.488</v>
      </c>
      <c r="G44" s="4">
        <v>360118.29499999998</v>
      </c>
      <c r="H44" s="4">
        <v>360314.783</v>
      </c>
      <c r="I44" s="5">
        <f>13028 / 86400</f>
        <v>0.15078703703703702</v>
      </c>
      <c r="J44" t="s">
        <v>58</v>
      </c>
      <c r="K44" t="s">
        <v>28</v>
      </c>
      <c r="L44" s="5">
        <f>41207 / 86400</f>
        <v>0.47693287037037035</v>
      </c>
      <c r="M44" s="5">
        <f>45186 / 86400</f>
        <v>0.52298611111111115</v>
      </c>
    </row>
    <row r="45" spans="1:13" x14ac:dyDescent="0.25">
      <c r="A45" t="s">
        <v>339</v>
      </c>
      <c r="B45" s="3">
        <v>45700.286168981482</v>
      </c>
      <c r="C45" t="s">
        <v>90</v>
      </c>
      <c r="D45" s="3">
        <v>45700.875474537039</v>
      </c>
      <c r="E45" t="s">
        <v>90</v>
      </c>
      <c r="F45" s="4">
        <v>97.163000000000011</v>
      </c>
      <c r="G45" s="4">
        <v>81497.130999999994</v>
      </c>
      <c r="H45" s="4">
        <v>81594.293999999994</v>
      </c>
      <c r="I45" s="5">
        <f>11392 / 86400</f>
        <v>0.13185185185185186</v>
      </c>
      <c r="J45" t="s">
        <v>91</v>
      </c>
      <c r="K45" t="s">
        <v>46</v>
      </c>
      <c r="L45" s="5">
        <f>26423 / 86400</f>
        <v>0.30582175925925925</v>
      </c>
      <c r="M45" s="5">
        <f>59973 / 86400</f>
        <v>0.69413194444444448</v>
      </c>
    </row>
    <row r="46" spans="1:13" x14ac:dyDescent="0.25">
      <c r="A46" t="s">
        <v>340</v>
      </c>
      <c r="B46" s="3">
        <v>45700.205416666664</v>
      </c>
      <c r="C46" t="s">
        <v>92</v>
      </c>
      <c r="D46" s="3">
        <v>45700.798159722224</v>
      </c>
      <c r="E46" t="s">
        <v>36</v>
      </c>
      <c r="F46" s="4">
        <v>190.60400000000001</v>
      </c>
      <c r="G46" s="4">
        <v>469443.49699999997</v>
      </c>
      <c r="H46" s="4">
        <v>469634.10100000002</v>
      </c>
      <c r="I46" s="5">
        <f>16106 / 86400</f>
        <v>0.18641203703703704</v>
      </c>
      <c r="J46" t="s">
        <v>93</v>
      </c>
      <c r="K46" t="s">
        <v>34</v>
      </c>
      <c r="L46" s="5">
        <f>43892 / 86400</f>
        <v>0.50800925925925922</v>
      </c>
      <c r="M46" s="5">
        <f>42498 / 86400</f>
        <v>0.49187500000000001</v>
      </c>
    </row>
    <row r="47" spans="1:13" x14ac:dyDescent="0.25">
      <c r="A47" t="s">
        <v>341</v>
      </c>
      <c r="B47" s="3">
        <v>45700.690312499995</v>
      </c>
      <c r="C47" t="s">
        <v>94</v>
      </c>
      <c r="D47" s="3">
        <v>45700.842499999999</v>
      </c>
      <c r="E47" t="s">
        <v>94</v>
      </c>
      <c r="F47" s="4">
        <v>0</v>
      </c>
      <c r="G47" s="4">
        <v>428213.33600000001</v>
      </c>
      <c r="H47" s="4">
        <v>428213.33600000001</v>
      </c>
      <c r="I47" s="5">
        <f>11208 / 86400</f>
        <v>0.12972222222222221</v>
      </c>
      <c r="J47" t="s">
        <v>42</v>
      </c>
      <c r="K47" t="s">
        <v>42</v>
      </c>
      <c r="L47" s="5">
        <f>11337 / 86400</f>
        <v>0.13121527777777778</v>
      </c>
      <c r="M47" s="5">
        <f>75059 / 86400</f>
        <v>0.86873842592592587</v>
      </c>
    </row>
    <row r="48" spans="1:13" x14ac:dyDescent="0.25">
      <c r="A48" t="s">
        <v>342</v>
      </c>
      <c r="B48" s="3">
        <v>45700.258402777778</v>
      </c>
      <c r="C48" t="s">
        <v>29</v>
      </c>
      <c r="D48" s="3">
        <v>45700.969780092593</v>
      </c>
      <c r="E48" t="s">
        <v>29</v>
      </c>
      <c r="F48" s="4">
        <v>238.70499999999998</v>
      </c>
      <c r="G48" s="4">
        <v>575288.68999999994</v>
      </c>
      <c r="H48" s="4">
        <v>575527.39500000002</v>
      </c>
      <c r="I48" s="5">
        <f>18083 / 86400</f>
        <v>0.20929398148148148</v>
      </c>
      <c r="J48" t="s">
        <v>73</v>
      </c>
      <c r="K48" t="s">
        <v>20</v>
      </c>
      <c r="L48" s="5">
        <f>56340 / 86400</f>
        <v>0.65208333333333335</v>
      </c>
      <c r="M48" s="5">
        <f>30053 / 86400</f>
        <v>0.34783564814814816</v>
      </c>
    </row>
    <row r="49" spans="1:13" x14ac:dyDescent="0.25">
      <c r="A49" t="s">
        <v>343</v>
      </c>
      <c r="B49" s="3">
        <v>45700.24055555556</v>
      </c>
      <c r="C49" t="s">
        <v>95</v>
      </c>
      <c r="D49" s="3">
        <v>45700.903773148151</v>
      </c>
      <c r="E49" t="s">
        <v>95</v>
      </c>
      <c r="F49" s="4">
        <v>210.583</v>
      </c>
      <c r="G49" s="4">
        <v>416358.8</v>
      </c>
      <c r="H49" s="4">
        <v>416569.38299999997</v>
      </c>
      <c r="I49" s="5">
        <f>19834 / 86400</f>
        <v>0.22956018518518517</v>
      </c>
      <c r="J49" t="s">
        <v>49</v>
      </c>
      <c r="K49" t="s">
        <v>20</v>
      </c>
      <c r="L49" s="5">
        <f>52265 / 86400</f>
        <v>0.60491898148148149</v>
      </c>
      <c r="M49" s="5">
        <f>34127 / 86400</f>
        <v>0.39498842592592592</v>
      </c>
    </row>
    <row r="50" spans="1:13" x14ac:dyDescent="0.25">
      <c r="A50" t="s">
        <v>344</v>
      </c>
      <c r="B50" s="3">
        <v>45700.684039351851</v>
      </c>
      <c r="C50" t="s">
        <v>96</v>
      </c>
      <c r="D50" s="3">
        <v>45700.958356481482</v>
      </c>
      <c r="E50" t="s">
        <v>96</v>
      </c>
      <c r="F50" s="4">
        <v>96.203999999999994</v>
      </c>
      <c r="G50" s="4">
        <v>400449.73599999998</v>
      </c>
      <c r="H50" s="4">
        <v>400545.94</v>
      </c>
      <c r="I50" s="5">
        <f>7898 / 86400</f>
        <v>9.1412037037037042E-2</v>
      </c>
      <c r="J50" t="s">
        <v>97</v>
      </c>
      <c r="K50" t="s">
        <v>34</v>
      </c>
      <c r="L50" s="5">
        <f>21790 / 86400</f>
        <v>0.25219907407407405</v>
      </c>
      <c r="M50" s="5">
        <f>64608 / 86400</f>
        <v>0.74777777777777776</v>
      </c>
    </row>
    <row r="51" spans="1:13" x14ac:dyDescent="0.25">
      <c r="A51" t="s">
        <v>345</v>
      </c>
      <c r="B51" s="3">
        <v>45700.21094907407</v>
      </c>
      <c r="C51" t="s">
        <v>29</v>
      </c>
      <c r="D51" s="3">
        <v>45700.402939814812</v>
      </c>
      <c r="E51" t="s">
        <v>29</v>
      </c>
      <c r="F51" s="4">
        <v>73.08</v>
      </c>
      <c r="G51" s="4">
        <v>382464.48800000001</v>
      </c>
      <c r="H51" s="4">
        <v>382537.56800000003</v>
      </c>
      <c r="I51" s="5">
        <f>4861 / 86400</f>
        <v>5.6261574074074075E-2</v>
      </c>
      <c r="J51" t="s">
        <v>41</v>
      </c>
      <c r="K51" t="s">
        <v>28</v>
      </c>
      <c r="L51" s="5">
        <f>15802 / 86400</f>
        <v>0.18289351851851851</v>
      </c>
      <c r="M51" s="5">
        <f>70596 / 86400</f>
        <v>0.81708333333333338</v>
      </c>
    </row>
    <row r="52" spans="1:13" x14ac:dyDescent="0.25">
      <c r="A52" t="s">
        <v>346</v>
      </c>
      <c r="B52" s="3">
        <v>45700.320821759262</v>
      </c>
      <c r="C52" t="s">
        <v>98</v>
      </c>
      <c r="D52" s="3">
        <v>45700.889664351853</v>
      </c>
      <c r="E52" t="s">
        <v>98</v>
      </c>
      <c r="F52" s="4">
        <v>197.02199999999999</v>
      </c>
      <c r="G52" s="4">
        <v>545929.35699999996</v>
      </c>
      <c r="H52" s="4">
        <v>546126.37899999996</v>
      </c>
      <c r="I52" s="5">
        <f>13313 / 86400</f>
        <v>0.15408564814814815</v>
      </c>
      <c r="J52" t="s">
        <v>58</v>
      </c>
      <c r="K52" t="s">
        <v>34</v>
      </c>
      <c r="L52" s="5">
        <f>43726 / 86400</f>
        <v>0.50608796296296299</v>
      </c>
      <c r="M52" s="5">
        <f>42670 / 86400</f>
        <v>0.49386574074074074</v>
      </c>
    </row>
    <row r="53" spans="1:13" x14ac:dyDescent="0.25">
      <c r="A53" t="s">
        <v>347</v>
      </c>
      <c r="B53" s="3">
        <v>45700</v>
      </c>
      <c r="C53" t="s">
        <v>99</v>
      </c>
      <c r="D53" s="3">
        <v>45700.99998842593</v>
      </c>
      <c r="E53" t="s">
        <v>71</v>
      </c>
      <c r="F53" s="4">
        <v>286.935</v>
      </c>
      <c r="G53" s="4">
        <v>103379.308</v>
      </c>
      <c r="H53" s="4">
        <v>103666.243</v>
      </c>
      <c r="I53" s="5">
        <f>22921 / 86400</f>
        <v>0.26528935185185187</v>
      </c>
      <c r="J53" t="s">
        <v>100</v>
      </c>
      <c r="K53" t="s">
        <v>28</v>
      </c>
      <c r="L53" s="5">
        <f>59500 / 86400</f>
        <v>0.68865740740740744</v>
      </c>
      <c r="M53" s="5">
        <f>26899 / 86400</f>
        <v>0.31133101851851852</v>
      </c>
    </row>
    <row r="54" spans="1:13" x14ac:dyDescent="0.25">
      <c r="A54" t="s">
        <v>348</v>
      </c>
      <c r="B54" s="3">
        <v>45700.268287037034</v>
      </c>
      <c r="C54" t="s">
        <v>29</v>
      </c>
      <c r="D54" s="3">
        <v>45700.991469907407</v>
      </c>
      <c r="E54" t="s">
        <v>29</v>
      </c>
      <c r="F54" s="4">
        <v>246.87699999999998</v>
      </c>
      <c r="G54" s="4">
        <v>54007.205999999998</v>
      </c>
      <c r="H54" s="4">
        <v>54254.082999999999</v>
      </c>
      <c r="I54" s="5">
        <f>18702 / 86400</f>
        <v>0.21645833333333334</v>
      </c>
      <c r="J54" t="s">
        <v>51</v>
      </c>
      <c r="K54" t="s">
        <v>28</v>
      </c>
      <c r="L54" s="5">
        <f>53762 / 86400</f>
        <v>0.62224537037037042</v>
      </c>
      <c r="M54" s="5">
        <f>32637 / 86400</f>
        <v>0.37774305555555554</v>
      </c>
    </row>
    <row r="55" spans="1:13" x14ac:dyDescent="0.25">
      <c r="A55" t="s">
        <v>349</v>
      </c>
      <c r="B55" s="3">
        <v>45700.282662037032</v>
      </c>
      <c r="C55" t="s">
        <v>101</v>
      </c>
      <c r="D55" s="3">
        <v>45700.73128472222</v>
      </c>
      <c r="E55" t="s">
        <v>102</v>
      </c>
      <c r="F55" s="4">
        <v>164.46899999999999</v>
      </c>
      <c r="G55" s="4">
        <v>45705.144999999997</v>
      </c>
      <c r="H55" s="4">
        <v>45869.614000000001</v>
      </c>
      <c r="I55" s="5">
        <f>12618 / 86400</f>
        <v>0.14604166666666665</v>
      </c>
      <c r="J55" t="s">
        <v>74</v>
      </c>
      <c r="K55" t="s">
        <v>28</v>
      </c>
      <c r="L55" s="5">
        <f>34272 / 86400</f>
        <v>0.39666666666666667</v>
      </c>
      <c r="M55" s="5">
        <f>52127 / 86400</f>
        <v>0.60332175925925924</v>
      </c>
    </row>
    <row r="56" spans="1:13" x14ac:dyDescent="0.25">
      <c r="A56" t="s">
        <v>350</v>
      </c>
      <c r="B56" s="3">
        <v>45700.161979166667</v>
      </c>
      <c r="C56" t="s">
        <v>103</v>
      </c>
      <c r="D56" s="3">
        <v>45700.899675925924</v>
      </c>
      <c r="E56" t="s">
        <v>103</v>
      </c>
      <c r="F56" s="4">
        <v>300.62100000000004</v>
      </c>
      <c r="G56" s="4">
        <v>78489.376999999993</v>
      </c>
      <c r="H56" s="4">
        <v>78789.998000000007</v>
      </c>
      <c r="I56" s="5">
        <f>17415 / 86400</f>
        <v>0.20156250000000001</v>
      </c>
      <c r="J56" t="s">
        <v>27</v>
      </c>
      <c r="K56" t="s">
        <v>23</v>
      </c>
      <c r="L56" s="5">
        <f>58400 / 86400</f>
        <v>0.67592592592592593</v>
      </c>
      <c r="M56" s="5">
        <f>27999 / 86400</f>
        <v>0.32406249999999998</v>
      </c>
    </row>
    <row r="57" spans="1:13" x14ac:dyDescent="0.25">
      <c r="A57" t="s">
        <v>351</v>
      </c>
      <c r="B57" s="3">
        <v>45700</v>
      </c>
      <c r="C57" t="s">
        <v>104</v>
      </c>
      <c r="D57" s="3">
        <v>45700.99998842593</v>
      </c>
      <c r="E57" t="s">
        <v>94</v>
      </c>
      <c r="F57" s="4">
        <v>174.08099999999999</v>
      </c>
      <c r="G57" s="4">
        <v>40038.510999999999</v>
      </c>
      <c r="H57" s="4">
        <v>40212.591999999997</v>
      </c>
      <c r="I57" s="5">
        <f>10389 / 86400</f>
        <v>0.12024305555555556</v>
      </c>
      <c r="J57" t="s">
        <v>65</v>
      </c>
      <c r="K57" t="s">
        <v>31</v>
      </c>
      <c r="L57" s="5">
        <f>35753 / 86400</f>
        <v>0.41380787037037037</v>
      </c>
      <c r="M57" s="5">
        <f>50646 / 86400</f>
        <v>0.58618055555555559</v>
      </c>
    </row>
    <row r="58" spans="1:13" x14ac:dyDescent="0.25">
      <c r="A58" t="s">
        <v>352</v>
      </c>
      <c r="B58" s="3">
        <v>45700.267824074079</v>
      </c>
      <c r="C58" t="s">
        <v>105</v>
      </c>
      <c r="D58" s="3">
        <v>45700.99998842593</v>
      </c>
      <c r="E58" t="s">
        <v>106</v>
      </c>
      <c r="F58" s="4">
        <v>258.12900000000002</v>
      </c>
      <c r="G58" s="4">
        <v>191907.908</v>
      </c>
      <c r="H58" s="4">
        <v>192166.03700000001</v>
      </c>
      <c r="I58" s="5">
        <f>16117 / 86400</f>
        <v>0.18653935185185186</v>
      </c>
      <c r="J58" t="s">
        <v>33</v>
      </c>
      <c r="K58" t="s">
        <v>34</v>
      </c>
      <c r="L58" s="5">
        <f>57152 / 86400</f>
        <v>0.66148148148148145</v>
      </c>
      <c r="M58" s="5">
        <f>29244 / 86400</f>
        <v>0.33847222222222223</v>
      </c>
    </row>
    <row r="59" spans="1:13" x14ac:dyDescent="0.25">
      <c r="A59" t="s">
        <v>353</v>
      </c>
      <c r="B59" s="3">
        <v>45700</v>
      </c>
      <c r="C59" t="s">
        <v>62</v>
      </c>
      <c r="D59" s="3">
        <v>45700.99998842593</v>
      </c>
      <c r="E59" t="s">
        <v>107</v>
      </c>
      <c r="F59" s="4">
        <v>303.85199999999998</v>
      </c>
      <c r="G59" s="4">
        <v>522541.50400000002</v>
      </c>
      <c r="H59" s="4">
        <v>522845.35600000003</v>
      </c>
      <c r="I59" s="5">
        <f>22093 / 86400</f>
        <v>0.25570601851851854</v>
      </c>
      <c r="J59" t="s">
        <v>108</v>
      </c>
      <c r="K59" t="s">
        <v>28</v>
      </c>
      <c r="L59" s="5">
        <f>65000 / 86400</f>
        <v>0.75231481481481477</v>
      </c>
      <c r="M59" s="5">
        <f>21397 / 86400</f>
        <v>0.24765046296296298</v>
      </c>
    </row>
    <row r="60" spans="1:13" x14ac:dyDescent="0.25">
      <c r="A60" t="s">
        <v>354</v>
      </c>
      <c r="B60" s="3">
        <v>45700.271261574075</v>
      </c>
      <c r="C60" t="s">
        <v>109</v>
      </c>
      <c r="D60" s="3">
        <v>45700.709270833337</v>
      </c>
      <c r="E60" t="s">
        <v>109</v>
      </c>
      <c r="F60" s="4">
        <v>43.161999999999999</v>
      </c>
      <c r="G60" s="4">
        <v>22783.260999999999</v>
      </c>
      <c r="H60" s="4">
        <v>22826.422999999999</v>
      </c>
      <c r="I60" s="5">
        <f>3692 / 86400</f>
        <v>4.2731481481481481E-2</v>
      </c>
      <c r="J60" t="s">
        <v>30</v>
      </c>
      <c r="K60" t="s">
        <v>34</v>
      </c>
      <c r="L60" s="5">
        <f>9834 / 86400</f>
        <v>0.11381944444444445</v>
      </c>
      <c r="M60" s="5">
        <f>76562 / 86400</f>
        <v>0.88613425925925926</v>
      </c>
    </row>
    <row r="61" spans="1:13" x14ac:dyDescent="0.25">
      <c r="A61" t="s">
        <v>355</v>
      </c>
      <c r="B61" s="3">
        <v>45700.209907407407</v>
      </c>
      <c r="C61" t="s">
        <v>32</v>
      </c>
      <c r="D61" s="3">
        <v>45700.676412037035</v>
      </c>
      <c r="E61" t="s">
        <v>32</v>
      </c>
      <c r="F61" s="4">
        <v>166.67999999999998</v>
      </c>
      <c r="G61" s="4">
        <v>63838.898999999998</v>
      </c>
      <c r="H61" s="4">
        <v>64005.578999999998</v>
      </c>
      <c r="I61" s="5">
        <f>13736 / 86400</f>
        <v>0.15898148148148147</v>
      </c>
      <c r="J61" t="s">
        <v>58</v>
      </c>
      <c r="K61" t="s">
        <v>34</v>
      </c>
      <c r="L61" s="5">
        <f>36966 / 86400</f>
        <v>0.42784722222222221</v>
      </c>
      <c r="M61" s="5">
        <f>49430 / 86400</f>
        <v>0.57210648148148147</v>
      </c>
    </row>
    <row r="62" spans="1:13" x14ac:dyDescent="0.25">
      <c r="A62" t="s">
        <v>356</v>
      </c>
      <c r="B62" s="3">
        <v>45700.266550925924</v>
      </c>
      <c r="C62" t="s">
        <v>63</v>
      </c>
      <c r="D62" s="3">
        <v>45700.865891203706</v>
      </c>
      <c r="E62" t="s">
        <v>63</v>
      </c>
      <c r="F62" s="4">
        <v>173.01499999999999</v>
      </c>
      <c r="G62" s="4">
        <v>5271.4780000000001</v>
      </c>
      <c r="H62" s="4">
        <v>5444.4930000000004</v>
      </c>
      <c r="I62" s="5">
        <f>10054 / 86400</f>
        <v>0.11636574074074074</v>
      </c>
      <c r="J62" t="s">
        <v>51</v>
      </c>
      <c r="K62" t="s">
        <v>31</v>
      </c>
      <c r="L62" s="5">
        <f>35551 / 86400</f>
        <v>0.41146990740740741</v>
      </c>
      <c r="M62" s="5">
        <f>50846 / 86400</f>
        <v>0.58849537037037036</v>
      </c>
    </row>
    <row r="63" spans="1:13" x14ac:dyDescent="0.25">
      <c r="A63" t="s">
        <v>357</v>
      </c>
      <c r="B63" s="3">
        <v>45700.220312500001</v>
      </c>
      <c r="C63" t="s">
        <v>29</v>
      </c>
      <c r="D63" s="3">
        <v>45700.99998842593</v>
      </c>
      <c r="E63" t="s">
        <v>80</v>
      </c>
      <c r="F63" s="4">
        <v>139.732</v>
      </c>
      <c r="G63" s="4">
        <v>407803.59899999999</v>
      </c>
      <c r="H63" s="4">
        <v>407943.33100000001</v>
      </c>
      <c r="I63" s="5">
        <f>10739 / 86400</f>
        <v>0.12429398148148148</v>
      </c>
      <c r="J63" t="s">
        <v>53</v>
      </c>
      <c r="K63" t="s">
        <v>34</v>
      </c>
      <c r="L63" s="5">
        <f>31354 / 86400</f>
        <v>0.36289351851851853</v>
      </c>
      <c r="M63" s="5">
        <f>55038 / 86400</f>
        <v>0.63701388888888888</v>
      </c>
    </row>
    <row r="64" spans="1:13" x14ac:dyDescent="0.25">
      <c r="A64" t="s">
        <v>358</v>
      </c>
      <c r="B64" s="3">
        <v>45700</v>
      </c>
      <c r="C64" t="s">
        <v>110</v>
      </c>
      <c r="D64" s="3">
        <v>45700.99998842593</v>
      </c>
      <c r="E64" t="s">
        <v>111</v>
      </c>
      <c r="F64" s="4">
        <v>323.774</v>
      </c>
      <c r="G64" s="4">
        <v>549727.33499999996</v>
      </c>
      <c r="H64" s="4">
        <v>550051.10900000005</v>
      </c>
      <c r="I64" s="5">
        <f>20856 / 86400</f>
        <v>0.24138888888888888</v>
      </c>
      <c r="J64" t="s">
        <v>112</v>
      </c>
      <c r="K64" t="s">
        <v>28</v>
      </c>
      <c r="L64" s="5">
        <f>68530 / 86400</f>
        <v>0.79317129629629635</v>
      </c>
      <c r="M64" s="5">
        <f>17865 / 86400</f>
        <v>0.20677083333333332</v>
      </c>
    </row>
    <row r="65" spans="1:13" x14ac:dyDescent="0.25">
      <c r="A65" t="s">
        <v>359</v>
      </c>
      <c r="B65" s="3">
        <v>45700.002152777779</v>
      </c>
      <c r="C65" t="s">
        <v>80</v>
      </c>
      <c r="D65" s="3">
        <v>45700.958125000005</v>
      </c>
      <c r="E65" t="s">
        <v>113</v>
      </c>
      <c r="F65" s="4">
        <v>1659.9699999999925</v>
      </c>
      <c r="G65" s="4">
        <v>50458.145000000004</v>
      </c>
      <c r="H65" s="4">
        <v>52118.114999999998</v>
      </c>
      <c r="I65" s="5">
        <f>23972 / 86400</f>
        <v>0.2774537037037037</v>
      </c>
      <c r="J65" t="s">
        <v>114</v>
      </c>
      <c r="K65" t="s">
        <v>85</v>
      </c>
      <c r="L65" s="5">
        <f>69861 / 86400</f>
        <v>0.80857638888888894</v>
      </c>
      <c r="M65" s="5">
        <f>16526 / 86400</f>
        <v>0.19127314814814814</v>
      </c>
    </row>
    <row r="66" spans="1:13" x14ac:dyDescent="0.25">
      <c r="A66" t="s">
        <v>360</v>
      </c>
      <c r="B66" s="3">
        <v>45700.192303240736</v>
      </c>
      <c r="C66" t="s">
        <v>115</v>
      </c>
      <c r="D66" s="3">
        <v>45700.99998842593</v>
      </c>
      <c r="E66" t="s">
        <v>72</v>
      </c>
      <c r="F66" s="4">
        <v>250.35400000000001</v>
      </c>
      <c r="G66" s="4">
        <v>59112.646999999997</v>
      </c>
      <c r="H66" s="4">
        <v>59363.000999999997</v>
      </c>
      <c r="I66" s="5">
        <f>20737 / 86400</f>
        <v>0.24001157407407409</v>
      </c>
      <c r="J66" t="s">
        <v>27</v>
      </c>
      <c r="K66" t="s">
        <v>20</v>
      </c>
      <c r="L66" s="5">
        <f>59539 / 86400</f>
        <v>0.68910879629629629</v>
      </c>
      <c r="M66" s="5">
        <f>26851 / 86400</f>
        <v>0.31077546296296299</v>
      </c>
    </row>
    <row r="67" spans="1:13" x14ac:dyDescent="0.25">
      <c r="A67" t="s">
        <v>361</v>
      </c>
      <c r="B67" s="3">
        <v>45700.003321759257</v>
      </c>
      <c r="C67" t="s">
        <v>36</v>
      </c>
      <c r="D67" s="3">
        <v>45700.990810185191</v>
      </c>
      <c r="E67" t="s">
        <v>98</v>
      </c>
      <c r="F67" s="4">
        <v>309.47699999999998</v>
      </c>
      <c r="G67" s="4">
        <v>62556.364999999998</v>
      </c>
      <c r="H67" s="4">
        <v>62865.841999999997</v>
      </c>
      <c r="I67" s="5">
        <f>17087 / 86400</f>
        <v>0.19776620370370371</v>
      </c>
      <c r="J67" t="s">
        <v>114</v>
      </c>
      <c r="K67" t="s">
        <v>23</v>
      </c>
      <c r="L67" s="5">
        <f>58676 / 86400</f>
        <v>0.67912037037037032</v>
      </c>
      <c r="M67" s="5">
        <f>27721 / 86400</f>
        <v>0.3208449074074074</v>
      </c>
    </row>
    <row r="68" spans="1:13" x14ac:dyDescent="0.25">
      <c r="A68" t="s">
        <v>362</v>
      </c>
      <c r="B68" s="3">
        <v>45700</v>
      </c>
      <c r="C68" t="s">
        <v>72</v>
      </c>
      <c r="D68" s="3">
        <v>45700.05305555556</v>
      </c>
      <c r="E68" t="s">
        <v>92</v>
      </c>
      <c r="F68" s="4">
        <v>29.007000000000001</v>
      </c>
      <c r="G68" s="4">
        <v>291619.18699999998</v>
      </c>
      <c r="H68" s="4">
        <v>291648.19400000002</v>
      </c>
      <c r="I68" s="5">
        <f>1660 / 86400</f>
        <v>1.9212962962962963E-2</v>
      </c>
      <c r="J68" t="s">
        <v>37</v>
      </c>
      <c r="K68" t="s">
        <v>116</v>
      </c>
      <c r="L68" s="5">
        <f>4584 / 86400</f>
        <v>5.3055555555555557E-2</v>
      </c>
      <c r="M68" s="5">
        <f>81815 / 86400</f>
        <v>0.94693287037037033</v>
      </c>
    </row>
    <row r="69" spans="1:13" x14ac:dyDescent="0.25">
      <c r="A69" s="6" t="s">
        <v>117</v>
      </c>
      <c r="B69" s="6" t="s">
        <v>118</v>
      </c>
      <c r="C69" s="6" t="s">
        <v>118</v>
      </c>
      <c r="D69" s="6" t="s">
        <v>118</v>
      </c>
      <c r="E69" s="6" t="s">
        <v>118</v>
      </c>
      <c r="F69" s="7">
        <v>13129.934000000052</v>
      </c>
      <c r="G69" s="6" t="s">
        <v>118</v>
      </c>
      <c r="H69" s="6" t="s">
        <v>118</v>
      </c>
      <c r="I69" s="8">
        <f>893597 / 86400</f>
        <v>10.342557870370371</v>
      </c>
      <c r="J69" s="6" t="s">
        <v>118</v>
      </c>
      <c r="K69" s="6" t="s">
        <v>118</v>
      </c>
      <c r="L69" s="8">
        <f>2619651 / 86400</f>
        <v>30.320034722222221</v>
      </c>
      <c r="M69" s="8">
        <f>2650461 / 86400</f>
        <v>30.676631944444445</v>
      </c>
    </row>
    <row r="70" spans="1:13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</row>
    <row r="71" spans="1:13" s="9" customFormat="1" x14ac:dyDescent="0.25">
      <c r="A71" s="14" t="s">
        <v>119</v>
      </c>
      <c r="B71" s="14"/>
      <c r="C71" s="14"/>
      <c r="D71" s="14"/>
      <c r="E71" s="14"/>
      <c r="F71" s="14"/>
      <c r="G71" s="14"/>
      <c r="H71" s="14"/>
      <c r="I71" s="14"/>
      <c r="J71" s="14"/>
    </row>
    <row r="72" spans="1:13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</row>
    <row r="73" spans="1:13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</row>
    <row r="74" spans="1:13" s="10" customFormat="1" ht="20.100000000000001" customHeight="1" x14ac:dyDescent="0.35">
      <c r="A74" s="15" t="s">
        <v>302</v>
      </c>
      <c r="B74" s="15"/>
      <c r="C74" s="15"/>
      <c r="D74" s="15"/>
      <c r="E74" s="15"/>
      <c r="F74" s="15"/>
      <c r="G74" s="15"/>
      <c r="H74" s="15"/>
      <c r="I74" s="15"/>
      <c r="J74" s="15"/>
    </row>
    <row r="75" spans="1:13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</row>
    <row r="76" spans="1:13" ht="30" x14ac:dyDescent="0.25">
      <c r="A76" s="2" t="s">
        <v>6</v>
      </c>
      <c r="B76" s="2" t="s">
        <v>7</v>
      </c>
      <c r="C76" s="2" t="s">
        <v>8</v>
      </c>
      <c r="D76" s="2" t="s">
        <v>9</v>
      </c>
      <c r="E76" s="2" t="s">
        <v>10</v>
      </c>
      <c r="F76" s="2" t="s">
        <v>11</v>
      </c>
      <c r="G76" s="2" t="s">
        <v>12</v>
      </c>
      <c r="H76" s="2" t="s">
        <v>13</v>
      </c>
      <c r="I76" s="2" t="s">
        <v>14</v>
      </c>
      <c r="J76" s="2" t="s">
        <v>15</v>
      </c>
      <c r="K76" s="2" t="s">
        <v>16</v>
      </c>
      <c r="L76" s="2" t="s">
        <v>17</v>
      </c>
    </row>
    <row r="77" spans="1:13" x14ac:dyDescent="0.25">
      <c r="A77" s="3">
        <v>45700.179861111115</v>
      </c>
      <c r="B77" t="s">
        <v>18</v>
      </c>
      <c r="C77" s="3">
        <v>45700.183333333334</v>
      </c>
      <c r="D77" t="s">
        <v>18</v>
      </c>
      <c r="E77" s="4">
        <v>3.5000000000000003E-2</v>
      </c>
      <c r="F77" s="4">
        <v>513943.56400000001</v>
      </c>
      <c r="G77" s="4">
        <v>513943.59899999999</v>
      </c>
      <c r="H77" s="5">
        <f>260 / 86400</f>
        <v>3.0092592592592593E-3</v>
      </c>
      <c r="I77" t="s">
        <v>77</v>
      </c>
      <c r="J77" t="s">
        <v>42</v>
      </c>
      <c r="K77" s="5">
        <f>300 / 86400</f>
        <v>3.472222222222222E-3</v>
      </c>
      <c r="L77" s="5">
        <f>19007 / 86400</f>
        <v>0.21998842592592593</v>
      </c>
    </row>
    <row r="78" spans="1:13" x14ac:dyDescent="0.25">
      <c r="A78" s="3">
        <v>45700.223460648151</v>
      </c>
      <c r="B78" t="s">
        <v>18</v>
      </c>
      <c r="C78" s="3">
        <v>45700.33321759259</v>
      </c>
      <c r="D78" t="s">
        <v>120</v>
      </c>
      <c r="E78" s="4">
        <v>50.027999999999999</v>
      </c>
      <c r="F78" s="4">
        <v>513943.59899999999</v>
      </c>
      <c r="G78" s="4">
        <v>513993.62699999998</v>
      </c>
      <c r="H78" s="5">
        <f>3299 / 86400</f>
        <v>3.8182870370370367E-2</v>
      </c>
      <c r="I78" t="s">
        <v>49</v>
      </c>
      <c r="J78" t="s">
        <v>23</v>
      </c>
      <c r="K78" s="5">
        <f>9483 / 86400</f>
        <v>0.10975694444444445</v>
      </c>
      <c r="L78" s="5">
        <f>2569 / 86400</f>
        <v>2.9733796296296296E-2</v>
      </c>
    </row>
    <row r="79" spans="1:13" x14ac:dyDescent="0.25">
      <c r="A79" s="3">
        <v>45700.362951388888</v>
      </c>
      <c r="B79" t="s">
        <v>120</v>
      </c>
      <c r="C79" s="3">
        <v>45700.488275462965</v>
      </c>
      <c r="D79" t="s">
        <v>121</v>
      </c>
      <c r="E79" s="4">
        <v>50.84</v>
      </c>
      <c r="F79" s="4">
        <v>513993.62699999998</v>
      </c>
      <c r="G79" s="4">
        <v>514044.467</v>
      </c>
      <c r="H79" s="5">
        <f>3160 / 86400</f>
        <v>3.6574074074074071E-2</v>
      </c>
      <c r="I79" t="s">
        <v>19</v>
      </c>
      <c r="J79" t="s">
        <v>28</v>
      </c>
      <c r="K79" s="5">
        <f>10828 / 86400</f>
        <v>0.12532407407407409</v>
      </c>
      <c r="L79" s="5">
        <f>1982 / 86400</f>
        <v>2.2939814814814816E-2</v>
      </c>
    </row>
    <row r="80" spans="1:13" x14ac:dyDescent="0.25">
      <c r="A80" s="3">
        <v>45700.511215277773</v>
      </c>
      <c r="B80" t="s">
        <v>121</v>
      </c>
      <c r="C80" s="3">
        <v>45700.607430555552</v>
      </c>
      <c r="D80" t="s">
        <v>122</v>
      </c>
      <c r="E80" s="4">
        <v>36.661999999999999</v>
      </c>
      <c r="F80" s="4">
        <v>514044.467</v>
      </c>
      <c r="G80" s="4">
        <v>514081.12900000002</v>
      </c>
      <c r="H80" s="5">
        <f>2459 / 86400</f>
        <v>2.8460648148148148E-2</v>
      </c>
      <c r="I80" t="s">
        <v>33</v>
      </c>
      <c r="J80" t="s">
        <v>34</v>
      </c>
      <c r="K80" s="5">
        <f>8313 / 86400</f>
        <v>9.6215277777777775E-2</v>
      </c>
      <c r="L80" s="5">
        <f>988 / 86400</f>
        <v>1.1435185185185185E-2</v>
      </c>
    </row>
    <row r="81" spans="1:12" x14ac:dyDescent="0.25">
      <c r="A81" s="3">
        <v>45700.61886574074</v>
      </c>
      <c r="B81" t="s">
        <v>122</v>
      </c>
      <c r="C81" s="3">
        <v>45700.620520833334</v>
      </c>
      <c r="D81" t="s">
        <v>123</v>
      </c>
      <c r="E81" s="4">
        <v>0.48099999999999998</v>
      </c>
      <c r="F81" s="4">
        <v>514081.12900000002</v>
      </c>
      <c r="G81" s="4">
        <v>514081.61</v>
      </c>
      <c r="H81" s="5">
        <f>20 / 86400</f>
        <v>2.3148148148148149E-4</v>
      </c>
      <c r="I81" t="s">
        <v>124</v>
      </c>
      <c r="J81" t="s">
        <v>55</v>
      </c>
      <c r="K81" s="5">
        <f>143 / 86400</f>
        <v>1.6550925925925926E-3</v>
      </c>
      <c r="L81" s="5">
        <f>199 / 86400</f>
        <v>2.3032407407407407E-3</v>
      </c>
    </row>
    <row r="82" spans="1:12" x14ac:dyDescent="0.25">
      <c r="A82" s="3">
        <v>45700.622824074075</v>
      </c>
      <c r="B82" t="s">
        <v>123</v>
      </c>
      <c r="C82" s="3">
        <v>45700.822060185186</v>
      </c>
      <c r="D82" t="s">
        <v>125</v>
      </c>
      <c r="E82" s="4">
        <v>54.874000000000002</v>
      </c>
      <c r="F82" s="4">
        <v>514081.61</v>
      </c>
      <c r="G82" s="4">
        <v>514136.484</v>
      </c>
      <c r="H82" s="5">
        <f>6781 / 86400</f>
        <v>7.8483796296296301E-2</v>
      </c>
      <c r="I82" t="s">
        <v>33</v>
      </c>
      <c r="J82" t="s">
        <v>126</v>
      </c>
      <c r="K82" s="5">
        <f>17214 / 86400</f>
        <v>0.19923611111111111</v>
      </c>
      <c r="L82" s="5">
        <f>1860 / 86400</f>
        <v>2.1527777777777778E-2</v>
      </c>
    </row>
    <row r="83" spans="1:12" x14ac:dyDescent="0.25">
      <c r="A83" s="3">
        <v>45700.843587962961</v>
      </c>
      <c r="B83" t="s">
        <v>125</v>
      </c>
      <c r="C83" s="3">
        <v>45700.844490740739</v>
      </c>
      <c r="D83" t="s">
        <v>125</v>
      </c>
      <c r="E83" s="4">
        <v>0</v>
      </c>
      <c r="F83" s="4">
        <v>514136.484</v>
      </c>
      <c r="G83" s="4">
        <v>514136.484</v>
      </c>
      <c r="H83" s="5">
        <f>59 / 86400</f>
        <v>6.8287037037037036E-4</v>
      </c>
      <c r="I83" t="s">
        <v>42</v>
      </c>
      <c r="J83" t="s">
        <v>42</v>
      </c>
      <c r="K83" s="5">
        <f>77 / 86400</f>
        <v>8.9120370370370373E-4</v>
      </c>
      <c r="L83" s="5">
        <f>1478 / 86400</f>
        <v>1.7106481481481483E-2</v>
      </c>
    </row>
    <row r="84" spans="1:12" x14ac:dyDescent="0.25">
      <c r="A84" s="3">
        <v>45700.861597222218</v>
      </c>
      <c r="B84" t="s">
        <v>125</v>
      </c>
      <c r="C84" s="3">
        <v>45700.867233796293</v>
      </c>
      <c r="D84" t="s">
        <v>127</v>
      </c>
      <c r="E84" s="4">
        <v>2.1000000000000001E-2</v>
      </c>
      <c r="F84" s="4">
        <v>514136.484</v>
      </c>
      <c r="G84" s="4">
        <v>514136.505</v>
      </c>
      <c r="H84" s="5">
        <f>439 / 86400</f>
        <v>5.0810185185185186E-3</v>
      </c>
      <c r="I84" t="s">
        <v>128</v>
      </c>
      <c r="J84" t="s">
        <v>42</v>
      </c>
      <c r="K84" s="5">
        <f>487 / 86400</f>
        <v>5.6365740740740742E-3</v>
      </c>
      <c r="L84" s="5">
        <f>342 / 86400</f>
        <v>3.9583333333333337E-3</v>
      </c>
    </row>
    <row r="85" spans="1:12" x14ac:dyDescent="0.25">
      <c r="A85" s="3">
        <v>45700.871192129634</v>
      </c>
      <c r="B85" t="s">
        <v>127</v>
      </c>
      <c r="C85" s="3">
        <v>45700.883796296301</v>
      </c>
      <c r="D85" t="s">
        <v>129</v>
      </c>
      <c r="E85" s="4">
        <v>1.8680000000000001</v>
      </c>
      <c r="F85" s="4">
        <v>514136.505</v>
      </c>
      <c r="G85" s="4">
        <v>514138.37300000002</v>
      </c>
      <c r="H85" s="5">
        <f>560 / 86400</f>
        <v>6.4814814814814813E-3</v>
      </c>
      <c r="I85" t="s">
        <v>130</v>
      </c>
      <c r="J85" t="s">
        <v>131</v>
      </c>
      <c r="K85" s="5">
        <f>1089 / 86400</f>
        <v>1.2604166666666666E-2</v>
      </c>
      <c r="L85" s="5">
        <f>511 / 86400</f>
        <v>5.9143518518518521E-3</v>
      </c>
    </row>
    <row r="86" spans="1:12" x14ac:dyDescent="0.25">
      <c r="A86" s="3">
        <v>45700.889710648145</v>
      </c>
      <c r="B86" t="s">
        <v>132</v>
      </c>
      <c r="C86" s="3">
        <v>45700.894363425927</v>
      </c>
      <c r="D86" t="s">
        <v>18</v>
      </c>
      <c r="E86" s="4">
        <v>0.49299999999999999</v>
      </c>
      <c r="F86" s="4">
        <v>514138.37300000002</v>
      </c>
      <c r="G86" s="4">
        <v>514138.86599999998</v>
      </c>
      <c r="H86" s="5">
        <f>160 / 86400</f>
        <v>1.8518518518518519E-3</v>
      </c>
      <c r="I86" t="s">
        <v>20</v>
      </c>
      <c r="J86" t="s">
        <v>133</v>
      </c>
      <c r="K86" s="5">
        <f>401 / 86400</f>
        <v>4.6412037037037038E-3</v>
      </c>
      <c r="L86" s="5">
        <f>9126 / 86400</f>
        <v>0.105625</v>
      </c>
    </row>
    <row r="87" spans="1:12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</row>
    <row r="88" spans="1:12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</row>
    <row r="89" spans="1:12" s="10" customFormat="1" ht="20.100000000000001" customHeight="1" x14ac:dyDescent="0.35">
      <c r="A89" s="15" t="s">
        <v>303</v>
      </c>
      <c r="B89" s="15"/>
      <c r="C89" s="15"/>
      <c r="D89" s="15"/>
      <c r="E89" s="15"/>
      <c r="F89" s="15"/>
      <c r="G89" s="15"/>
      <c r="H89" s="15"/>
      <c r="I89" s="15"/>
      <c r="J89" s="15"/>
    </row>
    <row r="90" spans="1:12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</row>
    <row r="91" spans="1:12" ht="30" x14ac:dyDescent="0.25">
      <c r="A91" s="2" t="s">
        <v>6</v>
      </c>
      <c r="B91" s="2" t="s">
        <v>7</v>
      </c>
      <c r="C91" s="2" t="s">
        <v>8</v>
      </c>
      <c r="D91" s="2" t="s">
        <v>9</v>
      </c>
      <c r="E91" s="2" t="s">
        <v>10</v>
      </c>
      <c r="F91" s="2" t="s">
        <v>11</v>
      </c>
      <c r="G91" s="2" t="s">
        <v>12</v>
      </c>
      <c r="H91" s="2" t="s">
        <v>13</v>
      </c>
      <c r="I91" s="2" t="s">
        <v>14</v>
      </c>
      <c r="J91" s="2" t="s">
        <v>15</v>
      </c>
      <c r="K91" s="2" t="s">
        <v>16</v>
      </c>
      <c r="L91" s="2" t="s">
        <v>17</v>
      </c>
    </row>
    <row r="92" spans="1:12" x14ac:dyDescent="0.25">
      <c r="A92" s="3">
        <v>45700.090925925921</v>
      </c>
      <c r="B92" t="s">
        <v>21</v>
      </c>
      <c r="C92" s="3">
        <v>45700.28230324074</v>
      </c>
      <c r="D92" t="s">
        <v>107</v>
      </c>
      <c r="E92" s="4">
        <v>102.714</v>
      </c>
      <c r="F92" s="4">
        <v>18937.682000000001</v>
      </c>
      <c r="G92" s="4">
        <v>19040.396000000001</v>
      </c>
      <c r="H92" s="5">
        <f>4558 / 86400</f>
        <v>5.275462962962963E-2</v>
      </c>
      <c r="I92" t="s">
        <v>33</v>
      </c>
      <c r="J92" t="s">
        <v>134</v>
      </c>
      <c r="K92" s="5">
        <f>16535 / 86400</f>
        <v>0.19137731481481482</v>
      </c>
      <c r="L92" s="5">
        <f>8214 / 86400</f>
        <v>9.5069444444444443E-2</v>
      </c>
    </row>
    <row r="93" spans="1:12" x14ac:dyDescent="0.25">
      <c r="A93" s="3">
        <v>45700.286446759259</v>
      </c>
      <c r="B93" t="s">
        <v>107</v>
      </c>
      <c r="C93" s="3">
        <v>45700.29210648148</v>
      </c>
      <c r="D93" t="s">
        <v>135</v>
      </c>
      <c r="E93" s="4">
        <v>1.266</v>
      </c>
      <c r="F93" s="4">
        <v>19040.396000000001</v>
      </c>
      <c r="G93" s="4">
        <v>19041.662</v>
      </c>
      <c r="H93" s="5">
        <f>199 / 86400</f>
        <v>2.3032407407407407E-3</v>
      </c>
      <c r="I93" t="s">
        <v>136</v>
      </c>
      <c r="J93" t="s">
        <v>137</v>
      </c>
      <c r="K93" s="5">
        <f>489 / 86400</f>
        <v>5.6597222222222222E-3</v>
      </c>
      <c r="L93" s="5">
        <f>346 / 86400</f>
        <v>4.0046296296296297E-3</v>
      </c>
    </row>
    <row r="94" spans="1:12" x14ac:dyDescent="0.25">
      <c r="A94" s="3">
        <v>45700.296111111107</v>
      </c>
      <c r="B94" t="s">
        <v>135</v>
      </c>
      <c r="C94" s="3">
        <v>45700.2966087963</v>
      </c>
      <c r="D94" t="s">
        <v>138</v>
      </c>
      <c r="E94" s="4">
        <v>5.0999999999999997E-2</v>
      </c>
      <c r="F94" s="4">
        <v>19041.662</v>
      </c>
      <c r="G94" s="4">
        <v>19041.713</v>
      </c>
      <c r="H94" s="5">
        <f>0 / 86400</f>
        <v>0</v>
      </c>
      <c r="I94" t="s">
        <v>137</v>
      </c>
      <c r="J94" t="s">
        <v>133</v>
      </c>
      <c r="K94" s="5">
        <f>42 / 86400</f>
        <v>4.861111111111111E-4</v>
      </c>
      <c r="L94" s="5">
        <f>1091 / 86400</f>
        <v>1.2627314814814815E-2</v>
      </c>
    </row>
    <row r="95" spans="1:12" x14ac:dyDescent="0.25">
      <c r="A95" s="3">
        <v>45700.309236111112</v>
      </c>
      <c r="B95" t="s">
        <v>138</v>
      </c>
      <c r="C95" s="3">
        <v>45700.553483796291</v>
      </c>
      <c r="D95" t="s">
        <v>62</v>
      </c>
      <c r="E95" s="4">
        <v>98.394999999999996</v>
      </c>
      <c r="F95" s="4">
        <v>19041.713</v>
      </c>
      <c r="G95" s="4">
        <v>19140.108</v>
      </c>
      <c r="H95" s="5">
        <f>6700 / 86400</f>
        <v>7.7546296296296294E-2</v>
      </c>
      <c r="I95" t="s">
        <v>22</v>
      </c>
      <c r="J95" t="s">
        <v>28</v>
      </c>
      <c r="K95" s="5">
        <f>21102 / 86400</f>
        <v>0.2442361111111111</v>
      </c>
      <c r="L95" s="5">
        <f>375 / 86400</f>
        <v>4.340277777777778E-3</v>
      </c>
    </row>
    <row r="96" spans="1:12" x14ac:dyDescent="0.25">
      <c r="A96" s="3">
        <v>45700.557824074072</v>
      </c>
      <c r="B96" t="s">
        <v>62</v>
      </c>
      <c r="C96" s="3">
        <v>45700.558194444442</v>
      </c>
      <c r="D96" t="s">
        <v>62</v>
      </c>
      <c r="E96" s="4">
        <v>1.6E-2</v>
      </c>
      <c r="F96" s="4">
        <v>19140.108</v>
      </c>
      <c r="G96" s="4">
        <v>19140.124</v>
      </c>
      <c r="H96" s="5">
        <f>19 / 86400</f>
        <v>2.199074074074074E-4</v>
      </c>
      <c r="I96" t="s">
        <v>42</v>
      </c>
      <c r="J96" t="s">
        <v>128</v>
      </c>
      <c r="K96" s="5">
        <f>31 / 86400</f>
        <v>3.5879629629629629E-4</v>
      </c>
      <c r="L96" s="5">
        <f>357 / 86400</f>
        <v>4.1319444444444442E-3</v>
      </c>
    </row>
    <row r="97" spans="1:12" x14ac:dyDescent="0.25">
      <c r="A97" s="3">
        <v>45700.562326388885</v>
      </c>
      <c r="B97" t="s">
        <v>62</v>
      </c>
      <c r="C97" s="3">
        <v>45700.563310185185</v>
      </c>
      <c r="D97" t="s">
        <v>139</v>
      </c>
      <c r="E97" s="4">
        <v>0.3</v>
      </c>
      <c r="F97" s="4">
        <v>19140.124</v>
      </c>
      <c r="G97" s="4">
        <v>19140.423999999999</v>
      </c>
      <c r="H97" s="5">
        <f>0 / 86400</f>
        <v>0</v>
      </c>
      <c r="I97" t="s">
        <v>140</v>
      </c>
      <c r="J97" t="s">
        <v>46</v>
      </c>
      <c r="K97" s="5">
        <f>84 / 86400</f>
        <v>9.7222222222222219E-4</v>
      </c>
      <c r="L97" s="5">
        <f>484 / 86400</f>
        <v>5.6018518518518518E-3</v>
      </c>
    </row>
    <row r="98" spans="1:12" x14ac:dyDescent="0.25">
      <c r="A98" s="3">
        <v>45700.568912037037</v>
      </c>
      <c r="B98" t="s">
        <v>141</v>
      </c>
      <c r="C98" s="3">
        <v>45700.570497685185</v>
      </c>
      <c r="D98" t="s">
        <v>21</v>
      </c>
      <c r="E98" s="4">
        <v>0.253</v>
      </c>
      <c r="F98" s="4">
        <v>19140.423999999999</v>
      </c>
      <c r="G98" s="4">
        <v>19140.677</v>
      </c>
      <c r="H98" s="5">
        <f>0 / 86400</f>
        <v>0</v>
      </c>
      <c r="I98" t="s">
        <v>142</v>
      </c>
      <c r="J98" t="s">
        <v>143</v>
      </c>
      <c r="K98" s="5">
        <f>137 / 86400</f>
        <v>1.5856481481481481E-3</v>
      </c>
      <c r="L98" s="5">
        <f>37108 / 86400</f>
        <v>0.42949074074074073</v>
      </c>
    </row>
    <row r="99" spans="1:12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</row>
    <row r="100" spans="1:12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</row>
    <row r="101" spans="1:12" s="10" customFormat="1" ht="20.100000000000001" customHeight="1" x14ac:dyDescent="0.35">
      <c r="A101" s="15" t="s">
        <v>304</v>
      </c>
      <c r="B101" s="15"/>
      <c r="C101" s="15"/>
      <c r="D101" s="15"/>
      <c r="E101" s="15"/>
      <c r="F101" s="15"/>
      <c r="G101" s="15"/>
      <c r="H101" s="15"/>
      <c r="I101" s="15"/>
      <c r="J101" s="15"/>
    </row>
    <row r="102" spans="1:12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</row>
    <row r="103" spans="1:12" ht="30" x14ac:dyDescent="0.25">
      <c r="A103" s="2" t="s">
        <v>6</v>
      </c>
      <c r="B103" s="2" t="s">
        <v>7</v>
      </c>
      <c r="C103" s="2" t="s">
        <v>8</v>
      </c>
      <c r="D103" s="2" t="s">
        <v>9</v>
      </c>
      <c r="E103" s="2" t="s">
        <v>10</v>
      </c>
      <c r="F103" s="2" t="s">
        <v>11</v>
      </c>
      <c r="G103" s="2" t="s">
        <v>12</v>
      </c>
      <c r="H103" s="2" t="s">
        <v>13</v>
      </c>
      <c r="I103" s="2" t="s">
        <v>14</v>
      </c>
      <c r="J103" s="2" t="s">
        <v>15</v>
      </c>
      <c r="K103" s="2" t="s">
        <v>16</v>
      </c>
      <c r="L103" s="2" t="s">
        <v>17</v>
      </c>
    </row>
    <row r="104" spans="1:12" x14ac:dyDescent="0.25">
      <c r="A104" s="3">
        <v>45700.227743055555</v>
      </c>
      <c r="B104" t="s">
        <v>24</v>
      </c>
      <c r="C104" s="3">
        <v>45700.234050925923</v>
      </c>
      <c r="D104" t="s">
        <v>87</v>
      </c>
      <c r="E104" s="4">
        <v>0.96799999999999997</v>
      </c>
      <c r="F104" s="4">
        <v>328367.87</v>
      </c>
      <c r="G104" s="4">
        <v>328368.83799999999</v>
      </c>
      <c r="H104" s="5">
        <f>359 / 86400</f>
        <v>4.1550925925925922E-3</v>
      </c>
      <c r="I104" t="s">
        <v>144</v>
      </c>
      <c r="J104" t="s">
        <v>131</v>
      </c>
      <c r="K104" s="5">
        <f>544 / 86400</f>
        <v>6.2962962962962964E-3</v>
      </c>
      <c r="L104" s="5">
        <f>20530 / 86400</f>
        <v>0.23761574074074074</v>
      </c>
    </row>
    <row r="105" spans="1:12" x14ac:dyDescent="0.25">
      <c r="A105" s="3">
        <v>45700.243923611109</v>
      </c>
      <c r="B105" t="s">
        <v>87</v>
      </c>
      <c r="C105" s="3">
        <v>45700.252164351856</v>
      </c>
      <c r="D105" t="s">
        <v>145</v>
      </c>
      <c r="E105" s="4">
        <v>6.4950000000000001</v>
      </c>
      <c r="F105" s="4">
        <v>328368.83799999999</v>
      </c>
      <c r="G105" s="4">
        <v>328375.33299999998</v>
      </c>
      <c r="H105" s="5">
        <f>80 / 86400</f>
        <v>9.2592592592592596E-4</v>
      </c>
      <c r="I105" t="s">
        <v>41</v>
      </c>
      <c r="J105" t="s">
        <v>146</v>
      </c>
      <c r="K105" s="5">
        <f>712 / 86400</f>
        <v>8.2407407407407412E-3</v>
      </c>
      <c r="L105" s="5">
        <f>459 / 86400</f>
        <v>5.3125000000000004E-3</v>
      </c>
    </row>
    <row r="106" spans="1:12" x14ac:dyDescent="0.25">
      <c r="A106" s="3">
        <v>45700.257476851853</v>
      </c>
      <c r="B106" t="s">
        <v>145</v>
      </c>
      <c r="C106" s="3">
        <v>45700.314513888894</v>
      </c>
      <c r="D106" t="s">
        <v>147</v>
      </c>
      <c r="E106" s="4">
        <v>26.859000000000002</v>
      </c>
      <c r="F106" s="4">
        <v>328375.33299999998</v>
      </c>
      <c r="G106" s="4">
        <v>328402.19199999998</v>
      </c>
      <c r="H106" s="5">
        <f>1301 / 86400</f>
        <v>1.5057870370370371E-2</v>
      </c>
      <c r="I106" t="s">
        <v>83</v>
      </c>
      <c r="J106" t="s">
        <v>70</v>
      </c>
      <c r="K106" s="5">
        <f>4927 / 86400</f>
        <v>5.7025462962962965E-2</v>
      </c>
      <c r="L106" s="5">
        <f>453 / 86400</f>
        <v>5.2430555555555555E-3</v>
      </c>
    </row>
    <row r="107" spans="1:12" x14ac:dyDescent="0.25">
      <c r="A107" s="3">
        <v>45700.319756944446</v>
      </c>
      <c r="B107" t="s">
        <v>147</v>
      </c>
      <c r="C107" s="3">
        <v>45700.319965277777</v>
      </c>
      <c r="D107" t="s">
        <v>147</v>
      </c>
      <c r="E107" s="4">
        <v>3.1E-2</v>
      </c>
      <c r="F107" s="4">
        <v>328402.19199999998</v>
      </c>
      <c r="G107" s="4">
        <v>328402.223</v>
      </c>
      <c r="H107" s="5">
        <f>0 / 86400</f>
        <v>0</v>
      </c>
      <c r="I107" t="s">
        <v>42</v>
      </c>
      <c r="J107" t="s">
        <v>131</v>
      </c>
      <c r="K107" s="5">
        <f>18 / 86400</f>
        <v>2.0833333333333335E-4</v>
      </c>
      <c r="L107" s="5">
        <f>144 / 86400</f>
        <v>1.6666666666666668E-3</v>
      </c>
    </row>
    <row r="108" spans="1:12" x14ac:dyDescent="0.25">
      <c r="A108" s="3">
        <v>45700.321631944447</v>
      </c>
      <c r="B108" t="s">
        <v>147</v>
      </c>
      <c r="C108" s="3">
        <v>45700.404467592598</v>
      </c>
      <c r="D108" t="s">
        <v>62</v>
      </c>
      <c r="E108" s="4">
        <v>42.066000000000003</v>
      </c>
      <c r="F108" s="4">
        <v>328402.223</v>
      </c>
      <c r="G108" s="4">
        <v>328444.28899999999</v>
      </c>
      <c r="H108" s="5">
        <f>1799 / 86400</f>
        <v>2.0821759259259259E-2</v>
      </c>
      <c r="I108" t="s">
        <v>58</v>
      </c>
      <c r="J108" t="s">
        <v>124</v>
      </c>
      <c r="K108" s="5">
        <f>7157 / 86400</f>
        <v>8.2835648148148144E-2</v>
      </c>
      <c r="L108" s="5">
        <f>2813 / 86400</f>
        <v>3.2557870370370369E-2</v>
      </c>
    </row>
    <row r="109" spans="1:12" x14ac:dyDescent="0.25">
      <c r="A109" s="3">
        <v>45700.437025462961</v>
      </c>
      <c r="B109" t="s">
        <v>62</v>
      </c>
      <c r="C109" s="3">
        <v>45700.437928240739</v>
      </c>
      <c r="D109" t="s">
        <v>107</v>
      </c>
      <c r="E109" s="4">
        <v>0.05</v>
      </c>
      <c r="F109" s="4">
        <v>328444.28899999999</v>
      </c>
      <c r="G109" s="4">
        <v>328444.33899999998</v>
      </c>
      <c r="H109" s="5">
        <f>20 / 86400</f>
        <v>2.3148148148148149E-4</v>
      </c>
      <c r="I109" t="s">
        <v>148</v>
      </c>
      <c r="J109" t="s">
        <v>128</v>
      </c>
      <c r="K109" s="5">
        <f>77 / 86400</f>
        <v>8.9120370370370373E-4</v>
      </c>
      <c r="L109" s="5">
        <f>188 / 86400</f>
        <v>2.1759259259259258E-3</v>
      </c>
    </row>
    <row r="110" spans="1:12" x14ac:dyDescent="0.25">
      <c r="A110" s="3">
        <v>45700.440104166672</v>
      </c>
      <c r="B110" t="s">
        <v>107</v>
      </c>
      <c r="C110" s="3">
        <v>45700.44049768518</v>
      </c>
      <c r="D110" t="s">
        <v>107</v>
      </c>
      <c r="E110" s="4">
        <v>1.4999999999999999E-2</v>
      </c>
      <c r="F110" s="4">
        <v>328444.33899999998</v>
      </c>
      <c r="G110" s="4">
        <v>328444.35399999999</v>
      </c>
      <c r="H110" s="5">
        <f>19 / 86400</f>
        <v>2.199074074074074E-4</v>
      </c>
      <c r="I110" t="s">
        <v>42</v>
      </c>
      <c r="J110" t="s">
        <v>128</v>
      </c>
      <c r="K110" s="5">
        <f>33 / 86400</f>
        <v>3.8194444444444446E-4</v>
      </c>
      <c r="L110" s="5">
        <f>337 / 86400</f>
        <v>3.9004629629629628E-3</v>
      </c>
    </row>
    <row r="111" spans="1:12" x14ac:dyDescent="0.25">
      <c r="A111" s="3">
        <v>45700.444398148145</v>
      </c>
      <c r="B111" t="s">
        <v>107</v>
      </c>
      <c r="C111" s="3">
        <v>45700.445057870369</v>
      </c>
      <c r="D111" t="s">
        <v>62</v>
      </c>
      <c r="E111" s="4">
        <v>8.4000000000000005E-2</v>
      </c>
      <c r="F111" s="4">
        <v>328444.35399999999</v>
      </c>
      <c r="G111" s="4">
        <v>328444.43800000002</v>
      </c>
      <c r="H111" s="5">
        <f>0 / 86400</f>
        <v>0</v>
      </c>
      <c r="I111" t="s">
        <v>126</v>
      </c>
      <c r="J111" t="s">
        <v>149</v>
      </c>
      <c r="K111" s="5">
        <f>56 / 86400</f>
        <v>6.4814814814814813E-4</v>
      </c>
      <c r="L111" s="5">
        <f>455 / 86400</f>
        <v>5.2662037037037035E-3</v>
      </c>
    </row>
    <row r="112" spans="1:12" x14ac:dyDescent="0.25">
      <c r="A112" s="3">
        <v>45700.450324074074</v>
      </c>
      <c r="B112" t="s">
        <v>62</v>
      </c>
      <c r="C112" s="3">
        <v>45700.452013888891</v>
      </c>
      <c r="D112" t="s">
        <v>107</v>
      </c>
      <c r="E112" s="4">
        <v>3.2000000000000001E-2</v>
      </c>
      <c r="F112" s="4">
        <v>328444.43800000002</v>
      </c>
      <c r="G112" s="4">
        <v>328444.46999999997</v>
      </c>
      <c r="H112" s="5">
        <f>99 / 86400</f>
        <v>1.1458333333333333E-3</v>
      </c>
      <c r="I112" t="s">
        <v>143</v>
      </c>
      <c r="J112" t="s">
        <v>150</v>
      </c>
      <c r="K112" s="5">
        <f>146 / 86400</f>
        <v>1.6898148148148148E-3</v>
      </c>
      <c r="L112" s="5">
        <f>2713 / 86400</f>
        <v>3.1400462962962963E-2</v>
      </c>
    </row>
    <row r="113" spans="1:12" x14ac:dyDescent="0.25">
      <c r="A113" s="3">
        <v>45700.483414351853</v>
      </c>
      <c r="B113" t="s">
        <v>107</v>
      </c>
      <c r="C113" s="3">
        <v>45700.502881944441</v>
      </c>
      <c r="D113" t="s">
        <v>151</v>
      </c>
      <c r="E113" s="4">
        <v>5.2549999999999999</v>
      </c>
      <c r="F113" s="4">
        <v>328444.46999999997</v>
      </c>
      <c r="G113" s="4">
        <v>328449.72499999998</v>
      </c>
      <c r="H113" s="5">
        <f>518 / 86400</f>
        <v>5.9953703703703705E-3</v>
      </c>
      <c r="I113" t="s">
        <v>76</v>
      </c>
      <c r="J113" t="s">
        <v>126</v>
      </c>
      <c r="K113" s="5">
        <f>1682 / 86400</f>
        <v>1.9467592592592592E-2</v>
      </c>
      <c r="L113" s="5">
        <f>73 / 86400</f>
        <v>8.4490740740740739E-4</v>
      </c>
    </row>
    <row r="114" spans="1:12" x14ac:dyDescent="0.25">
      <c r="A114" s="3">
        <v>45700.50372685185</v>
      </c>
      <c r="B114" t="s">
        <v>151</v>
      </c>
      <c r="C114" s="3">
        <v>45700.569965277777</v>
      </c>
      <c r="D114" t="s">
        <v>152</v>
      </c>
      <c r="E114" s="4">
        <v>35.93</v>
      </c>
      <c r="F114" s="4">
        <v>328449.72499999998</v>
      </c>
      <c r="G114" s="4">
        <v>328485.65500000003</v>
      </c>
      <c r="H114" s="5">
        <f>1939 / 86400</f>
        <v>2.2442129629629631E-2</v>
      </c>
      <c r="I114" t="s">
        <v>22</v>
      </c>
      <c r="J114" t="s">
        <v>116</v>
      </c>
      <c r="K114" s="5">
        <f>5723 / 86400</f>
        <v>6.6238425925925923E-2</v>
      </c>
      <c r="L114" s="5">
        <f>193 / 86400</f>
        <v>2.2337962962962962E-3</v>
      </c>
    </row>
    <row r="115" spans="1:12" x14ac:dyDescent="0.25">
      <c r="A115" s="3">
        <v>45700.572199074071</v>
      </c>
      <c r="B115" t="s">
        <v>152</v>
      </c>
      <c r="C115" s="3">
        <v>45700.657500000001</v>
      </c>
      <c r="D115" t="s">
        <v>81</v>
      </c>
      <c r="E115" s="4">
        <v>36.862000000000002</v>
      </c>
      <c r="F115" s="4">
        <v>328485.65500000003</v>
      </c>
      <c r="G115" s="4">
        <v>328522.51699999999</v>
      </c>
      <c r="H115" s="5">
        <f>2101 / 86400</f>
        <v>2.431712962962963E-2</v>
      </c>
      <c r="I115" t="s">
        <v>153</v>
      </c>
      <c r="J115" t="s">
        <v>31</v>
      </c>
      <c r="K115" s="5">
        <f>7369 / 86400</f>
        <v>8.5289351851851852E-2</v>
      </c>
      <c r="L115" s="5">
        <f>180 / 86400</f>
        <v>2.0833333333333333E-3</v>
      </c>
    </row>
    <row r="116" spans="1:12" x14ac:dyDescent="0.25">
      <c r="A116" s="3">
        <v>45700.659583333334</v>
      </c>
      <c r="B116" t="s">
        <v>81</v>
      </c>
      <c r="C116" s="3">
        <v>45700.803518518514</v>
      </c>
      <c r="D116" t="s">
        <v>154</v>
      </c>
      <c r="E116" s="4">
        <v>58.768999999999998</v>
      </c>
      <c r="F116" s="4">
        <v>328522.51699999999</v>
      </c>
      <c r="G116" s="4">
        <v>328581.28600000002</v>
      </c>
      <c r="H116" s="5">
        <f>4379 / 86400</f>
        <v>5.0682870370370371E-2</v>
      </c>
      <c r="I116" t="s">
        <v>155</v>
      </c>
      <c r="J116" t="s">
        <v>28</v>
      </c>
      <c r="K116" s="5">
        <f>12436 / 86400</f>
        <v>0.14393518518518519</v>
      </c>
      <c r="L116" s="5">
        <f>374 / 86400</f>
        <v>4.3287037037037035E-3</v>
      </c>
    </row>
    <row r="117" spans="1:12" x14ac:dyDescent="0.25">
      <c r="A117" s="3">
        <v>45700.807847222226</v>
      </c>
      <c r="B117" t="s">
        <v>154</v>
      </c>
      <c r="C117" s="3">
        <v>45700.808287037042</v>
      </c>
      <c r="D117" t="s">
        <v>79</v>
      </c>
      <c r="E117" s="4">
        <v>6.2E-2</v>
      </c>
      <c r="F117" s="4">
        <v>328581.28600000002</v>
      </c>
      <c r="G117" s="4">
        <v>328581.348</v>
      </c>
      <c r="H117" s="5">
        <f>0 / 86400</f>
        <v>0</v>
      </c>
      <c r="I117" t="s">
        <v>137</v>
      </c>
      <c r="J117" t="s">
        <v>131</v>
      </c>
      <c r="K117" s="5">
        <f>38 / 86400</f>
        <v>4.3981481481481481E-4</v>
      </c>
      <c r="L117" s="5">
        <f>507 / 86400</f>
        <v>5.8680555555555552E-3</v>
      </c>
    </row>
    <row r="118" spans="1:12" x14ac:dyDescent="0.25">
      <c r="A118" s="3">
        <v>45700.814155092594</v>
      </c>
      <c r="B118" t="s">
        <v>79</v>
      </c>
      <c r="C118" s="3">
        <v>45700.81521990741</v>
      </c>
      <c r="D118" t="s">
        <v>154</v>
      </c>
      <c r="E118" s="4">
        <v>0.124</v>
      </c>
      <c r="F118" s="4">
        <v>328581.348</v>
      </c>
      <c r="G118" s="4">
        <v>328581.47200000001</v>
      </c>
      <c r="H118" s="5">
        <f>40 / 86400</f>
        <v>4.6296296296296298E-4</v>
      </c>
      <c r="I118" t="s">
        <v>55</v>
      </c>
      <c r="J118" t="s">
        <v>149</v>
      </c>
      <c r="K118" s="5">
        <f>92 / 86400</f>
        <v>1.0648148148148149E-3</v>
      </c>
      <c r="L118" s="5">
        <f>150 / 86400</f>
        <v>1.736111111111111E-3</v>
      </c>
    </row>
    <row r="119" spans="1:12" x14ac:dyDescent="0.25">
      <c r="A119" s="3">
        <v>45700.81695601852</v>
      </c>
      <c r="B119" t="s">
        <v>154</v>
      </c>
      <c r="C119" s="3">
        <v>45700.817025462966</v>
      </c>
      <c r="D119" t="s">
        <v>154</v>
      </c>
      <c r="E119" s="4">
        <v>0</v>
      </c>
      <c r="F119" s="4">
        <v>328581.47200000001</v>
      </c>
      <c r="G119" s="4">
        <v>328581.47200000001</v>
      </c>
      <c r="H119" s="5">
        <f>0 / 86400</f>
        <v>0</v>
      </c>
      <c r="I119" t="s">
        <v>42</v>
      </c>
      <c r="J119" t="s">
        <v>42</v>
      </c>
      <c r="K119" s="5">
        <f>6 / 86400</f>
        <v>6.9444444444444444E-5</v>
      </c>
      <c r="L119" s="5">
        <f>138 / 86400</f>
        <v>1.5972222222222223E-3</v>
      </c>
    </row>
    <row r="120" spans="1:12" x14ac:dyDescent="0.25">
      <c r="A120" s="3">
        <v>45700.818622685183</v>
      </c>
      <c r="B120" t="s">
        <v>154</v>
      </c>
      <c r="C120" s="3">
        <v>45700.818703703699</v>
      </c>
      <c r="D120" t="s">
        <v>154</v>
      </c>
      <c r="E120" s="4">
        <v>0</v>
      </c>
      <c r="F120" s="4">
        <v>328581.47200000001</v>
      </c>
      <c r="G120" s="4">
        <v>328581.47200000001</v>
      </c>
      <c r="H120" s="5">
        <f>0 / 86400</f>
        <v>0</v>
      </c>
      <c r="I120" t="s">
        <v>42</v>
      </c>
      <c r="J120" t="s">
        <v>42</v>
      </c>
      <c r="K120" s="5">
        <f>6 / 86400</f>
        <v>6.9444444444444444E-5</v>
      </c>
      <c r="L120" s="5">
        <f>323 / 86400</f>
        <v>3.7384259259259259E-3</v>
      </c>
    </row>
    <row r="121" spans="1:12" x14ac:dyDescent="0.25">
      <c r="A121" s="3">
        <v>45700.822442129633</v>
      </c>
      <c r="B121" t="s">
        <v>154</v>
      </c>
      <c r="C121" s="3">
        <v>45700.823391203703</v>
      </c>
      <c r="D121" t="s">
        <v>154</v>
      </c>
      <c r="E121" s="4">
        <v>0</v>
      </c>
      <c r="F121" s="4">
        <v>328581.47200000001</v>
      </c>
      <c r="G121" s="4">
        <v>328581.47200000001</v>
      </c>
      <c r="H121" s="5">
        <f>80 / 86400</f>
        <v>9.2592592592592596E-4</v>
      </c>
      <c r="I121" t="s">
        <v>42</v>
      </c>
      <c r="J121" t="s">
        <v>42</v>
      </c>
      <c r="K121" s="5">
        <f>82 / 86400</f>
        <v>9.4907407407407408E-4</v>
      </c>
      <c r="L121" s="5">
        <f>20 / 86400</f>
        <v>2.3148148148148149E-4</v>
      </c>
    </row>
    <row r="122" spans="1:12" x14ac:dyDescent="0.25">
      <c r="A122" s="3">
        <v>45700.823622685188</v>
      </c>
      <c r="B122" t="s">
        <v>154</v>
      </c>
      <c r="C122" s="3">
        <v>45700.82912037037</v>
      </c>
      <c r="D122" t="s">
        <v>25</v>
      </c>
      <c r="E122" s="4">
        <v>1.1859999999999999</v>
      </c>
      <c r="F122" s="4">
        <v>328581.47200000001</v>
      </c>
      <c r="G122" s="4">
        <v>328582.658</v>
      </c>
      <c r="H122" s="5">
        <f>199 / 86400</f>
        <v>2.3032407407407407E-3</v>
      </c>
      <c r="I122" t="s">
        <v>156</v>
      </c>
      <c r="J122" t="s">
        <v>137</v>
      </c>
      <c r="K122" s="5">
        <f>474 / 86400</f>
        <v>5.4861111111111109E-3</v>
      </c>
      <c r="L122" s="5">
        <f>14763 / 86400</f>
        <v>0.17086805555555556</v>
      </c>
    </row>
    <row r="123" spans="1:12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</row>
    <row r="124" spans="1:12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</row>
    <row r="125" spans="1:12" s="10" customFormat="1" ht="20.100000000000001" customHeight="1" x14ac:dyDescent="0.35">
      <c r="A125" s="15" t="s">
        <v>305</v>
      </c>
      <c r="B125" s="15"/>
      <c r="C125" s="15"/>
      <c r="D125" s="15"/>
      <c r="E125" s="15"/>
      <c r="F125" s="15"/>
      <c r="G125" s="15"/>
      <c r="H125" s="15"/>
      <c r="I125" s="15"/>
      <c r="J125" s="15"/>
    </row>
    <row r="126" spans="1:12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</row>
    <row r="127" spans="1:12" ht="30" x14ac:dyDescent="0.25">
      <c r="A127" s="2" t="s">
        <v>6</v>
      </c>
      <c r="B127" s="2" t="s">
        <v>7</v>
      </c>
      <c r="C127" s="2" t="s">
        <v>8</v>
      </c>
      <c r="D127" s="2" t="s">
        <v>9</v>
      </c>
      <c r="E127" s="2" t="s">
        <v>10</v>
      </c>
      <c r="F127" s="2" t="s">
        <v>11</v>
      </c>
      <c r="G127" s="2" t="s">
        <v>12</v>
      </c>
      <c r="H127" s="2" t="s">
        <v>13</v>
      </c>
      <c r="I127" s="2" t="s">
        <v>14</v>
      </c>
      <c r="J127" s="2" t="s">
        <v>15</v>
      </c>
      <c r="K127" s="2" t="s">
        <v>16</v>
      </c>
      <c r="L127" s="2" t="s">
        <v>17</v>
      </c>
    </row>
    <row r="128" spans="1:12" x14ac:dyDescent="0.25">
      <c r="A128" s="3">
        <v>45700.246377314819</v>
      </c>
      <c r="B128" t="s">
        <v>26</v>
      </c>
      <c r="C128" s="3">
        <v>45700.309988425928</v>
      </c>
      <c r="D128" t="s">
        <v>120</v>
      </c>
      <c r="E128" s="4">
        <v>35.247</v>
      </c>
      <c r="F128" s="4">
        <v>513023.391</v>
      </c>
      <c r="G128" s="4">
        <v>513058.63799999998</v>
      </c>
      <c r="H128" s="5">
        <f>1039 / 86400</f>
        <v>1.2025462962962963E-2</v>
      </c>
      <c r="I128" t="s">
        <v>27</v>
      </c>
      <c r="J128" t="s">
        <v>116</v>
      </c>
      <c r="K128" s="5">
        <f>5495 / 86400</f>
        <v>6.3599537037037038E-2</v>
      </c>
      <c r="L128" s="5">
        <f>25300 / 86400</f>
        <v>0.29282407407407407</v>
      </c>
    </row>
    <row r="129" spans="1:12" x14ac:dyDescent="0.25">
      <c r="A129" s="3">
        <v>45700.356435185182</v>
      </c>
      <c r="B129" t="s">
        <v>120</v>
      </c>
      <c r="C129" s="3">
        <v>45700.360081018516</v>
      </c>
      <c r="D129" t="s">
        <v>138</v>
      </c>
      <c r="E129" s="4">
        <v>0.93600000000000005</v>
      </c>
      <c r="F129" s="4">
        <v>513058.63799999998</v>
      </c>
      <c r="G129" s="4">
        <v>513059.57400000002</v>
      </c>
      <c r="H129" s="5">
        <f>39 / 86400</f>
        <v>4.5138888888888887E-4</v>
      </c>
      <c r="I129" t="s">
        <v>70</v>
      </c>
      <c r="J129" t="s">
        <v>126</v>
      </c>
      <c r="K129" s="5">
        <f>315 / 86400</f>
        <v>3.6458333333333334E-3</v>
      </c>
      <c r="L129" s="5">
        <f>1184 / 86400</f>
        <v>1.3703703703703704E-2</v>
      </c>
    </row>
    <row r="130" spans="1:12" x14ac:dyDescent="0.25">
      <c r="A130" s="3">
        <v>45700.373784722222</v>
      </c>
      <c r="B130" t="s">
        <v>138</v>
      </c>
      <c r="C130" s="3">
        <v>45700.484768518523</v>
      </c>
      <c r="D130" t="s">
        <v>121</v>
      </c>
      <c r="E130" s="4">
        <v>51.139000000000003</v>
      </c>
      <c r="F130" s="4">
        <v>513059.57400000002</v>
      </c>
      <c r="G130" s="4">
        <v>513110.71299999999</v>
      </c>
      <c r="H130" s="5">
        <f>2419 / 86400</f>
        <v>2.7997685185185184E-2</v>
      </c>
      <c r="I130" t="s">
        <v>41</v>
      </c>
      <c r="J130" t="s">
        <v>23</v>
      </c>
      <c r="K130" s="5">
        <f>9589 / 86400</f>
        <v>0.1109837962962963</v>
      </c>
      <c r="L130" s="5">
        <f>1020 / 86400</f>
        <v>1.1805555555555555E-2</v>
      </c>
    </row>
    <row r="131" spans="1:12" x14ac:dyDescent="0.25">
      <c r="A131" s="3">
        <v>45700.496574074074</v>
      </c>
      <c r="B131" t="s">
        <v>121</v>
      </c>
      <c r="C131" s="3">
        <v>45700.634305555555</v>
      </c>
      <c r="D131" t="s">
        <v>120</v>
      </c>
      <c r="E131" s="4">
        <v>50.7</v>
      </c>
      <c r="F131" s="4">
        <v>513110.71299999999</v>
      </c>
      <c r="G131" s="4">
        <v>513161.413</v>
      </c>
      <c r="H131" s="5">
        <f>3698 / 86400</f>
        <v>4.2800925925925923E-2</v>
      </c>
      <c r="I131" t="s">
        <v>157</v>
      </c>
      <c r="J131" t="s">
        <v>20</v>
      </c>
      <c r="K131" s="5">
        <f>11900 / 86400</f>
        <v>0.13773148148148148</v>
      </c>
      <c r="L131" s="5">
        <f>3036 / 86400</f>
        <v>3.5138888888888886E-2</v>
      </c>
    </row>
    <row r="132" spans="1:12" x14ac:dyDescent="0.25">
      <c r="A132" s="3">
        <v>45700.669444444444</v>
      </c>
      <c r="B132" t="s">
        <v>120</v>
      </c>
      <c r="C132" s="3">
        <v>45700.673113425924</v>
      </c>
      <c r="D132" t="s">
        <v>62</v>
      </c>
      <c r="E132" s="4">
        <v>0.93700000000000006</v>
      </c>
      <c r="F132" s="4">
        <v>513161.413</v>
      </c>
      <c r="G132" s="4">
        <v>513162.35</v>
      </c>
      <c r="H132" s="5">
        <f>19 / 86400</f>
        <v>2.199074074074074E-4</v>
      </c>
      <c r="I132" t="s">
        <v>116</v>
      </c>
      <c r="J132" t="s">
        <v>126</v>
      </c>
      <c r="K132" s="5">
        <f>316 / 86400</f>
        <v>3.6574074074074074E-3</v>
      </c>
      <c r="L132" s="5">
        <f>250 / 86400</f>
        <v>2.8935185185185184E-3</v>
      </c>
    </row>
    <row r="133" spans="1:12" x14ac:dyDescent="0.25">
      <c r="A133" s="3">
        <v>45700.676006944443</v>
      </c>
      <c r="B133" t="s">
        <v>62</v>
      </c>
      <c r="C133" s="3">
        <v>45700.676666666666</v>
      </c>
      <c r="D133" t="s">
        <v>62</v>
      </c>
      <c r="E133" s="4">
        <v>0.05</v>
      </c>
      <c r="F133" s="4">
        <v>513162.35</v>
      </c>
      <c r="G133" s="4">
        <v>513162.4</v>
      </c>
      <c r="H133" s="5">
        <f>19 / 86400</f>
        <v>2.199074074074074E-4</v>
      </c>
      <c r="I133" t="s">
        <v>148</v>
      </c>
      <c r="J133" t="s">
        <v>77</v>
      </c>
      <c r="K133" s="5">
        <f>56 / 86400</f>
        <v>6.4814814814814813E-4</v>
      </c>
      <c r="L133" s="5">
        <f>1112 / 86400</f>
        <v>1.2870370370370371E-2</v>
      </c>
    </row>
    <row r="134" spans="1:12" x14ac:dyDescent="0.25">
      <c r="A134" s="3">
        <v>45700.689537037033</v>
      </c>
      <c r="B134" t="s">
        <v>62</v>
      </c>
      <c r="C134" s="3">
        <v>45700.805474537032</v>
      </c>
      <c r="D134" t="s">
        <v>158</v>
      </c>
      <c r="E134" s="4">
        <v>47.381</v>
      </c>
      <c r="F134" s="4">
        <v>513162.4</v>
      </c>
      <c r="G134" s="4">
        <v>513209.78100000002</v>
      </c>
      <c r="H134" s="5">
        <f>2940 / 86400</f>
        <v>3.4027777777777775E-2</v>
      </c>
      <c r="I134" t="s">
        <v>159</v>
      </c>
      <c r="J134" t="s">
        <v>28</v>
      </c>
      <c r="K134" s="5">
        <f>10016 / 86400</f>
        <v>0.11592592592592593</v>
      </c>
      <c r="L134" s="5">
        <f>369 / 86400</f>
        <v>4.2708333333333331E-3</v>
      </c>
    </row>
    <row r="135" spans="1:12" x14ac:dyDescent="0.25">
      <c r="A135" s="3">
        <v>45700.809745370367</v>
      </c>
      <c r="B135" t="s">
        <v>158</v>
      </c>
      <c r="C135" s="3">
        <v>45700.902881944443</v>
      </c>
      <c r="D135" t="s">
        <v>160</v>
      </c>
      <c r="E135" s="4">
        <v>27.978999999999999</v>
      </c>
      <c r="F135" s="4">
        <v>513209.78100000002</v>
      </c>
      <c r="G135" s="4">
        <v>513237.76000000001</v>
      </c>
      <c r="H135" s="5">
        <f>3099 / 86400</f>
        <v>3.5868055555555556E-2</v>
      </c>
      <c r="I135" t="s">
        <v>161</v>
      </c>
      <c r="J135" t="s">
        <v>46</v>
      </c>
      <c r="K135" s="5">
        <f>8046 / 86400</f>
        <v>9.3124999999999999E-2</v>
      </c>
      <c r="L135" s="5">
        <f>412 / 86400</f>
        <v>4.7685185185185183E-3</v>
      </c>
    </row>
    <row r="136" spans="1:12" x14ac:dyDescent="0.25">
      <c r="A136" s="3">
        <v>45700.907650462963</v>
      </c>
      <c r="B136" t="s">
        <v>160</v>
      </c>
      <c r="C136" s="3">
        <v>45700.919594907406</v>
      </c>
      <c r="D136" t="s">
        <v>72</v>
      </c>
      <c r="E136" s="4">
        <v>5.851</v>
      </c>
      <c r="F136" s="4">
        <v>513237.76000000001</v>
      </c>
      <c r="G136" s="4">
        <v>513243.61099999998</v>
      </c>
      <c r="H136" s="5">
        <f>340 / 86400</f>
        <v>3.9351851851851848E-3</v>
      </c>
      <c r="I136" t="s">
        <v>162</v>
      </c>
      <c r="J136" t="s">
        <v>70</v>
      </c>
      <c r="K136" s="5">
        <f>1032 / 86400</f>
        <v>1.1944444444444445E-2</v>
      </c>
      <c r="L136" s="5">
        <f>233 / 86400</f>
        <v>2.6967592592592594E-3</v>
      </c>
    </row>
    <row r="137" spans="1:12" x14ac:dyDescent="0.25">
      <c r="A137" s="3">
        <v>45700.922291666662</v>
      </c>
      <c r="B137" t="s">
        <v>72</v>
      </c>
      <c r="C137" s="3">
        <v>45700.925613425927</v>
      </c>
      <c r="D137" t="s">
        <v>26</v>
      </c>
      <c r="E137" s="4">
        <v>0.502</v>
      </c>
      <c r="F137" s="4">
        <v>513243.61099999998</v>
      </c>
      <c r="G137" s="4">
        <v>513244.11300000001</v>
      </c>
      <c r="H137" s="5">
        <f>40 / 86400</f>
        <v>4.6296296296296298E-4</v>
      </c>
      <c r="I137" t="s">
        <v>55</v>
      </c>
      <c r="J137" t="s">
        <v>131</v>
      </c>
      <c r="K137" s="5">
        <f>287 / 86400</f>
        <v>3.3217592592592591E-3</v>
      </c>
      <c r="L137" s="5">
        <f>267 / 86400</f>
        <v>3.0902777777777777E-3</v>
      </c>
    </row>
    <row r="138" spans="1:12" x14ac:dyDescent="0.25">
      <c r="A138" s="3">
        <v>45700.928703703699</v>
      </c>
      <c r="B138" t="s">
        <v>26</v>
      </c>
      <c r="C138" s="3">
        <v>45700.935196759259</v>
      </c>
      <c r="D138" t="s">
        <v>163</v>
      </c>
      <c r="E138" s="4">
        <v>1.609</v>
      </c>
      <c r="F138" s="4">
        <v>513244.11300000001</v>
      </c>
      <c r="G138" s="4">
        <v>513245.72200000001</v>
      </c>
      <c r="H138" s="5">
        <f>140 / 86400</f>
        <v>1.6203703703703703E-3</v>
      </c>
      <c r="I138" t="s">
        <v>140</v>
      </c>
      <c r="J138" t="s">
        <v>164</v>
      </c>
      <c r="K138" s="5">
        <f>560 / 86400</f>
        <v>6.4814814814814813E-3</v>
      </c>
      <c r="L138" s="5">
        <f>148 / 86400</f>
        <v>1.712962962962963E-3</v>
      </c>
    </row>
    <row r="139" spans="1:12" x14ac:dyDescent="0.25">
      <c r="A139" s="3">
        <v>45700.936909722222</v>
      </c>
      <c r="B139" t="s">
        <v>163</v>
      </c>
      <c r="C139" s="3">
        <v>45700.941168981481</v>
      </c>
      <c r="D139" t="s">
        <v>165</v>
      </c>
      <c r="E139" s="4">
        <v>1.2130000000000001</v>
      </c>
      <c r="F139" s="4">
        <v>513245.72200000001</v>
      </c>
      <c r="G139" s="4">
        <v>513246.935</v>
      </c>
      <c r="H139" s="5">
        <f>100 / 86400</f>
        <v>1.1574074074074073E-3</v>
      </c>
      <c r="I139" t="s">
        <v>142</v>
      </c>
      <c r="J139" t="s">
        <v>55</v>
      </c>
      <c r="K139" s="5">
        <f>367 / 86400</f>
        <v>4.2476851851851851E-3</v>
      </c>
      <c r="L139" s="5">
        <f>244 / 86400</f>
        <v>2.8240740740740739E-3</v>
      </c>
    </row>
    <row r="140" spans="1:12" x14ac:dyDescent="0.25">
      <c r="A140" s="3">
        <v>45700.943993055553</v>
      </c>
      <c r="B140" t="s">
        <v>165</v>
      </c>
      <c r="C140" s="3">
        <v>45700.948182870372</v>
      </c>
      <c r="D140" t="s">
        <v>26</v>
      </c>
      <c r="E140" s="4">
        <v>0.53200000000000003</v>
      </c>
      <c r="F140" s="4">
        <v>513246.935</v>
      </c>
      <c r="G140" s="4">
        <v>513247.467</v>
      </c>
      <c r="H140" s="5">
        <f>160 / 86400</f>
        <v>1.8518518518518519E-3</v>
      </c>
      <c r="I140" t="s">
        <v>28</v>
      </c>
      <c r="J140" t="s">
        <v>149</v>
      </c>
      <c r="K140" s="5">
        <f>361 / 86400</f>
        <v>4.178240740740741E-3</v>
      </c>
      <c r="L140" s="5">
        <f>4476 / 86400</f>
        <v>5.1805555555555556E-2</v>
      </c>
    </row>
    <row r="141" spans="1:12" x14ac:dyDescent="0.25">
      <c r="A141" s="12"/>
      <c r="B141" s="12"/>
      <c r="C141" s="12"/>
      <c r="D141" s="12"/>
      <c r="E141" s="12"/>
      <c r="F141" s="12"/>
      <c r="G141" s="12"/>
      <c r="H141" s="12"/>
      <c r="I141" s="12"/>
      <c r="J141" s="12"/>
    </row>
    <row r="142" spans="1:12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2"/>
    </row>
    <row r="143" spans="1:12" s="10" customFormat="1" ht="20.100000000000001" customHeight="1" x14ac:dyDescent="0.35">
      <c r="A143" s="15" t="s">
        <v>306</v>
      </c>
      <c r="B143" s="15"/>
      <c r="C143" s="15"/>
      <c r="D143" s="15"/>
      <c r="E143" s="15"/>
      <c r="F143" s="15"/>
      <c r="G143" s="15"/>
      <c r="H143" s="15"/>
      <c r="I143" s="15"/>
      <c r="J143" s="15"/>
    </row>
    <row r="144" spans="1:12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s="12"/>
    </row>
    <row r="145" spans="1:12" ht="30" x14ac:dyDescent="0.25">
      <c r="A145" s="2" t="s">
        <v>6</v>
      </c>
      <c r="B145" s="2" t="s">
        <v>7</v>
      </c>
      <c r="C145" s="2" t="s">
        <v>8</v>
      </c>
      <c r="D145" s="2" t="s">
        <v>9</v>
      </c>
      <c r="E145" s="2" t="s">
        <v>10</v>
      </c>
      <c r="F145" s="2" t="s">
        <v>11</v>
      </c>
      <c r="G145" s="2" t="s">
        <v>12</v>
      </c>
      <c r="H145" s="2" t="s">
        <v>13</v>
      </c>
      <c r="I145" s="2" t="s">
        <v>14</v>
      </c>
      <c r="J145" s="2" t="s">
        <v>15</v>
      </c>
      <c r="K145" s="2" t="s">
        <v>16</v>
      </c>
      <c r="L145" s="2" t="s">
        <v>17</v>
      </c>
    </row>
    <row r="146" spans="1:12" x14ac:dyDescent="0.25">
      <c r="A146" s="3">
        <v>45700.204375000001</v>
      </c>
      <c r="B146" t="s">
        <v>29</v>
      </c>
      <c r="C146" s="3">
        <v>45700.228969907403</v>
      </c>
      <c r="D146" t="s">
        <v>166</v>
      </c>
      <c r="E146" s="4">
        <v>6.37</v>
      </c>
      <c r="F146" s="4">
        <v>92173.415999999997</v>
      </c>
      <c r="G146" s="4">
        <v>92179.785999999993</v>
      </c>
      <c r="H146" s="5">
        <f>899 / 86400</f>
        <v>1.0405092592592593E-2</v>
      </c>
      <c r="I146" t="s">
        <v>167</v>
      </c>
      <c r="J146" t="s">
        <v>126</v>
      </c>
      <c r="K146" s="5">
        <f>2124 / 86400</f>
        <v>2.4583333333333332E-2</v>
      </c>
      <c r="L146" s="5">
        <f>19674 / 86400</f>
        <v>0.22770833333333335</v>
      </c>
    </row>
    <row r="147" spans="1:12" x14ac:dyDescent="0.25">
      <c r="A147" s="3">
        <v>45700.252303240741</v>
      </c>
      <c r="B147" t="s">
        <v>166</v>
      </c>
      <c r="C147" s="3">
        <v>45700.261770833335</v>
      </c>
      <c r="D147" t="s">
        <v>145</v>
      </c>
      <c r="E147" s="4">
        <v>4.1479999999999997</v>
      </c>
      <c r="F147" s="4">
        <v>92179.785999999993</v>
      </c>
      <c r="G147" s="4">
        <v>92183.933999999994</v>
      </c>
      <c r="H147" s="5">
        <f>160 / 86400</f>
        <v>1.8518518518518519E-3</v>
      </c>
      <c r="I147" t="s">
        <v>168</v>
      </c>
      <c r="J147" t="s">
        <v>31</v>
      </c>
      <c r="K147" s="5">
        <f>818 / 86400</f>
        <v>9.4675925925925934E-3</v>
      </c>
      <c r="L147" s="5">
        <f>444 / 86400</f>
        <v>5.138888888888889E-3</v>
      </c>
    </row>
    <row r="148" spans="1:12" x14ac:dyDescent="0.25">
      <c r="A148" s="3">
        <v>45700.266909722224</v>
      </c>
      <c r="B148" t="s">
        <v>145</v>
      </c>
      <c r="C148" s="3">
        <v>45700.364004629635</v>
      </c>
      <c r="D148" t="s">
        <v>169</v>
      </c>
      <c r="E148" s="4">
        <v>34.652999999999999</v>
      </c>
      <c r="F148" s="4">
        <v>92183.933999999994</v>
      </c>
      <c r="G148" s="4">
        <v>92218.587</v>
      </c>
      <c r="H148" s="5">
        <f>2740 / 86400</f>
        <v>3.1712962962962964E-2</v>
      </c>
      <c r="I148" t="s">
        <v>54</v>
      </c>
      <c r="J148" t="s">
        <v>20</v>
      </c>
      <c r="K148" s="5">
        <f>8389 / 86400</f>
        <v>9.7094907407407408E-2</v>
      </c>
      <c r="L148" s="5">
        <f>440 / 86400</f>
        <v>5.092592592592593E-3</v>
      </c>
    </row>
    <row r="149" spans="1:12" x14ac:dyDescent="0.25">
      <c r="A149" s="3">
        <v>45700.369097222225</v>
      </c>
      <c r="B149" t="s">
        <v>169</v>
      </c>
      <c r="C149" s="3">
        <v>45700.502986111111</v>
      </c>
      <c r="D149" t="s">
        <v>135</v>
      </c>
      <c r="E149" s="4">
        <v>51.116</v>
      </c>
      <c r="F149" s="4">
        <v>92218.587</v>
      </c>
      <c r="G149" s="4">
        <v>92269.702999999994</v>
      </c>
      <c r="H149" s="5">
        <f>3500 / 86400</f>
        <v>4.0509259259259259E-2</v>
      </c>
      <c r="I149" t="s">
        <v>51</v>
      </c>
      <c r="J149" t="s">
        <v>34</v>
      </c>
      <c r="K149" s="5">
        <f>11568 / 86400</f>
        <v>0.13388888888888889</v>
      </c>
      <c r="L149" s="5">
        <f>2460 / 86400</f>
        <v>2.8472222222222222E-2</v>
      </c>
    </row>
    <row r="150" spans="1:12" x14ac:dyDescent="0.25">
      <c r="A150" s="3">
        <v>45700.531458333338</v>
      </c>
      <c r="B150" t="s">
        <v>135</v>
      </c>
      <c r="C150" s="3">
        <v>45700.537106481483</v>
      </c>
      <c r="D150" t="s">
        <v>62</v>
      </c>
      <c r="E150" s="4">
        <v>1.377</v>
      </c>
      <c r="F150" s="4">
        <v>92269.702999999994</v>
      </c>
      <c r="G150" s="4">
        <v>92271.08</v>
      </c>
      <c r="H150" s="5">
        <f>119 / 86400</f>
        <v>1.3773148148148147E-3</v>
      </c>
      <c r="I150" t="s">
        <v>142</v>
      </c>
      <c r="J150" t="s">
        <v>164</v>
      </c>
      <c r="K150" s="5">
        <f>488 / 86400</f>
        <v>5.6481481481481478E-3</v>
      </c>
      <c r="L150" s="5">
        <f>763 / 86400</f>
        <v>8.8310185185185193E-3</v>
      </c>
    </row>
    <row r="151" spans="1:12" x14ac:dyDescent="0.25">
      <c r="A151" s="3">
        <v>45700.545937499999</v>
      </c>
      <c r="B151" t="s">
        <v>107</v>
      </c>
      <c r="C151" s="3">
        <v>45700.806458333333</v>
      </c>
      <c r="D151" t="s">
        <v>170</v>
      </c>
      <c r="E151" s="4">
        <v>85.558000000000007</v>
      </c>
      <c r="F151" s="4">
        <v>92271.08</v>
      </c>
      <c r="G151" s="4">
        <v>92356.638000000006</v>
      </c>
      <c r="H151" s="5">
        <f>7500 / 86400</f>
        <v>8.6805555555555552E-2</v>
      </c>
      <c r="I151" t="s">
        <v>30</v>
      </c>
      <c r="J151" t="s">
        <v>39</v>
      </c>
      <c r="K151" s="5">
        <f>22509 / 86400</f>
        <v>0.26052083333333331</v>
      </c>
      <c r="L151" s="5">
        <f>379 / 86400</f>
        <v>4.386574074074074E-3</v>
      </c>
    </row>
    <row r="152" spans="1:12" x14ac:dyDescent="0.25">
      <c r="A152" s="3">
        <v>45700.810844907406</v>
      </c>
      <c r="B152" t="s">
        <v>170</v>
      </c>
      <c r="C152" s="3">
        <v>45700.817280092597</v>
      </c>
      <c r="D152" t="s">
        <v>171</v>
      </c>
      <c r="E152" s="4">
        <v>4.9640000000000004</v>
      </c>
      <c r="F152" s="4">
        <v>92356.638000000006</v>
      </c>
      <c r="G152" s="4">
        <v>92361.601999999999</v>
      </c>
      <c r="H152" s="5">
        <f>20 / 86400</f>
        <v>2.3148148148148149E-4</v>
      </c>
      <c r="I152" t="s">
        <v>172</v>
      </c>
      <c r="J152" t="s">
        <v>173</v>
      </c>
      <c r="K152" s="5">
        <f>556 / 86400</f>
        <v>6.4351851851851853E-3</v>
      </c>
      <c r="L152" s="5">
        <f>200 / 86400</f>
        <v>2.3148148148148147E-3</v>
      </c>
    </row>
    <row r="153" spans="1:12" x14ac:dyDescent="0.25">
      <c r="A153" s="3">
        <v>45700.819594907407</v>
      </c>
      <c r="B153" t="s">
        <v>171</v>
      </c>
      <c r="C153" s="3">
        <v>45700.821782407409</v>
      </c>
      <c r="D153" t="s">
        <v>166</v>
      </c>
      <c r="E153" s="4">
        <v>0.435</v>
      </c>
      <c r="F153" s="4">
        <v>92361.601999999999</v>
      </c>
      <c r="G153" s="4">
        <v>92362.036999999997</v>
      </c>
      <c r="H153" s="5">
        <f>0 / 86400</f>
        <v>0</v>
      </c>
      <c r="I153" t="s">
        <v>46</v>
      </c>
      <c r="J153" t="s">
        <v>148</v>
      </c>
      <c r="K153" s="5">
        <f>189 / 86400</f>
        <v>2.1875000000000002E-3</v>
      </c>
      <c r="L153" s="5">
        <f>2236 / 86400</f>
        <v>2.5879629629629631E-2</v>
      </c>
    </row>
    <row r="154" spans="1:12" x14ac:dyDescent="0.25">
      <c r="A154" s="3">
        <v>45700.847662037035</v>
      </c>
      <c r="B154" t="s">
        <v>166</v>
      </c>
      <c r="C154" s="3">
        <v>45700.863680555558</v>
      </c>
      <c r="D154" t="s">
        <v>29</v>
      </c>
      <c r="E154" s="4">
        <v>5.99</v>
      </c>
      <c r="F154" s="4">
        <v>92362.036999999997</v>
      </c>
      <c r="G154" s="4">
        <v>92368.027000000002</v>
      </c>
      <c r="H154" s="5">
        <f>165 / 86400</f>
        <v>1.9097222222222222E-3</v>
      </c>
      <c r="I154" t="s">
        <v>174</v>
      </c>
      <c r="J154" t="s">
        <v>34</v>
      </c>
      <c r="K154" s="5">
        <f>1384 / 86400</f>
        <v>1.6018518518518519E-2</v>
      </c>
      <c r="L154" s="5">
        <f>11777 / 86400</f>
        <v>0.13630787037037037</v>
      </c>
    </row>
    <row r="155" spans="1:12" x14ac:dyDescent="0.25">
      <c r="A155" s="12"/>
      <c r="B155" s="12"/>
      <c r="C155" s="12"/>
      <c r="D155" s="12"/>
      <c r="E155" s="12"/>
      <c r="F155" s="12"/>
      <c r="G155" s="12"/>
      <c r="H155" s="12"/>
      <c r="I155" s="12"/>
      <c r="J155" s="12"/>
    </row>
    <row r="156" spans="1:12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s="12"/>
    </row>
    <row r="157" spans="1:12" s="10" customFormat="1" ht="20.100000000000001" customHeight="1" x14ac:dyDescent="0.35">
      <c r="A157" s="15" t="s">
        <v>307</v>
      </c>
      <c r="B157" s="15"/>
      <c r="C157" s="15"/>
      <c r="D157" s="15"/>
      <c r="E157" s="15"/>
      <c r="F157" s="15"/>
      <c r="G157" s="15"/>
      <c r="H157" s="15"/>
      <c r="I157" s="15"/>
      <c r="J157" s="15"/>
    </row>
    <row r="158" spans="1:12" x14ac:dyDescent="0.25">
      <c r="A158" s="12"/>
      <c r="B158" s="12"/>
      <c r="C158" s="12"/>
      <c r="D158" s="12"/>
      <c r="E158" s="12"/>
      <c r="F158" s="12"/>
      <c r="G158" s="12"/>
      <c r="H158" s="12"/>
      <c r="I158" s="12"/>
      <c r="J158" s="12"/>
    </row>
    <row r="159" spans="1:12" ht="30" x14ac:dyDescent="0.25">
      <c r="A159" s="2" t="s">
        <v>6</v>
      </c>
      <c r="B159" s="2" t="s">
        <v>7</v>
      </c>
      <c r="C159" s="2" t="s">
        <v>8</v>
      </c>
      <c r="D159" s="2" t="s">
        <v>9</v>
      </c>
      <c r="E159" s="2" t="s">
        <v>10</v>
      </c>
      <c r="F159" s="2" t="s">
        <v>11</v>
      </c>
      <c r="G159" s="2" t="s">
        <v>12</v>
      </c>
      <c r="H159" s="2" t="s">
        <v>13</v>
      </c>
      <c r="I159" s="2" t="s">
        <v>14</v>
      </c>
      <c r="J159" s="2" t="s">
        <v>15</v>
      </c>
      <c r="K159" s="2" t="s">
        <v>16</v>
      </c>
      <c r="L159" s="2" t="s">
        <v>17</v>
      </c>
    </row>
    <row r="160" spans="1:12" x14ac:dyDescent="0.25">
      <c r="A160" s="3">
        <v>45700.176168981481</v>
      </c>
      <c r="B160" t="s">
        <v>18</v>
      </c>
      <c r="C160" s="3">
        <v>45700.269155092596</v>
      </c>
      <c r="D160" t="s">
        <v>175</v>
      </c>
      <c r="E160" s="4">
        <v>49.462000000000003</v>
      </c>
      <c r="F160" s="4">
        <v>137585.37299999999</v>
      </c>
      <c r="G160" s="4">
        <v>137634.83499999999</v>
      </c>
      <c r="H160" s="5">
        <f>1780 / 86400</f>
        <v>2.060185185185185E-2</v>
      </c>
      <c r="I160" t="s">
        <v>162</v>
      </c>
      <c r="J160" t="s">
        <v>134</v>
      </c>
      <c r="K160" s="5">
        <f>8034 / 86400</f>
        <v>9.2986111111111117E-2</v>
      </c>
      <c r="L160" s="5">
        <f>15418 / 86400</f>
        <v>0.17844907407407407</v>
      </c>
    </row>
    <row r="161" spans="1:12" x14ac:dyDescent="0.25">
      <c r="A161" s="3">
        <v>45700.27143518519</v>
      </c>
      <c r="B161" t="s">
        <v>175</v>
      </c>
      <c r="C161" s="3">
        <v>45700.272627314815</v>
      </c>
      <c r="D161" t="s">
        <v>138</v>
      </c>
      <c r="E161" s="4">
        <v>0.377</v>
      </c>
      <c r="F161" s="4">
        <v>137634.83499999999</v>
      </c>
      <c r="G161" s="4">
        <v>137635.212</v>
      </c>
      <c r="H161" s="5">
        <f>20 / 86400</f>
        <v>2.3148148148148149E-4</v>
      </c>
      <c r="I161" t="s">
        <v>176</v>
      </c>
      <c r="J161" t="s">
        <v>46</v>
      </c>
      <c r="K161" s="5">
        <f>103 / 86400</f>
        <v>1.1921296296296296E-3</v>
      </c>
      <c r="L161" s="5">
        <f>1109 / 86400</f>
        <v>1.2835648148148148E-2</v>
      </c>
    </row>
    <row r="162" spans="1:12" x14ac:dyDescent="0.25">
      <c r="A162" s="3">
        <v>45700.285462962958</v>
      </c>
      <c r="B162" t="s">
        <v>138</v>
      </c>
      <c r="C162" s="3">
        <v>45700.449837962966</v>
      </c>
      <c r="D162" t="s">
        <v>62</v>
      </c>
      <c r="E162" s="4">
        <v>78.346000000000004</v>
      </c>
      <c r="F162" s="4">
        <v>137635.212</v>
      </c>
      <c r="G162" s="4">
        <v>137713.55799999999</v>
      </c>
      <c r="H162" s="5">
        <f>3799 / 86400</f>
        <v>4.3969907407407409E-2</v>
      </c>
      <c r="I162" t="s">
        <v>30</v>
      </c>
      <c r="J162" t="s">
        <v>70</v>
      </c>
      <c r="K162" s="5">
        <f>14202 / 86400</f>
        <v>0.16437499999999999</v>
      </c>
      <c r="L162" s="5">
        <f>429 / 86400</f>
        <v>4.9652777777777777E-3</v>
      </c>
    </row>
    <row r="163" spans="1:12" x14ac:dyDescent="0.25">
      <c r="A163" s="3">
        <v>45700.45480324074</v>
      </c>
      <c r="B163" t="s">
        <v>62</v>
      </c>
      <c r="C163" s="3">
        <v>45700.455381944441</v>
      </c>
      <c r="D163" t="s">
        <v>62</v>
      </c>
      <c r="E163" s="4">
        <v>4.2999999999999997E-2</v>
      </c>
      <c r="F163" s="4">
        <v>137713.55799999999</v>
      </c>
      <c r="G163" s="4">
        <v>137713.601</v>
      </c>
      <c r="H163" s="5">
        <f>0 / 86400</f>
        <v>0</v>
      </c>
      <c r="I163" t="s">
        <v>143</v>
      </c>
      <c r="J163" t="s">
        <v>77</v>
      </c>
      <c r="K163" s="5">
        <f>50 / 86400</f>
        <v>5.7870370370370367E-4</v>
      </c>
      <c r="L163" s="5">
        <f>1737 / 86400</f>
        <v>2.0104166666666666E-2</v>
      </c>
    </row>
    <row r="164" spans="1:12" x14ac:dyDescent="0.25">
      <c r="A164" s="3">
        <v>45700.475486111114</v>
      </c>
      <c r="B164" t="s">
        <v>62</v>
      </c>
      <c r="C164" s="3">
        <v>45700.653287037036</v>
      </c>
      <c r="D164" t="s">
        <v>81</v>
      </c>
      <c r="E164" s="4">
        <v>73.683999999999997</v>
      </c>
      <c r="F164" s="4">
        <v>137713.601</v>
      </c>
      <c r="G164" s="4">
        <v>137787.285</v>
      </c>
      <c r="H164" s="5">
        <f>4960 / 86400</f>
        <v>5.7407407407407407E-2</v>
      </c>
      <c r="I164" t="s">
        <v>65</v>
      </c>
      <c r="J164" t="s">
        <v>28</v>
      </c>
      <c r="K164" s="5">
        <f>15362 / 86400</f>
        <v>0.17780092592592592</v>
      </c>
      <c r="L164" s="5">
        <f>263 / 86400</f>
        <v>3.0439814814814813E-3</v>
      </c>
    </row>
    <row r="165" spans="1:12" x14ac:dyDescent="0.25">
      <c r="A165" s="3">
        <v>45700.656331018516</v>
      </c>
      <c r="B165" t="s">
        <v>81</v>
      </c>
      <c r="C165" s="3">
        <v>45700.80268518519</v>
      </c>
      <c r="D165" t="s">
        <v>132</v>
      </c>
      <c r="E165" s="4">
        <v>44.329000000000001</v>
      </c>
      <c r="F165" s="4">
        <v>137787.285</v>
      </c>
      <c r="G165" s="4">
        <v>137831.614</v>
      </c>
      <c r="H165" s="5">
        <f>5400 / 86400</f>
        <v>6.25E-2</v>
      </c>
      <c r="I165" t="s">
        <v>177</v>
      </c>
      <c r="J165" t="s">
        <v>46</v>
      </c>
      <c r="K165" s="5">
        <f>12645 / 86400</f>
        <v>0.14635416666666667</v>
      </c>
      <c r="L165" s="5">
        <f>457 / 86400</f>
        <v>5.2893518518518515E-3</v>
      </c>
    </row>
    <row r="166" spans="1:12" x14ac:dyDescent="0.25">
      <c r="A166" s="3">
        <v>45700.807974537034</v>
      </c>
      <c r="B166" t="s">
        <v>132</v>
      </c>
      <c r="C166" s="3">
        <v>45700.810243055559</v>
      </c>
      <c r="D166" t="s">
        <v>129</v>
      </c>
      <c r="E166" s="4">
        <v>0.76800000000000002</v>
      </c>
      <c r="F166" s="4">
        <v>137831.614</v>
      </c>
      <c r="G166" s="4">
        <v>137832.38200000001</v>
      </c>
      <c r="H166" s="5">
        <f>0 / 86400</f>
        <v>0</v>
      </c>
      <c r="I166" t="s">
        <v>140</v>
      </c>
      <c r="J166" t="s">
        <v>39</v>
      </c>
      <c r="K166" s="5">
        <f>196 / 86400</f>
        <v>2.2685185185185187E-3</v>
      </c>
      <c r="L166" s="5">
        <f>266 / 86400</f>
        <v>3.0787037037037037E-3</v>
      </c>
    </row>
    <row r="167" spans="1:12" x14ac:dyDescent="0.25">
      <c r="A167" s="3">
        <v>45700.813321759255</v>
      </c>
      <c r="B167" t="s">
        <v>178</v>
      </c>
      <c r="C167" s="3">
        <v>45700.814895833333</v>
      </c>
      <c r="D167" t="s">
        <v>18</v>
      </c>
      <c r="E167" s="4">
        <v>0.443</v>
      </c>
      <c r="F167" s="4">
        <v>137832.38200000001</v>
      </c>
      <c r="G167" s="4">
        <v>137832.82500000001</v>
      </c>
      <c r="H167" s="5">
        <f>0 / 86400</f>
        <v>0</v>
      </c>
      <c r="I167" t="s">
        <v>134</v>
      </c>
      <c r="J167" t="s">
        <v>55</v>
      </c>
      <c r="K167" s="5">
        <f>136 / 86400</f>
        <v>1.5740740740740741E-3</v>
      </c>
      <c r="L167" s="5">
        <f>39 / 86400</f>
        <v>4.5138888888888887E-4</v>
      </c>
    </row>
    <row r="168" spans="1:12" x14ac:dyDescent="0.25">
      <c r="A168" s="3">
        <v>45700.815347222218</v>
      </c>
      <c r="B168" t="s">
        <v>18</v>
      </c>
      <c r="C168" s="3">
        <v>45700.815844907411</v>
      </c>
      <c r="D168" t="s">
        <v>18</v>
      </c>
      <c r="E168" s="4">
        <v>4.8000000000000001E-2</v>
      </c>
      <c r="F168" s="4">
        <v>137832.82500000001</v>
      </c>
      <c r="G168" s="4">
        <v>137832.87299999999</v>
      </c>
      <c r="H168" s="5">
        <f>20 / 86400</f>
        <v>2.3148148148148149E-4</v>
      </c>
      <c r="I168" t="s">
        <v>143</v>
      </c>
      <c r="J168" t="s">
        <v>133</v>
      </c>
      <c r="K168" s="5">
        <f>42 / 86400</f>
        <v>4.861111111111111E-4</v>
      </c>
      <c r="L168" s="5">
        <f>60 / 86400</f>
        <v>6.9444444444444447E-4</v>
      </c>
    </row>
    <row r="169" spans="1:12" x14ac:dyDescent="0.25">
      <c r="A169" s="3">
        <v>45700.81653935185</v>
      </c>
      <c r="B169" t="s">
        <v>18</v>
      </c>
      <c r="C169" s="3">
        <v>45700.817094907412</v>
      </c>
      <c r="D169" t="s">
        <v>18</v>
      </c>
      <c r="E169" s="4">
        <v>1.6E-2</v>
      </c>
      <c r="F169" s="4">
        <v>137832.87299999999</v>
      </c>
      <c r="G169" s="4">
        <v>137832.889</v>
      </c>
      <c r="H169" s="5">
        <f>19 / 86400</f>
        <v>2.199074074074074E-4</v>
      </c>
      <c r="I169" t="s">
        <v>131</v>
      </c>
      <c r="J169" t="s">
        <v>150</v>
      </c>
      <c r="K169" s="5">
        <f>47 / 86400</f>
        <v>5.4398148148148144E-4</v>
      </c>
      <c r="L169" s="5">
        <f>15802 / 86400</f>
        <v>0.18289351851851851</v>
      </c>
    </row>
    <row r="170" spans="1:12" x14ac:dyDescent="0.25">
      <c r="A170" s="12"/>
      <c r="B170" s="12"/>
      <c r="C170" s="12"/>
      <c r="D170" s="12"/>
      <c r="E170" s="12"/>
      <c r="F170" s="12"/>
      <c r="G170" s="12"/>
      <c r="H170" s="12"/>
      <c r="I170" s="12"/>
      <c r="J170" s="12"/>
    </row>
    <row r="171" spans="1:12" x14ac:dyDescent="0.25">
      <c r="A171" s="12"/>
      <c r="B171" s="12"/>
      <c r="C171" s="12"/>
      <c r="D171" s="12"/>
      <c r="E171" s="12"/>
      <c r="F171" s="12"/>
      <c r="G171" s="12"/>
      <c r="H171" s="12"/>
      <c r="I171" s="12"/>
      <c r="J171" s="12"/>
    </row>
    <row r="172" spans="1:12" s="10" customFormat="1" ht="20.100000000000001" customHeight="1" x14ac:dyDescent="0.35">
      <c r="A172" s="15" t="s">
        <v>308</v>
      </c>
      <c r="B172" s="15"/>
      <c r="C172" s="15"/>
      <c r="D172" s="15"/>
      <c r="E172" s="15"/>
      <c r="F172" s="15"/>
      <c r="G172" s="15"/>
      <c r="H172" s="15"/>
      <c r="I172" s="15"/>
      <c r="J172" s="15"/>
    </row>
    <row r="173" spans="1:12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s="12"/>
    </row>
    <row r="174" spans="1:12" ht="30" x14ac:dyDescent="0.25">
      <c r="A174" s="2" t="s">
        <v>6</v>
      </c>
      <c r="B174" s="2" t="s">
        <v>7</v>
      </c>
      <c r="C174" s="2" t="s">
        <v>8</v>
      </c>
      <c r="D174" s="2" t="s">
        <v>9</v>
      </c>
      <c r="E174" s="2" t="s">
        <v>10</v>
      </c>
      <c r="F174" s="2" t="s">
        <v>11</v>
      </c>
      <c r="G174" s="2" t="s">
        <v>12</v>
      </c>
      <c r="H174" s="2" t="s">
        <v>13</v>
      </c>
      <c r="I174" s="2" t="s">
        <v>14</v>
      </c>
      <c r="J174" s="2" t="s">
        <v>15</v>
      </c>
      <c r="K174" s="2" t="s">
        <v>16</v>
      </c>
      <c r="L174" s="2" t="s">
        <v>17</v>
      </c>
    </row>
    <row r="175" spans="1:12" x14ac:dyDescent="0.25">
      <c r="A175" s="3">
        <v>45700.171076388884</v>
      </c>
      <c r="B175" t="s">
        <v>32</v>
      </c>
      <c r="C175" s="3">
        <v>45700.359942129631</v>
      </c>
      <c r="D175" t="s">
        <v>107</v>
      </c>
      <c r="E175" s="4">
        <v>82.796000000000006</v>
      </c>
      <c r="F175" s="4">
        <v>484024.67</v>
      </c>
      <c r="G175" s="4">
        <v>484107.46600000001</v>
      </c>
      <c r="H175" s="5">
        <f>4837 / 86400</f>
        <v>5.5983796296296295E-2</v>
      </c>
      <c r="I175" t="s">
        <v>33</v>
      </c>
      <c r="J175" t="s">
        <v>31</v>
      </c>
      <c r="K175" s="5">
        <f>16318 / 86400</f>
        <v>0.18886574074074075</v>
      </c>
      <c r="L175" s="5">
        <f>15671 / 86400</f>
        <v>0.18137731481481481</v>
      </c>
    </row>
    <row r="176" spans="1:12" x14ac:dyDescent="0.25">
      <c r="A176" s="3">
        <v>45700.370243055557</v>
      </c>
      <c r="B176" t="s">
        <v>107</v>
      </c>
      <c r="C176" s="3">
        <v>45700.621712962966</v>
      </c>
      <c r="D176" t="s">
        <v>32</v>
      </c>
      <c r="E176" s="4">
        <v>83.441999999999993</v>
      </c>
      <c r="F176" s="4">
        <v>484107.46600000001</v>
      </c>
      <c r="G176" s="4">
        <v>484190.908</v>
      </c>
      <c r="H176" s="5">
        <f>7780 / 86400</f>
        <v>9.0046296296296291E-2</v>
      </c>
      <c r="I176" t="s">
        <v>172</v>
      </c>
      <c r="J176" t="s">
        <v>39</v>
      </c>
      <c r="K176" s="5">
        <f>21726 / 86400</f>
        <v>0.25145833333333334</v>
      </c>
      <c r="L176" s="5">
        <f>32683 / 86400</f>
        <v>0.37827546296296294</v>
      </c>
    </row>
    <row r="177" spans="1:12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s="12"/>
    </row>
    <row r="178" spans="1:12" x14ac:dyDescent="0.25">
      <c r="A178" s="12"/>
      <c r="B178" s="12"/>
      <c r="C178" s="12"/>
      <c r="D178" s="12"/>
      <c r="E178" s="12"/>
      <c r="F178" s="12"/>
      <c r="G178" s="12"/>
      <c r="H178" s="12"/>
      <c r="I178" s="12"/>
      <c r="J178" s="12"/>
    </row>
    <row r="179" spans="1:12" s="10" customFormat="1" ht="20.100000000000001" customHeight="1" x14ac:dyDescent="0.35">
      <c r="A179" s="15" t="s">
        <v>309</v>
      </c>
      <c r="B179" s="15"/>
      <c r="C179" s="15"/>
      <c r="D179" s="15"/>
      <c r="E179" s="15"/>
      <c r="F179" s="15"/>
      <c r="G179" s="15"/>
      <c r="H179" s="15"/>
      <c r="I179" s="15"/>
      <c r="J179" s="15"/>
    </row>
    <row r="180" spans="1:12" x14ac:dyDescent="0.25">
      <c r="A180" s="12"/>
      <c r="B180" s="12"/>
      <c r="C180" s="12"/>
      <c r="D180" s="12"/>
      <c r="E180" s="12"/>
      <c r="F180" s="12"/>
      <c r="G180" s="12"/>
      <c r="H180" s="12"/>
      <c r="I180" s="12"/>
      <c r="J180" s="12"/>
    </row>
    <row r="181" spans="1:12" ht="30" x14ac:dyDescent="0.25">
      <c r="A181" s="2" t="s">
        <v>6</v>
      </c>
      <c r="B181" s="2" t="s">
        <v>7</v>
      </c>
      <c r="C181" s="2" t="s">
        <v>8</v>
      </c>
      <c r="D181" s="2" t="s">
        <v>9</v>
      </c>
      <c r="E181" s="2" t="s">
        <v>10</v>
      </c>
      <c r="F181" s="2" t="s">
        <v>11</v>
      </c>
      <c r="G181" s="2" t="s">
        <v>12</v>
      </c>
      <c r="H181" s="2" t="s">
        <v>13</v>
      </c>
      <c r="I181" s="2" t="s">
        <v>14</v>
      </c>
      <c r="J181" s="2" t="s">
        <v>15</v>
      </c>
      <c r="K181" s="2" t="s">
        <v>16</v>
      </c>
      <c r="L181" s="2" t="s">
        <v>17</v>
      </c>
    </row>
    <row r="182" spans="1:12" x14ac:dyDescent="0.25">
      <c r="A182" s="3">
        <v>45700.129907407405</v>
      </c>
      <c r="B182" t="s">
        <v>35</v>
      </c>
      <c r="C182" s="3">
        <v>45700.351840277777</v>
      </c>
      <c r="D182" t="s">
        <v>115</v>
      </c>
      <c r="E182" s="4">
        <v>117.384</v>
      </c>
      <c r="F182" s="4">
        <v>507901.49099999998</v>
      </c>
      <c r="G182" s="4">
        <v>508018.875</v>
      </c>
      <c r="H182" s="5">
        <f>3799 / 86400</f>
        <v>4.3969907407407409E-2</v>
      </c>
      <c r="I182" t="s">
        <v>37</v>
      </c>
      <c r="J182" t="s">
        <v>134</v>
      </c>
      <c r="K182" s="5">
        <f>19174 / 86400</f>
        <v>0.22192129629629628</v>
      </c>
      <c r="L182" s="5">
        <f>15858 / 86400</f>
        <v>0.18354166666666666</v>
      </c>
    </row>
    <row r="183" spans="1:12" x14ac:dyDescent="0.25">
      <c r="A183" s="3">
        <v>45700.405474537038</v>
      </c>
      <c r="B183" t="s">
        <v>115</v>
      </c>
      <c r="C183" s="3">
        <v>45700.4066087963</v>
      </c>
      <c r="D183" t="s">
        <v>62</v>
      </c>
      <c r="E183" s="4">
        <v>0.115</v>
      </c>
      <c r="F183" s="4">
        <v>508018.875</v>
      </c>
      <c r="G183" s="4">
        <v>508018.99</v>
      </c>
      <c r="H183" s="5">
        <f>19 / 86400</f>
        <v>2.199074074074074E-4</v>
      </c>
      <c r="I183" t="s">
        <v>143</v>
      </c>
      <c r="J183" t="s">
        <v>133</v>
      </c>
      <c r="K183" s="5">
        <f>97 / 86400</f>
        <v>1.1226851851851851E-3</v>
      </c>
      <c r="L183" s="5">
        <f>338 / 86400</f>
        <v>3.9120370370370368E-3</v>
      </c>
    </row>
    <row r="184" spans="1:12" x14ac:dyDescent="0.25">
      <c r="A184" s="3">
        <v>45700.410520833335</v>
      </c>
      <c r="B184" t="s">
        <v>62</v>
      </c>
      <c r="C184" s="3">
        <v>45700.41333333333</v>
      </c>
      <c r="D184" t="s">
        <v>43</v>
      </c>
      <c r="E184" s="4">
        <v>0.82799999999999996</v>
      </c>
      <c r="F184" s="4">
        <v>508018.99</v>
      </c>
      <c r="G184" s="4">
        <v>508019.81800000003</v>
      </c>
      <c r="H184" s="5">
        <f>0 / 86400</f>
        <v>0</v>
      </c>
      <c r="I184" t="s">
        <v>116</v>
      </c>
      <c r="J184" t="s">
        <v>55</v>
      </c>
      <c r="K184" s="5">
        <f>243 / 86400</f>
        <v>2.8124999999999999E-3</v>
      </c>
      <c r="L184" s="5">
        <f>9733 / 86400</f>
        <v>0.11265046296296297</v>
      </c>
    </row>
    <row r="185" spans="1:12" x14ac:dyDescent="0.25">
      <c r="A185" s="3">
        <v>45700.525983796295</v>
      </c>
      <c r="B185" t="s">
        <v>43</v>
      </c>
      <c r="C185" s="3">
        <v>45700.680196759262</v>
      </c>
      <c r="D185" t="s">
        <v>179</v>
      </c>
      <c r="E185" s="4">
        <v>51.143999999999998</v>
      </c>
      <c r="F185" s="4">
        <v>508019.81800000003</v>
      </c>
      <c r="G185" s="4">
        <v>508070.962</v>
      </c>
      <c r="H185" s="5">
        <f>5019 / 86400</f>
        <v>5.8090277777777775E-2</v>
      </c>
      <c r="I185" t="s">
        <v>180</v>
      </c>
      <c r="J185" t="s">
        <v>39</v>
      </c>
      <c r="K185" s="5">
        <f>13324 / 86400</f>
        <v>0.15421296296296297</v>
      </c>
      <c r="L185" s="5">
        <f>1251 / 86400</f>
        <v>1.4479166666666666E-2</v>
      </c>
    </row>
    <row r="186" spans="1:12" x14ac:dyDescent="0.25">
      <c r="A186" s="3">
        <v>45700.69467592593</v>
      </c>
      <c r="B186" t="s">
        <v>179</v>
      </c>
      <c r="C186" s="3">
        <v>45700.866111111114</v>
      </c>
      <c r="D186" t="s">
        <v>62</v>
      </c>
      <c r="E186" s="4">
        <v>50.899000000000001</v>
      </c>
      <c r="F186" s="4">
        <v>508070.962</v>
      </c>
      <c r="G186" s="4">
        <v>508121.86099999998</v>
      </c>
      <c r="H186" s="5">
        <f>5980 / 86400</f>
        <v>6.9212962962962962E-2</v>
      </c>
      <c r="I186" t="s">
        <v>97</v>
      </c>
      <c r="J186" t="s">
        <v>55</v>
      </c>
      <c r="K186" s="5">
        <f>14812 / 86400</f>
        <v>0.17143518518518519</v>
      </c>
      <c r="L186" s="5">
        <f>468 / 86400</f>
        <v>5.4166666666666669E-3</v>
      </c>
    </row>
    <row r="187" spans="1:12" x14ac:dyDescent="0.25">
      <c r="A187" s="3">
        <v>45700.871527777781</v>
      </c>
      <c r="B187" t="s">
        <v>62</v>
      </c>
      <c r="C187" s="3">
        <v>45700.875578703708</v>
      </c>
      <c r="D187" t="s">
        <v>43</v>
      </c>
      <c r="E187" s="4">
        <v>0.874</v>
      </c>
      <c r="F187" s="4">
        <v>508121.86099999998</v>
      </c>
      <c r="G187" s="4">
        <v>508122.73499999999</v>
      </c>
      <c r="H187" s="5">
        <f>140 / 86400</f>
        <v>1.6203703703703703E-3</v>
      </c>
      <c r="I187" t="s">
        <v>181</v>
      </c>
      <c r="J187" t="s">
        <v>137</v>
      </c>
      <c r="K187" s="5">
        <f>350 / 86400</f>
        <v>4.0509259259259257E-3</v>
      </c>
      <c r="L187" s="5">
        <f>896 / 86400</f>
        <v>1.037037037037037E-2</v>
      </c>
    </row>
    <row r="188" spans="1:12" x14ac:dyDescent="0.25">
      <c r="A188" s="3">
        <v>45700.885949074072</v>
      </c>
      <c r="B188" t="s">
        <v>43</v>
      </c>
      <c r="C188" s="3">
        <v>45700.893993055557</v>
      </c>
      <c r="D188" t="s">
        <v>36</v>
      </c>
      <c r="E188" s="4">
        <v>0.9</v>
      </c>
      <c r="F188" s="4">
        <v>508122.73499999999</v>
      </c>
      <c r="G188" s="4">
        <v>508123.63500000001</v>
      </c>
      <c r="H188" s="5">
        <f>359 / 86400</f>
        <v>4.1550925925925922E-3</v>
      </c>
      <c r="I188" t="s">
        <v>134</v>
      </c>
      <c r="J188" t="s">
        <v>149</v>
      </c>
      <c r="K188" s="5">
        <f>695 / 86400</f>
        <v>8.0439814814814818E-3</v>
      </c>
      <c r="L188" s="5">
        <f>9158 / 86400</f>
        <v>0.10599537037037036</v>
      </c>
    </row>
    <row r="189" spans="1:12" x14ac:dyDescent="0.25">
      <c r="A189" s="12"/>
      <c r="B189" s="12"/>
      <c r="C189" s="12"/>
      <c r="D189" s="12"/>
      <c r="E189" s="12"/>
      <c r="F189" s="12"/>
      <c r="G189" s="12"/>
      <c r="H189" s="12"/>
      <c r="I189" s="12"/>
      <c r="J189" s="12"/>
    </row>
    <row r="190" spans="1:12" x14ac:dyDescent="0.25">
      <c r="A190" s="12"/>
      <c r="B190" s="12"/>
      <c r="C190" s="12"/>
      <c r="D190" s="12"/>
      <c r="E190" s="12"/>
      <c r="F190" s="12"/>
      <c r="G190" s="12"/>
      <c r="H190" s="12"/>
      <c r="I190" s="12"/>
      <c r="J190" s="12"/>
    </row>
    <row r="191" spans="1:12" s="10" customFormat="1" ht="20.100000000000001" customHeight="1" x14ac:dyDescent="0.35">
      <c r="A191" s="15" t="s">
        <v>310</v>
      </c>
      <c r="B191" s="15"/>
      <c r="C191" s="15"/>
      <c r="D191" s="15"/>
      <c r="E191" s="15"/>
      <c r="F191" s="15"/>
      <c r="G191" s="15"/>
      <c r="H191" s="15"/>
      <c r="I191" s="15"/>
      <c r="J191" s="15"/>
    </row>
    <row r="192" spans="1:12" x14ac:dyDescent="0.25">
      <c r="A192" s="12"/>
      <c r="B192" s="12"/>
      <c r="C192" s="12"/>
      <c r="D192" s="12"/>
      <c r="E192" s="12"/>
      <c r="F192" s="12"/>
      <c r="G192" s="12"/>
      <c r="H192" s="12"/>
      <c r="I192" s="12"/>
      <c r="J192" s="12"/>
    </row>
    <row r="193" spans="1:12" ht="30" x14ac:dyDescent="0.25">
      <c r="A193" s="2" t="s">
        <v>6</v>
      </c>
      <c r="B193" s="2" t="s">
        <v>7</v>
      </c>
      <c r="C193" s="2" t="s">
        <v>8</v>
      </c>
      <c r="D193" s="2" t="s">
        <v>9</v>
      </c>
      <c r="E193" s="2" t="s">
        <v>10</v>
      </c>
      <c r="F193" s="2" t="s">
        <v>11</v>
      </c>
      <c r="G193" s="2" t="s">
        <v>12</v>
      </c>
      <c r="H193" s="2" t="s">
        <v>13</v>
      </c>
      <c r="I193" s="2" t="s">
        <v>14</v>
      </c>
      <c r="J193" s="2" t="s">
        <v>15</v>
      </c>
      <c r="K193" s="2" t="s">
        <v>16</v>
      </c>
      <c r="L193" s="2" t="s">
        <v>17</v>
      </c>
    </row>
    <row r="194" spans="1:12" x14ac:dyDescent="0.25">
      <c r="A194" s="3">
        <v>45700.230821759258</v>
      </c>
      <c r="B194" t="s">
        <v>38</v>
      </c>
      <c r="C194" s="3">
        <v>45700.242638888885</v>
      </c>
      <c r="D194" t="s">
        <v>138</v>
      </c>
      <c r="E194" s="4">
        <v>1.633</v>
      </c>
      <c r="F194" s="4">
        <v>407588.90399999998</v>
      </c>
      <c r="G194" s="4">
        <v>407590.53700000001</v>
      </c>
      <c r="H194" s="5">
        <f>579 / 86400</f>
        <v>6.7013888888888887E-3</v>
      </c>
      <c r="I194" t="s">
        <v>181</v>
      </c>
      <c r="J194" t="s">
        <v>131</v>
      </c>
      <c r="K194" s="5">
        <f>1020 / 86400</f>
        <v>1.1805555555555555E-2</v>
      </c>
      <c r="L194" s="5">
        <f>21564 / 86400</f>
        <v>0.24958333333333332</v>
      </c>
    </row>
    <row r="195" spans="1:12" x14ac:dyDescent="0.25">
      <c r="A195" s="3">
        <v>45700.261400462958</v>
      </c>
      <c r="B195" t="s">
        <v>138</v>
      </c>
      <c r="C195" s="3">
        <v>45700.398391203707</v>
      </c>
      <c r="D195" t="s">
        <v>182</v>
      </c>
      <c r="E195" s="4">
        <v>51.024999999999999</v>
      </c>
      <c r="F195" s="4">
        <v>407590.53700000001</v>
      </c>
      <c r="G195" s="4">
        <v>407641.56199999998</v>
      </c>
      <c r="H195" s="5">
        <f>4020 / 86400</f>
        <v>4.6527777777777779E-2</v>
      </c>
      <c r="I195" t="s">
        <v>33</v>
      </c>
      <c r="J195" t="s">
        <v>34</v>
      </c>
      <c r="K195" s="5">
        <f>11836 / 86400</f>
        <v>0.13699074074074075</v>
      </c>
      <c r="L195" s="5">
        <f>918 / 86400</f>
        <v>1.0625000000000001E-2</v>
      </c>
    </row>
    <row r="196" spans="1:12" x14ac:dyDescent="0.25">
      <c r="A196" s="3">
        <v>45700.409016203703</v>
      </c>
      <c r="B196" t="s">
        <v>182</v>
      </c>
      <c r="C196" s="3">
        <v>45700.409513888888</v>
      </c>
      <c r="D196" t="s">
        <v>182</v>
      </c>
      <c r="E196" s="4">
        <v>0</v>
      </c>
      <c r="F196" s="4">
        <v>407641.56199999998</v>
      </c>
      <c r="G196" s="4">
        <v>407641.56199999998</v>
      </c>
      <c r="H196" s="5">
        <f>39 / 86400</f>
        <v>4.5138888888888887E-4</v>
      </c>
      <c r="I196" t="s">
        <v>42</v>
      </c>
      <c r="J196" t="s">
        <v>42</v>
      </c>
      <c r="K196" s="5">
        <f>42 / 86400</f>
        <v>4.861111111111111E-4</v>
      </c>
      <c r="L196" s="5">
        <f>47 / 86400</f>
        <v>5.4398148148148144E-4</v>
      </c>
    </row>
    <row r="197" spans="1:12" x14ac:dyDescent="0.25">
      <c r="A197" s="3">
        <v>45700.410057870366</v>
      </c>
      <c r="B197" t="s">
        <v>182</v>
      </c>
      <c r="C197" s="3">
        <v>45700.410393518519</v>
      </c>
      <c r="D197" t="s">
        <v>182</v>
      </c>
      <c r="E197" s="4">
        <v>0</v>
      </c>
      <c r="F197" s="4">
        <v>407641.56199999998</v>
      </c>
      <c r="G197" s="4">
        <v>407641.56199999998</v>
      </c>
      <c r="H197" s="5">
        <f>19 / 86400</f>
        <v>2.199074074074074E-4</v>
      </c>
      <c r="I197" t="s">
        <v>42</v>
      </c>
      <c r="J197" t="s">
        <v>42</v>
      </c>
      <c r="K197" s="5">
        <f>28 / 86400</f>
        <v>3.2407407407407406E-4</v>
      </c>
      <c r="L197" s="5">
        <f>3846 / 86400</f>
        <v>4.4513888888888888E-2</v>
      </c>
    </row>
    <row r="198" spans="1:12" x14ac:dyDescent="0.25">
      <c r="A198" s="3">
        <v>45700.454907407402</v>
      </c>
      <c r="B198" t="s">
        <v>182</v>
      </c>
      <c r="C198" s="3">
        <v>45700.610393518524</v>
      </c>
      <c r="D198" t="s">
        <v>183</v>
      </c>
      <c r="E198" s="4">
        <v>50.134999999999998</v>
      </c>
      <c r="F198" s="4">
        <v>407641.56199999998</v>
      </c>
      <c r="G198" s="4">
        <v>407691.69699999999</v>
      </c>
      <c r="H198" s="5">
        <f>5140 / 86400</f>
        <v>5.949074074074074E-2</v>
      </c>
      <c r="I198" t="s">
        <v>184</v>
      </c>
      <c r="J198" t="s">
        <v>46</v>
      </c>
      <c r="K198" s="5">
        <f>13434 / 86400</f>
        <v>0.1554861111111111</v>
      </c>
      <c r="L198" s="5">
        <f>2119 / 86400</f>
        <v>2.4525462962962964E-2</v>
      </c>
    </row>
    <row r="199" spans="1:12" x14ac:dyDescent="0.25">
      <c r="A199" s="3">
        <v>45700.634918981479</v>
      </c>
      <c r="B199" t="s">
        <v>183</v>
      </c>
      <c r="C199" s="3">
        <v>45700.638564814813</v>
      </c>
      <c r="D199" t="s">
        <v>62</v>
      </c>
      <c r="E199" s="4">
        <v>0.72699999999999998</v>
      </c>
      <c r="F199" s="4">
        <v>407691.69699999999</v>
      </c>
      <c r="G199" s="4">
        <v>407692.424</v>
      </c>
      <c r="H199" s="5">
        <f>39 / 86400</f>
        <v>4.5138888888888887E-4</v>
      </c>
      <c r="I199" t="s">
        <v>124</v>
      </c>
      <c r="J199" t="s">
        <v>148</v>
      </c>
      <c r="K199" s="5">
        <f>315 / 86400</f>
        <v>3.6458333333333334E-3</v>
      </c>
      <c r="L199" s="5">
        <f>6 / 86400</f>
        <v>6.9444444444444444E-5</v>
      </c>
    </row>
    <row r="200" spans="1:12" x14ac:dyDescent="0.25">
      <c r="A200" s="3">
        <v>45700.63863425926</v>
      </c>
      <c r="B200" t="s">
        <v>62</v>
      </c>
      <c r="C200" s="3">
        <v>45700.654710648145</v>
      </c>
      <c r="D200" t="s">
        <v>62</v>
      </c>
      <c r="E200" s="4">
        <v>0</v>
      </c>
      <c r="F200" s="4">
        <v>407692.424</v>
      </c>
      <c r="G200" s="4">
        <v>407692.424</v>
      </c>
      <c r="H200" s="5">
        <f>1388 / 86400</f>
        <v>1.6064814814814816E-2</v>
      </c>
      <c r="I200" t="s">
        <v>42</v>
      </c>
      <c r="J200" t="s">
        <v>42</v>
      </c>
      <c r="K200" s="5">
        <f>1389 / 86400</f>
        <v>1.607638888888889E-2</v>
      </c>
      <c r="L200" s="5">
        <f>206 / 86400</f>
        <v>2.3842592592592591E-3</v>
      </c>
    </row>
    <row r="201" spans="1:12" x14ac:dyDescent="0.25">
      <c r="A201" s="3">
        <v>45700.657094907408</v>
      </c>
      <c r="B201" t="s">
        <v>62</v>
      </c>
      <c r="C201" s="3">
        <v>45700.660717592589</v>
      </c>
      <c r="D201" t="s">
        <v>185</v>
      </c>
      <c r="E201" s="4">
        <v>0.26200000000000001</v>
      </c>
      <c r="F201" s="4">
        <v>407692.424</v>
      </c>
      <c r="G201" s="4">
        <v>407692.68599999999</v>
      </c>
      <c r="H201" s="5">
        <f>139 / 86400</f>
        <v>1.6087962962962963E-3</v>
      </c>
      <c r="I201" t="s">
        <v>39</v>
      </c>
      <c r="J201" t="s">
        <v>77</v>
      </c>
      <c r="K201" s="5">
        <f>312 / 86400</f>
        <v>3.6111111111111109E-3</v>
      </c>
      <c r="L201" s="5">
        <f>774 / 86400</f>
        <v>8.9583333333333338E-3</v>
      </c>
    </row>
    <row r="202" spans="1:12" x14ac:dyDescent="0.25">
      <c r="A202" s="3">
        <v>45700.669675925921</v>
      </c>
      <c r="B202" t="s">
        <v>185</v>
      </c>
      <c r="C202" s="3">
        <v>45700.794594907406</v>
      </c>
      <c r="D202" t="s">
        <v>186</v>
      </c>
      <c r="E202" s="4">
        <v>48.143999999999998</v>
      </c>
      <c r="F202" s="4">
        <v>407692.68599999999</v>
      </c>
      <c r="G202" s="4">
        <v>407740.83</v>
      </c>
      <c r="H202" s="5">
        <f>2920 / 86400</f>
        <v>3.3796296296296297E-2</v>
      </c>
      <c r="I202" t="s">
        <v>97</v>
      </c>
      <c r="J202" t="s">
        <v>34</v>
      </c>
      <c r="K202" s="5">
        <f>10792 / 86400</f>
        <v>0.12490740740740741</v>
      </c>
      <c r="L202" s="5">
        <f>60 / 86400</f>
        <v>6.9444444444444447E-4</v>
      </c>
    </row>
    <row r="203" spans="1:12" x14ac:dyDescent="0.25">
      <c r="A203" s="3">
        <v>45700.795289351852</v>
      </c>
      <c r="B203" t="s">
        <v>186</v>
      </c>
      <c r="C203" s="3">
        <v>45700.923252314809</v>
      </c>
      <c r="D203" t="s">
        <v>62</v>
      </c>
      <c r="E203" s="4">
        <v>46.567</v>
      </c>
      <c r="F203" s="4">
        <v>407740.83</v>
      </c>
      <c r="G203" s="4">
        <v>407787.397</v>
      </c>
      <c r="H203" s="5">
        <f>3661 / 86400</f>
        <v>4.2372685185185187E-2</v>
      </c>
      <c r="I203" t="s">
        <v>162</v>
      </c>
      <c r="J203" t="s">
        <v>20</v>
      </c>
      <c r="K203" s="5">
        <f>11056 / 86400</f>
        <v>0.12796296296296297</v>
      </c>
      <c r="L203" s="5">
        <f>551 / 86400</f>
        <v>6.3773148148148148E-3</v>
      </c>
    </row>
    <row r="204" spans="1:12" x14ac:dyDescent="0.25">
      <c r="A204" s="3">
        <v>45700.929629629631</v>
      </c>
      <c r="B204" t="s">
        <v>62</v>
      </c>
      <c r="C204" s="3">
        <v>45700.934386574074</v>
      </c>
      <c r="D204" t="s">
        <v>185</v>
      </c>
      <c r="E204" s="4">
        <v>0.20100000000000001</v>
      </c>
      <c r="F204" s="4">
        <v>407787.397</v>
      </c>
      <c r="G204" s="4">
        <v>407787.598</v>
      </c>
      <c r="H204" s="5">
        <f>354 / 86400</f>
        <v>4.0972222222222226E-3</v>
      </c>
      <c r="I204" t="s">
        <v>116</v>
      </c>
      <c r="J204" t="s">
        <v>128</v>
      </c>
      <c r="K204" s="5">
        <f>410 / 86400</f>
        <v>4.7453703703703703E-3</v>
      </c>
      <c r="L204" s="5">
        <f>208 / 86400</f>
        <v>2.4074074074074076E-3</v>
      </c>
    </row>
    <row r="205" spans="1:12" x14ac:dyDescent="0.25">
      <c r="A205" s="3">
        <v>45700.936793981484</v>
      </c>
      <c r="B205" t="s">
        <v>185</v>
      </c>
      <c r="C205" s="3">
        <v>45700.938888888893</v>
      </c>
      <c r="D205" t="s">
        <v>187</v>
      </c>
      <c r="E205" s="4">
        <v>0.52800000000000002</v>
      </c>
      <c r="F205" s="4">
        <v>407787.598</v>
      </c>
      <c r="G205" s="4">
        <v>407788.12599999999</v>
      </c>
      <c r="H205" s="5">
        <f>59 / 86400</f>
        <v>6.8287037037037036E-4</v>
      </c>
      <c r="I205" t="s">
        <v>146</v>
      </c>
      <c r="J205" t="s">
        <v>126</v>
      </c>
      <c r="K205" s="5">
        <f>181 / 86400</f>
        <v>2.0949074074074073E-3</v>
      </c>
      <c r="L205" s="5">
        <f>799 / 86400</f>
        <v>9.2476851851851852E-3</v>
      </c>
    </row>
    <row r="206" spans="1:12" x14ac:dyDescent="0.25">
      <c r="A206" s="3">
        <v>45700.948136574079</v>
      </c>
      <c r="B206" t="s">
        <v>187</v>
      </c>
      <c r="C206" s="3">
        <v>45700.954432870371</v>
      </c>
      <c r="D206" t="s">
        <v>38</v>
      </c>
      <c r="E206" s="4">
        <v>0.751</v>
      </c>
      <c r="F206" s="4">
        <v>407788.12599999999</v>
      </c>
      <c r="G206" s="4">
        <v>407788.87699999998</v>
      </c>
      <c r="H206" s="5">
        <f>299 / 86400</f>
        <v>3.460648148148148E-3</v>
      </c>
      <c r="I206" t="s">
        <v>70</v>
      </c>
      <c r="J206" t="s">
        <v>149</v>
      </c>
      <c r="K206" s="5">
        <f>544 / 86400</f>
        <v>6.2962962962962964E-3</v>
      </c>
      <c r="L206" s="5">
        <f>37 / 86400</f>
        <v>4.2824074074074075E-4</v>
      </c>
    </row>
    <row r="207" spans="1:12" x14ac:dyDescent="0.25">
      <c r="A207" s="3">
        <v>45700.954861111109</v>
      </c>
      <c r="B207" t="s">
        <v>38</v>
      </c>
      <c r="C207" s="3">
        <v>45700.955416666664</v>
      </c>
      <c r="D207" t="s">
        <v>38</v>
      </c>
      <c r="E207" s="4">
        <v>0</v>
      </c>
      <c r="F207" s="4">
        <v>407788.87699999998</v>
      </c>
      <c r="G207" s="4">
        <v>407788.87699999998</v>
      </c>
      <c r="H207" s="5">
        <f>39 / 86400</f>
        <v>4.5138888888888887E-4</v>
      </c>
      <c r="I207" t="s">
        <v>42</v>
      </c>
      <c r="J207" t="s">
        <v>42</v>
      </c>
      <c r="K207" s="5">
        <f>48 / 86400</f>
        <v>5.5555555555555556E-4</v>
      </c>
      <c r="L207" s="5">
        <f>3851 / 86400</f>
        <v>4.4571759259259262E-2</v>
      </c>
    </row>
    <row r="208" spans="1:12" x14ac:dyDescent="0.25">
      <c r="A208" s="12"/>
      <c r="B208" s="12"/>
      <c r="C208" s="12"/>
      <c r="D208" s="12"/>
      <c r="E208" s="12"/>
      <c r="F208" s="12"/>
      <c r="G208" s="12"/>
      <c r="H208" s="12"/>
      <c r="I208" s="12"/>
      <c r="J208" s="12"/>
    </row>
    <row r="209" spans="1:12" x14ac:dyDescent="0.25">
      <c r="A209" s="12"/>
      <c r="B209" s="12"/>
      <c r="C209" s="12"/>
      <c r="D209" s="12"/>
      <c r="E209" s="12"/>
      <c r="F209" s="12"/>
      <c r="G209" s="12"/>
      <c r="H209" s="12"/>
      <c r="I209" s="12"/>
      <c r="J209" s="12"/>
    </row>
    <row r="210" spans="1:12" s="10" customFormat="1" ht="20.100000000000001" customHeight="1" x14ac:dyDescent="0.35">
      <c r="A210" s="15" t="s">
        <v>311</v>
      </c>
      <c r="B210" s="15"/>
      <c r="C210" s="15"/>
      <c r="D210" s="15"/>
      <c r="E210" s="15"/>
      <c r="F210" s="15"/>
      <c r="G210" s="15"/>
      <c r="H210" s="15"/>
      <c r="I210" s="15"/>
      <c r="J210" s="15"/>
    </row>
    <row r="211" spans="1:12" x14ac:dyDescent="0.25">
      <c r="A211" s="12"/>
      <c r="B211" s="12"/>
      <c r="C211" s="12"/>
      <c r="D211" s="12"/>
      <c r="E211" s="12"/>
      <c r="F211" s="12"/>
      <c r="G211" s="12"/>
      <c r="H211" s="12"/>
      <c r="I211" s="12"/>
      <c r="J211" s="12"/>
    </row>
    <row r="212" spans="1:12" ht="30" x14ac:dyDescent="0.25">
      <c r="A212" s="2" t="s">
        <v>6</v>
      </c>
      <c r="B212" s="2" t="s">
        <v>7</v>
      </c>
      <c r="C212" s="2" t="s">
        <v>8</v>
      </c>
      <c r="D212" s="2" t="s">
        <v>9</v>
      </c>
      <c r="E212" s="2" t="s">
        <v>10</v>
      </c>
      <c r="F212" s="2" t="s">
        <v>11</v>
      </c>
      <c r="G212" s="2" t="s">
        <v>12</v>
      </c>
      <c r="H212" s="2" t="s">
        <v>13</v>
      </c>
      <c r="I212" s="2" t="s">
        <v>14</v>
      </c>
      <c r="J212" s="2" t="s">
        <v>15</v>
      </c>
      <c r="K212" s="2" t="s">
        <v>16</v>
      </c>
      <c r="L212" s="2" t="s">
        <v>17</v>
      </c>
    </row>
    <row r="213" spans="1:12" x14ac:dyDescent="0.25">
      <c r="A213" s="3">
        <v>45700.211527777778</v>
      </c>
      <c r="B213" t="s">
        <v>40</v>
      </c>
      <c r="C213" s="3">
        <v>45700.35229166667</v>
      </c>
      <c r="D213" t="s">
        <v>188</v>
      </c>
      <c r="E213" s="4">
        <v>52.637999999999998</v>
      </c>
      <c r="F213" s="4">
        <v>437305.924</v>
      </c>
      <c r="G213" s="4">
        <v>437358.56199999998</v>
      </c>
      <c r="H213" s="5">
        <f>4280 / 86400</f>
        <v>4.9537037037037039E-2</v>
      </c>
      <c r="I213" t="s">
        <v>41</v>
      </c>
      <c r="J213" t="s">
        <v>34</v>
      </c>
      <c r="K213" s="5">
        <f>12161 / 86400</f>
        <v>0.14075231481481482</v>
      </c>
      <c r="L213" s="5">
        <f>18586 / 86400</f>
        <v>0.21511574074074075</v>
      </c>
    </row>
    <row r="214" spans="1:12" x14ac:dyDescent="0.25">
      <c r="A214" s="3">
        <v>45700.355879629627</v>
      </c>
      <c r="B214" t="s">
        <v>188</v>
      </c>
      <c r="C214" s="3">
        <v>45700.490972222222</v>
      </c>
      <c r="D214" t="s">
        <v>107</v>
      </c>
      <c r="E214" s="4">
        <v>49.470999999999997</v>
      </c>
      <c r="F214" s="4">
        <v>437358.56199999998</v>
      </c>
      <c r="G214" s="4">
        <v>437408.033</v>
      </c>
      <c r="H214" s="5">
        <f>4382 / 86400</f>
        <v>5.0717592592592592E-2</v>
      </c>
      <c r="I214" t="s">
        <v>180</v>
      </c>
      <c r="J214" t="s">
        <v>20</v>
      </c>
      <c r="K214" s="5">
        <f>11671 / 86400</f>
        <v>0.13508101851851853</v>
      </c>
      <c r="L214" s="5">
        <f>1259 / 86400</f>
        <v>1.457175925925926E-2</v>
      </c>
    </row>
    <row r="215" spans="1:12" x14ac:dyDescent="0.25">
      <c r="A215" s="3">
        <v>45700.505543981482</v>
      </c>
      <c r="B215" t="s">
        <v>107</v>
      </c>
      <c r="C215" s="3">
        <v>45700.51116898148</v>
      </c>
      <c r="D215" t="s">
        <v>135</v>
      </c>
      <c r="E215" s="4">
        <v>1.347</v>
      </c>
      <c r="F215" s="4">
        <v>437408.033</v>
      </c>
      <c r="G215" s="4">
        <v>437409.38</v>
      </c>
      <c r="H215" s="5">
        <f>159 / 86400</f>
        <v>1.8402777777777777E-3</v>
      </c>
      <c r="I215" t="s">
        <v>189</v>
      </c>
      <c r="J215" t="s">
        <v>164</v>
      </c>
      <c r="K215" s="5">
        <f>485 / 86400</f>
        <v>5.6134259259259262E-3</v>
      </c>
      <c r="L215" s="5">
        <f>1610 / 86400</f>
        <v>1.863425925925926E-2</v>
      </c>
    </row>
    <row r="216" spans="1:12" x14ac:dyDescent="0.25">
      <c r="A216" s="3">
        <v>45700.529803240745</v>
      </c>
      <c r="B216" t="s">
        <v>138</v>
      </c>
      <c r="C216" s="3">
        <v>45700.753182870365</v>
      </c>
      <c r="D216" t="s">
        <v>62</v>
      </c>
      <c r="E216" s="4">
        <v>94.623999999999995</v>
      </c>
      <c r="F216" s="4">
        <v>437409.38</v>
      </c>
      <c r="G216" s="4">
        <v>437504.00400000002</v>
      </c>
      <c r="H216" s="5">
        <f>5138 / 86400</f>
        <v>5.9467592592592593E-2</v>
      </c>
      <c r="I216" t="s">
        <v>56</v>
      </c>
      <c r="J216" t="s">
        <v>31</v>
      </c>
      <c r="K216" s="5">
        <f>19299 / 86400</f>
        <v>0.22336805555555556</v>
      </c>
      <c r="L216" s="5">
        <f>547 / 86400</f>
        <v>6.3310185185185188E-3</v>
      </c>
    </row>
    <row r="217" spans="1:12" x14ac:dyDescent="0.25">
      <c r="A217" s="3">
        <v>45700.759513888886</v>
      </c>
      <c r="B217" t="s">
        <v>62</v>
      </c>
      <c r="C217" s="3">
        <v>45700.762766203705</v>
      </c>
      <c r="D217" t="s">
        <v>40</v>
      </c>
      <c r="E217" s="4">
        <v>0.95199999999999996</v>
      </c>
      <c r="F217" s="4">
        <v>437504.00400000002</v>
      </c>
      <c r="G217" s="4">
        <v>437504.95600000001</v>
      </c>
      <c r="H217" s="5">
        <f>40 / 86400</f>
        <v>4.6296296296296298E-4</v>
      </c>
      <c r="I217" t="s">
        <v>181</v>
      </c>
      <c r="J217" t="s">
        <v>55</v>
      </c>
      <c r="K217" s="5">
        <f>280 / 86400</f>
        <v>3.2407407407407406E-3</v>
      </c>
      <c r="L217" s="5">
        <f>20496 / 86400</f>
        <v>0.23722222222222222</v>
      </c>
    </row>
    <row r="218" spans="1:12" x14ac:dyDescent="0.25">
      <c r="A218" s="12"/>
      <c r="B218" s="12"/>
      <c r="C218" s="12"/>
      <c r="D218" s="12"/>
      <c r="E218" s="12"/>
      <c r="F218" s="12"/>
      <c r="G218" s="12"/>
      <c r="H218" s="12"/>
      <c r="I218" s="12"/>
      <c r="J218" s="12"/>
    </row>
    <row r="219" spans="1:12" x14ac:dyDescent="0.25">
      <c r="A219" s="12"/>
      <c r="B219" s="12"/>
      <c r="C219" s="12"/>
      <c r="D219" s="12"/>
      <c r="E219" s="12"/>
      <c r="F219" s="12"/>
      <c r="G219" s="12"/>
      <c r="H219" s="12"/>
      <c r="I219" s="12"/>
      <c r="J219" s="12"/>
    </row>
    <row r="220" spans="1:12" s="10" customFormat="1" ht="20.100000000000001" customHeight="1" x14ac:dyDescent="0.35">
      <c r="A220" s="15" t="s">
        <v>312</v>
      </c>
      <c r="B220" s="15"/>
      <c r="C220" s="15"/>
      <c r="D220" s="15"/>
      <c r="E220" s="15"/>
      <c r="F220" s="15"/>
      <c r="G220" s="15"/>
      <c r="H220" s="15"/>
      <c r="I220" s="15"/>
      <c r="J220" s="15"/>
    </row>
    <row r="221" spans="1:12" x14ac:dyDescent="0.25">
      <c r="A221" s="12"/>
      <c r="B221" s="12"/>
      <c r="C221" s="12"/>
      <c r="D221" s="12"/>
      <c r="E221" s="12"/>
      <c r="F221" s="12"/>
      <c r="G221" s="12"/>
      <c r="H221" s="12"/>
      <c r="I221" s="12"/>
      <c r="J221" s="12"/>
    </row>
    <row r="222" spans="1:12" ht="30" x14ac:dyDescent="0.25">
      <c r="A222" s="2" t="s">
        <v>6</v>
      </c>
      <c r="B222" s="2" t="s">
        <v>7</v>
      </c>
      <c r="C222" s="2" t="s">
        <v>8</v>
      </c>
      <c r="D222" s="2" t="s">
        <v>9</v>
      </c>
      <c r="E222" s="2" t="s">
        <v>10</v>
      </c>
      <c r="F222" s="2" t="s">
        <v>11</v>
      </c>
      <c r="G222" s="2" t="s">
        <v>12</v>
      </c>
      <c r="H222" s="2" t="s">
        <v>13</v>
      </c>
      <c r="I222" s="2" t="s">
        <v>14</v>
      </c>
      <c r="J222" s="2" t="s">
        <v>15</v>
      </c>
      <c r="K222" s="2" t="s">
        <v>16</v>
      </c>
      <c r="L222" s="2" t="s">
        <v>17</v>
      </c>
    </row>
    <row r="223" spans="1:12" x14ac:dyDescent="0.25">
      <c r="A223" s="3">
        <v>45700.20684027778</v>
      </c>
      <c r="B223" t="s">
        <v>21</v>
      </c>
      <c r="C223" s="3">
        <v>45700.208113425921</v>
      </c>
      <c r="D223" t="s">
        <v>21</v>
      </c>
      <c r="E223" s="4">
        <v>8.0000000000000002E-3</v>
      </c>
      <c r="F223" s="4">
        <v>54097.925999999999</v>
      </c>
      <c r="G223" s="4">
        <v>54097.934000000001</v>
      </c>
      <c r="H223" s="5">
        <f>99 / 86400</f>
        <v>1.1458333333333333E-3</v>
      </c>
      <c r="I223" t="s">
        <v>42</v>
      </c>
      <c r="J223" t="s">
        <v>42</v>
      </c>
      <c r="K223" s="5">
        <f>110 / 86400</f>
        <v>1.2731481481481483E-3</v>
      </c>
      <c r="L223" s="5">
        <f>20417 / 86400</f>
        <v>0.23630787037037038</v>
      </c>
    </row>
    <row r="224" spans="1:12" x14ac:dyDescent="0.25">
      <c r="A224" s="3">
        <v>45700.237581018519</v>
      </c>
      <c r="B224" t="s">
        <v>21</v>
      </c>
      <c r="C224" s="3">
        <v>45700.237881944442</v>
      </c>
      <c r="D224" t="s">
        <v>21</v>
      </c>
      <c r="E224" s="4">
        <v>0</v>
      </c>
      <c r="F224" s="4">
        <v>54097.934000000001</v>
      </c>
      <c r="G224" s="4">
        <v>54097.934000000001</v>
      </c>
      <c r="H224" s="5">
        <f>19 / 86400</f>
        <v>2.199074074074074E-4</v>
      </c>
      <c r="I224" t="s">
        <v>42</v>
      </c>
      <c r="J224" t="s">
        <v>42</v>
      </c>
      <c r="K224" s="5">
        <f>25 / 86400</f>
        <v>2.8935185185185184E-4</v>
      </c>
      <c r="L224" s="5">
        <f>662 / 86400</f>
        <v>7.6620370370370366E-3</v>
      </c>
    </row>
    <row r="225" spans="1:12" x14ac:dyDescent="0.25">
      <c r="A225" s="3">
        <v>45700.24554398148</v>
      </c>
      <c r="B225" t="s">
        <v>21</v>
      </c>
      <c r="C225" s="3">
        <v>45700.251111111109</v>
      </c>
      <c r="D225" t="s">
        <v>21</v>
      </c>
      <c r="E225" s="4">
        <v>1.4999999999999999E-2</v>
      </c>
      <c r="F225" s="4">
        <v>54097.934000000001</v>
      </c>
      <c r="G225" s="4">
        <v>54097.949000000001</v>
      </c>
      <c r="H225" s="5">
        <f>459 / 86400</f>
        <v>5.3125000000000004E-3</v>
      </c>
      <c r="I225" t="s">
        <v>42</v>
      </c>
      <c r="J225" t="s">
        <v>42</v>
      </c>
      <c r="K225" s="5">
        <f>480 / 86400</f>
        <v>5.5555555555555558E-3</v>
      </c>
      <c r="L225" s="5">
        <f>64703 / 86400</f>
        <v>0.74887731481481479</v>
      </c>
    </row>
    <row r="226" spans="1:12" x14ac:dyDescent="0.25">
      <c r="A226" s="12"/>
      <c r="B226" s="12"/>
      <c r="C226" s="12"/>
      <c r="D226" s="12"/>
      <c r="E226" s="12"/>
      <c r="F226" s="12"/>
      <c r="G226" s="12"/>
      <c r="H226" s="12"/>
      <c r="I226" s="12"/>
      <c r="J226" s="12"/>
    </row>
    <row r="227" spans="1:12" x14ac:dyDescent="0.25">
      <c r="A227" s="12"/>
      <c r="B227" s="12"/>
      <c r="C227" s="12"/>
      <c r="D227" s="12"/>
      <c r="E227" s="12"/>
      <c r="F227" s="12"/>
      <c r="G227" s="12"/>
      <c r="H227" s="12"/>
      <c r="I227" s="12"/>
      <c r="J227" s="12"/>
    </row>
    <row r="228" spans="1:12" s="10" customFormat="1" ht="20.100000000000001" customHeight="1" x14ac:dyDescent="0.35">
      <c r="A228" s="15" t="s">
        <v>313</v>
      </c>
      <c r="B228" s="15"/>
      <c r="C228" s="15"/>
      <c r="D228" s="15"/>
      <c r="E228" s="15"/>
      <c r="F228" s="15"/>
      <c r="G228" s="15"/>
      <c r="H228" s="15"/>
      <c r="I228" s="15"/>
      <c r="J228" s="15"/>
    </row>
    <row r="229" spans="1:12" x14ac:dyDescent="0.25">
      <c r="A229" s="12"/>
      <c r="B229" s="12"/>
      <c r="C229" s="12"/>
      <c r="D229" s="12"/>
      <c r="E229" s="12"/>
      <c r="F229" s="12"/>
      <c r="G229" s="12"/>
      <c r="H229" s="12"/>
      <c r="I229" s="12"/>
      <c r="J229" s="12"/>
    </row>
    <row r="230" spans="1:12" ht="30" x14ac:dyDescent="0.25">
      <c r="A230" s="2" t="s">
        <v>6</v>
      </c>
      <c r="B230" s="2" t="s">
        <v>7</v>
      </c>
      <c r="C230" s="2" t="s">
        <v>8</v>
      </c>
      <c r="D230" s="2" t="s">
        <v>9</v>
      </c>
      <c r="E230" s="2" t="s">
        <v>10</v>
      </c>
      <c r="F230" s="2" t="s">
        <v>11</v>
      </c>
      <c r="G230" s="2" t="s">
        <v>12</v>
      </c>
      <c r="H230" s="2" t="s">
        <v>13</v>
      </c>
      <c r="I230" s="2" t="s">
        <v>14</v>
      </c>
      <c r="J230" s="2" t="s">
        <v>15</v>
      </c>
      <c r="K230" s="2" t="s">
        <v>16</v>
      </c>
      <c r="L230" s="2" t="s">
        <v>17</v>
      </c>
    </row>
    <row r="231" spans="1:12" x14ac:dyDescent="0.25">
      <c r="A231" s="3">
        <v>45700.275358796294</v>
      </c>
      <c r="B231" t="s">
        <v>43</v>
      </c>
      <c r="C231" s="3">
        <v>45700.520300925928</v>
      </c>
      <c r="D231" t="s">
        <v>62</v>
      </c>
      <c r="E231" s="4">
        <v>94.676000000000002</v>
      </c>
      <c r="F231" s="4">
        <v>215781.79399999999</v>
      </c>
      <c r="G231" s="4">
        <v>215876.47</v>
      </c>
      <c r="H231" s="5">
        <f>6764 / 86400</f>
        <v>7.8287037037037044E-2</v>
      </c>
      <c r="I231" t="s">
        <v>27</v>
      </c>
      <c r="J231" t="s">
        <v>34</v>
      </c>
      <c r="K231" s="5">
        <f>21162 / 86400</f>
        <v>0.24493055555555557</v>
      </c>
      <c r="L231" s="5">
        <f>24428 / 86400</f>
        <v>0.28273148148148147</v>
      </c>
    </row>
    <row r="232" spans="1:12" x14ac:dyDescent="0.25">
      <c r="A232" s="3">
        <v>45700.527673611112</v>
      </c>
      <c r="B232" t="s">
        <v>62</v>
      </c>
      <c r="C232" s="3">
        <v>45700.53</v>
      </c>
      <c r="D232" t="s">
        <v>43</v>
      </c>
      <c r="E232" s="4">
        <v>0.85099999999999998</v>
      </c>
      <c r="F232" s="4">
        <v>215876.47</v>
      </c>
      <c r="G232" s="4">
        <v>215877.321</v>
      </c>
      <c r="H232" s="5">
        <f>0 / 86400</f>
        <v>0</v>
      </c>
      <c r="I232" t="s">
        <v>136</v>
      </c>
      <c r="J232" t="s">
        <v>20</v>
      </c>
      <c r="K232" s="5">
        <f>201 / 86400</f>
        <v>2.3263888888888887E-3</v>
      </c>
      <c r="L232" s="5">
        <f>226 / 86400</f>
        <v>2.6157407407407405E-3</v>
      </c>
    </row>
    <row r="233" spans="1:12" x14ac:dyDescent="0.25">
      <c r="A233" s="3">
        <v>45700.53261574074</v>
      </c>
      <c r="B233" t="s">
        <v>43</v>
      </c>
      <c r="C233" s="3">
        <v>45700.53292824074</v>
      </c>
      <c r="D233" t="s">
        <v>43</v>
      </c>
      <c r="E233" s="4">
        <v>0</v>
      </c>
      <c r="F233" s="4">
        <v>215877.321</v>
      </c>
      <c r="G233" s="4">
        <v>215877.321</v>
      </c>
      <c r="H233" s="5">
        <f>19 / 86400</f>
        <v>2.199074074074074E-4</v>
      </c>
      <c r="I233" t="s">
        <v>42</v>
      </c>
      <c r="J233" t="s">
        <v>42</v>
      </c>
      <c r="K233" s="5">
        <f>26 / 86400</f>
        <v>3.0092592592592595E-4</v>
      </c>
      <c r="L233" s="5">
        <f>329 / 86400</f>
        <v>3.8078703703703703E-3</v>
      </c>
    </row>
    <row r="234" spans="1:12" x14ac:dyDescent="0.25">
      <c r="A234" s="3">
        <v>45700.536736111113</v>
      </c>
      <c r="B234" t="s">
        <v>43</v>
      </c>
      <c r="C234" s="3">
        <v>45700.817430555559</v>
      </c>
      <c r="D234" t="s">
        <v>62</v>
      </c>
      <c r="E234" s="4">
        <v>100.17400000000001</v>
      </c>
      <c r="F234" s="4">
        <v>215877.321</v>
      </c>
      <c r="G234" s="4">
        <v>215977.495</v>
      </c>
      <c r="H234" s="5">
        <f>7840 / 86400</f>
        <v>9.0740740740740747E-2</v>
      </c>
      <c r="I234" t="s">
        <v>37</v>
      </c>
      <c r="J234" t="s">
        <v>20</v>
      </c>
      <c r="K234" s="5">
        <f>24252 / 86400</f>
        <v>0.28069444444444447</v>
      </c>
      <c r="L234" s="5">
        <f>5 / 86400</f>
        <v>5.7870370370370373E-5</v>
      </c>
    </row>
    <row r="235" spans="1:12" x14ac:dyDescent="0.25">
      <c r="A235" s="3">
        <v>45700.817488425921</v>
      </c>
      <c r="B235" t="s">
        <v>62</v>
      </c>
      <c r="C235" s="3">
        <v>45700.817604166667</v>
      </c>
      <c r="D235" t="s">
        <v>62</v>
      </c>
      <c r="E235" s="4">
        <v>1E-3</v>
      </c>
      <c r="F235" s="4">
        <v>215977.495</v>
      </c>
      <c r="G235" s="4">
        <v>215977.49600000001</v>
      </c>
      <c r="H235" s="5">
        <f>0 / 86400</f>
        <v>0</v>
      </c>
      <c r="I235" t="s">
        <v>42</v>
      </c>
      <c r="J235" t="s">
        <v>42</v>
      </c>
      <c r="K235" s="5">
        <f>10 / 86400</f>
        <v>1.1574074074074075E-4</v>
      </c>
      <c r="L235" s="5">
        <f>375 / 86400</f>
        <v>4.340277777777778E-3</v>
      </c>
    </row>
    <row r="236" spans="1:12" x14ac:dyDescent="0.25">
      <c r="A236" s="3">
        <v>45700.82194444444</v>
      </c>
      <c r="B236" t="s">
        <v>62</v>
      </c>
      <c r="C236" s="3">
        <v>45700.827719907407</v>
      </c>
      <c r="D236" t="s">
        <v>43</v>
      </c>
      <c r="E236" s="4">
        <v>0.9</v>
      </c>
      <c r="F236" s="4">
        <v>215977.49600000001</v>
      </c>
      <c r="G236" s="4">
        <v>215978.39600000001</v>
      </c>
      <c r="H236" s="5">
        <f>220 / 86400</f>
        <v>2.5462962962962965E-3</v>
      </c>
      <c r="I236" t="s">
        <v>176</v>
      </c>
      <c r="J236" t="s">
        <v>131</v>
      </c>
      <c r="K236" s="5">
        <f>499 / 86400</f>
        <v>5.7754629629629631E-3</v>
      </c>
      <c r="L236" s="5">
        <f>21 / 86400</f>
        <v>2.4305555555555555E-4</v>
      </c>
    </row>
    <row r="237" spans="1:12" x14ac:dyDescent="0.25">
      <c r="A237" s="3">
        <v>45700.827962962961</v>
      </c>
      <c r="B237" t="s">
        <v>43</v>
      </c>
      <c r="C237" s="3">
        <v>45700.828032407408</v>
      </c>
      <c r="D237" t="s">
        <v>43</v>
      </c>
      <c r="E237" s="4">
        <v>0</v>
      </c>
      <c r="F237" s="4">
        <v>215978.39600000001</v>
      </c>
      <c r="G237" s="4">
        <v>215978.39600000001</v>
      </c>
      <c r="H237" s="5">
        <f>0 / 86400</f>
        <v>0</v>
      </c>
      <c r="I237" t="s">
        <v>42</v>
      </c>
      <c r="J237" t="s">
        <v>42</v>
      </c>
      <c r="K237" s="5">
        <f>6 / 86400</f>
        <v>6.9444444444444444E-5</v>
      </c>
      <c r="L237" s="5">
        <f>14857 / 86400</f>
        <v>0.17195601851851852</v>
      </c>
    </row>
    <row r="238" spans="1:12" x14ac:dyDescent="0.25">
      <c r="A238" s="12"/>
      <c r="B238" s="12"/>
      <c r="C238" s="12"/>
      <c r="D238" s="12"/>
      <c r="E238" s="12"/>
      <c r="F238" s="12"/>
      <c r="G238" s="12"/>
      <c r="H238" s="12"/>
      <c r="I238" s="12"/>
      <c r="J238" s="12"/>
    </row>
    <row r="239" spans="1:12" x14ac:dyDescent="0.25">
      <c r="A239" s="12"/>
      <c r="B239" s="12"/>
      <c r="C239" s="12"/>
      <c r="D239" s="12"/>
      <c r="E239" s="12"/>
      <c r="F239" s="12"/>
      <c r="G239" s="12"/>
      <c r="H239" s="12"/>
      <c r="I239" s="12"/>
      <c r="J239" s="12"/>
    </row>
    <row r="240" spans="1:12" s="10" customFormat="1" ht="20.100000000000001" customHeight="1" x14ac:dyDescent="0.35">
      <c r="A240" s="15" t="s">
        <v>314</v>
      </c>
      <c r="B240" s="15"/>
      <c r="C240" s="15"/>
      <c r="D240" s="15"/>
      <c r="E240" s="15"/>
      <c r="F240" s="15"/>
      <c r="G240" s="15"/>
      <c r="H240" s="15"/>
      <c r="I240" s="15"/>
      <c r="J240" s="15"/>
    </row>
    <row r="241" spans="1:12" x14ac:dyDescent="0.25">
      <c r="A241" s="12"/>
      <c r="B241" s="12"/>
      <c r="C241" s="12"/>
      <c r="D241" s="12"/>
      <c r="E241" s="12"/>
      <c r="F241" s="12"/>
      <c r="G241" s="12"/>
      <c r="H241" s="12"/>
      <c r="I241" s="12"/>
      <c r="J241" s="12"/>
    </row>
    <row r="242" spans="1:12" ht="30" x14ac:dyDescent="0.25">
      <c r="A242" s="2" t="s">
        <v>6</v>
      </c>
      <c r="B242" s="2" t="s">
        <v>7</v>
      </c>
      <c r="C242" s="2" t="s">
        <v>8</v>
      </c>
      <c r="D242" s="2" t="s">
        <v>9</v>
      </c>
      <c r="E242" s="2" t="s">
        <v>10</v>
      </c>
      <c r="F242" s="2" t="s">
        <v>11</v>
      </c>
      <c r="G242" s="2" t="s">
        <v>12</v>
      </c>
      <c r="H242" s="2" t="s">
        <v>13</v>
      </c>
      <c r="I242" s="2" t="s">
        <v>14</v>
      </c>
      <c r="J242" s="2" t="s">
        <v>15</v>
      </c>
      <c r="K242" s="2" t="s">
        <v>16</v>
      </c>
      <c r="L242" s="2" t="s">
        <v>17</v>
      </c>
    </row>
    <row r="243" spans="1:12" x14ac:dyDescent="0.25">
      <c r="A243" s="3">
        <v>45700.248055555552</v>
      </c>
      <c r="B243" t="s">
        <v>44</v>
      </c>
      <c r="C243" s="3">
        <v>45700.257592592592</v>
      </c>
      <c r="D243" t="s">
        <v>190</v>
      </c>
      <c r="E243" s="4">
        <v>2.3879999999999999</v>
      </c>
      <c r="F243" s="4">
        <v>525038.32799999998</v>
      </c>
      <c r="G243" s="4">
        <v>525040.71600000001</v>
      </c>
      <c r="H243" s="5">
        <f>400 / 86400</f>
        <v>4.6296296296296294E-3</v>
      </c>
      <c r="I243" t="s">
        <v>49</v>
      </c>
      <c r="J243" t="s">
        <v>164</v>
      </c>
      <c r="K243" s="5">
        <f>824 / 86400</f>
        <v>9.5370370370370366E-3</v>
      </c>
      <c r="L243" s="5">
        <f>23739 / 86400</f>
        <v>0.27475694444444443</v>
      </c>
    </row>
    <row r="244" spans="1:12" x14ac:dyDescent="0.25">
      <c r="A244" s="3">
        <v>45700.28429398148</v>
      </c>
      <c r="B244" t="s">
        <v>190</v>
      </c>
      <c r="C244" s="3">
        <v>45700.53907407407</v>
      </c>
      <c r="D244" t="s">
        <v>62</v>
      </c>
      <c r="E244" s="4">
        <v>84.032999999940401</v>
      </c>
      <c r="F244" s="4">
        <v>525040.71600000001</v>
      </c>
      <c r="G244" s="4">
        <v>525124.74899999995</v>
      </c>
      <c r="H244" s="5">
        <f>7987 / 86400</f>
        <v>9.2442129629629624E-2</v>
      </c>
      <c r="I244" t="s">
        <v>58</v>
      </c>
      <c r="J244" t="s">
        <v>39</v>
      </c>
      <c r="K244" s="5">
        <f>22013 / 86400</f>
        <v>0.2547800925925926</v>
      </c>
      <c r="L244" s="5">
        <f>350 / 86400</f>
        <v>4.0509259259259257E-3</v>
      </c>
    </row>
    <row r="245" spans="1:12" x14ac:dyDescent="0.25">
      <c r="A245" s="3">
        <v>45700.543124999997</v>
      </c>
      <c r="B245" t="s">
        <v>62</v>
      </c>
      <c r="C245" s="3">
        <v>45700.54351851852</v>
      </c>
      <c r="D245" t="s">
        <v>62</v>
      </c>
      <c r="E245" s="4">
        <v>0</v>
      </c>
      <c r="F245" s="4">
        <v>525124.74899999995</v>
      </c>
      <c r="G245" s="4">
        <v>525124.74899999995</v>
      </c>
      <c r="H245" s="5">
        <f>19 / 86400</f>
        <v>2.199074074074074E-4</v>
      </c>
      <c r="I245" t="s">
        <v>42</v>
      </c>
      <c r="J245" t="s">
        <v>42</v>
      </c>
      <c r="K245" s="5">
        <f>34 / 86400</f>
        <v>3.9351851851851852E-4</v>
      </c>
      <c r="L245" s="5">
        <f>158 / 86400</f>
        <v>1.8287037037037037E-3</v>
      </c>
    </row>
    <row r="246" spans="1:12" x14ac:dyDescent="0.25">
      <c r="A246" s="3">
        <v>45700.545347222222</v>
      </c>
      <c r="B246" t="s">
        <v>62</v>
      </c>
      <c r="C246" s="3">
        <v>45700.546967592592</v>
      </c>
      <c r="D246" t="s">
        <v>62</v>
      </c>
      <c r="E246" s="4">
        <v>0.10900000005960464</v>
      </c>
      <c r="F246" s="4">
        <v>525124.74899999995</v>
      </c>
      <c r="G246" s="4">
        <v>525124.85800000001</v>
      </c>
      <c r="H246" s="5">
        <f>79 / 86400</f>
        <v>9.1435185185185185E-4</v>
      </c>
      <c r="I246" t="s">
        <v>137</v>
      </c>
      <c r="J246" t="s">
        <v>77</v>
      </c>
      <c r="K246" s="5">
        <f>140 / 86400</f>
        <v>1.6203703703703703E-3</v>
      </c>
      <c r="L246" s="5">
        <f>267 / 86400</f>
        <v>3.0902777777777777E-3</v>
      </c>
    </row>
    <row r="247" spans="1:12" x14ac:dyDescent="0.25">
      <c r="A247" s="3">
        <v>45700.550057870365</v>
      </c>
      <c r="B247" t="s">
        <v>62</v>
      </c>
      <c r="C247" s="3">
        <v>45700.559374999997</v>
      </c>
      <c r="D247" t="s">
        <v>191</v>
      </c>
      <c r="E247" s="4">
        <v>2.0979999999999999</v>
      </c>
      <c r="F247" s="4">
        <v>525124.85800000001</v>
      </c>
      <c r="G247" s="4">
        <v>525126.95600000001</v>
      </c>
      <c r="H247" s="5">
        <f>299 / 86400</f>
        <v>3.460648148148148E-3</v>
      </c>
      <c r="I247" t="s">
        <v>168</v>
      </c>
      <c r="J247" t="s">
        <v>137</v>
      </c>
      <c r="K247" s="5">
        <f>805 / 86400</f>
        <v>9.3171296296296301E-3</v>
      </c>
      <c r="L247" s="5">
        <f>1916 / 86400</f>
        <v>2.2175925925925925E-2</v>
      </c>
    </row>
    <row r="248" spans="1:12" x14ac:dyDescent="0.25">
      <c r="A248" s="3">
        <v>45700.581550925926</v>
      </c>
      <c r="B248" t="s">
        <v>43</v>
      </c>
      <c r="C248" s="3">
        <v>45700.585231481484</v>
      </c>
      <c r="D248" t="s">
        <v>192</v>
      </c>
      <c r="E248" s="4">
        <v>0.74</v>
      </c>
      <c r="F248" s="4">
        <v>525126.95600000001</v>
      </c>
      <c r="G248" s="4">
        <v>525127.696</v>
      </c>
      <c r="H248" s="5">
        <f>119 / 86400</f>
        <v>1.3773148148148147E-3</v>
      </c>
      <c r="I248" t="s">
        <v>176</v>
      </c>
      <c r="J248" t="s">
        <v>148</v>
      </c>
      <c r="K248" s="5">
        <f>317 / 86400</f>
        <v>3.6689814814814814E-3</v>
      </c>
      <c r="L248" s="5">
        <f>198 / 86400</f>
        <v>2.2916666666666667E-3</v>
      </c>
    </row>
    <row r="249" spans="1:12" x14ac:dyDescent="0.25">
      <c r="A249" s="3">
        <v>45700.587523148148</v>
      </c>
      <c r="B249" t="s">
        <v>192</v>
      </c>
      <c r="C249" s="3">
        <v>45700.587800925925</v>
      </c>
      <c r="D249" t="s">
        <v>193</v>
      </c>
      <c r="E249" s="4">
        <v>1.1000000059604645E-2</v>
      </c>
      <c r="F249" s="4">
        <v>525127.696</v>
      </c>
      <c r="G249" s="4">
        <v>525127.70700000005</v>
      </c>
      <c r="H249" s="5">
        <f>0 / 86400</f>
        <v>0</v>
      </c>
      <c r="I249" t="s">
        <v>150</v>
      </c>
      <c r="J249" t="s">
        <v>128</v>
      </c>
      <c r="K249" s="5">
        <f>24 / 86400</f>
        <v>2.7777777777777778E-4</v>
      </c>
      <c r="L249" s="5">
        <f>99 / 86400</f>
        <v>1.1458333333333333E-3</v>
      </c>
    </row>
    <row r="250" spans="1:12" x14ac:dyDescent="0.25">
      <c r="A250" s="3">
        <v>45700.588946759264</v>
      </c>
      <c r="B250" t="s">
        <v>193</v>
      </c>
      <c r="C250" s="3">
        <v>45700.58898148148</v>
      </c>
      <c r="D250" t="s">
        <v>193</v>
      </c>
      <c r="E250" s="4">
        <v>0</v>
      </c>
      <c r="F250" s="4">
        <v>525127.70700000005</v>
      </c>
      <c r="G250" s="4">
        <v>525127.70700000005</v>
      </c>
      <c r="H250" s="5">
        <f>0 / 86400</f>
        <v>0</v>
      </c>
      <c r="I250" t="s">
        <v>42</v>
      </c>
      <c r="J250" t="s">
        <v>42</v>
      </c>
      <c r="K250" s="5">
        <f>2 / 86400</f>
        <v>2.3148148148148147E-5</v>
      </c>
      <c r="L250" s="5">
        <f>377 / 86400</f>
        <v>4.363425925925926E-3</v>
      </c>
    </row>
    <row r="251" spans="1:12" x14ac:dyDescent="0.25">
      <c r="A251" s="3">
        <v>45700.593344907407</v>
      </c>
      <c r="B251" t="s">
        <v>193</v>
      </c>
      <c r="C251" s="3">
        <v>45700.593576388885</v>
      </c>
      <c r="D251" t="s">
        <v>193</v>
      </c>
      <c r="E251" s="4">
        <v>1.2999999940395355E-2</v>
      </c>
      <c r="F251" s="4">
        <v>525127.70700000005</v>
      </c>
      <c r="G251" s="4">
        <v>525127.72</v>
      </c>
      <c r="H251" s="5">
        <f>0 / 86400</f>
        <v>0</v>
      </c>
      <c r="I251" t="s">
        <v>149</v>
      </c>
      <c r="J251" t="s">
        <v>128</v>
      </c>
      <c r="K251" s="5">
        <f>19 / 86400</f>
        <v>2.199074074074074E-4</v>
      </c>
      <c r="L251" s="5">
        <f>327 / 86400</f>
        <v>3.7847222222222223E-3</v>
      </c>
    </row>
    <row r="252" spans="1:12" x14ac:dyDescent="0.25">
      <c r="A252" s="3">
        <v>45700.597361111111</v>
      </c>
      <c r="B252" t="s">
        <v>193</v>
      </c>
      <c r="C252" s="3">
        <v>45700.74255787037</v>
      </c>
      <c r="D252" t="s">
        <v>194</v>
      </c>
      <c r="E252" s="4">
        <v>51.815000000059605</v>
      </c>
      <c r="F252" s="4">
        <v>525127.72</v>
      </c>
      <c r="G252" s="4">
        <v>525179.53500000003</v>
      </c>
      <c r="H252" s="5">
        <f>4699 / 86400</f>
        <v>5.4386574074074073E-2</v>
      </c>
      <c r="I252" t="s">
        <v>45</v>
      </c>
      <c r="J252" t="s">
        <v>20</v>
      </c>
      <c r="K252" s="5">
        <f>12544 / 86400</f>
        <v>0.14518518518518519</v>
      </c>
      <c r="L252" s="5">
        <f>89 / 86400</f>
        <v>1.0300925925925926E-3</v>
      </c>
    </row>
    <row r="253" spans="1:12" x14ac:dyDescent="0.25">
      <c r="A253" s="3">
        <v>45700.743587962963</v>
      </c>
      <c r="B253" t="s">
        <v>194</v>
      </c>
      <c r="C253" s="3">
        <v>45700.876932870371</v>
      </c>
      <c r="D253" t="s">
        <v>32</v>
      </c>
      <c r="E253" s="4">
        <v>32.933999999999997</v>
      </c>
      <c r="F253" s="4">
        <v>525179.53500000003</v>
      </c>
      <c r="G253" s="4">
        <v>525212.46900000004</v>
      </c>
      <c r="H253" s="5">
        <f>5279 / 86400</f>
        <v>6.1099537037037036E-2</v>
      </c>
      <c r="I253" t="s">
        <v>157</v>
      </c>
      <c r="J253" t="s">
        <v>164</v>
      </c>
      <c r="K253" s="5">
        <f>11521 / 86400</f>
        <v>0.1333449074074074</v>
      </c>
      <c r="L253" s="5">
        <f>618 / 86400</f>
        <v>7.1527777777777779E-3</v>
      </c>
    </row>
    <row r="254" spans="1:12" x14ac:dyDescent="0.25">
      <c r="A254" s="3">
        <v>45700.884085648147</v>
      </c>
      <c r="B254" t="s">
        <v>32</v>
      </c>
      <c r="C254" s="3">
        <v>45700.89298611111</v>
      </c>
      <c r="D254" t="s">
        <v>44</v>
      </c>
      <c r="E254" s="4">
        <v>2.0919999999403953</v>
      </c>
      <c r="F254" s="4">
        <v>525212.46900000004</v>
      </c>
      <c r="G254" s="4">
        <v>525214.56099999999</v>
      </c>
      <c r="H254" s="5">
        <f>340 / 86400</f>
        <v>3.9351851851851848E-3</v>
      </c>
      <c r="I254" t="s">
        <v>177</v>
      </c>
      <c r="J254" t="s">
        <v>164</v>
      </c>
      <c r="K254" s="5">
        <f>768 / 86400</f>
        <v>8.8888888888888889E-3</v>
      </c>
      <c r="L254" s="5">
        <f>9245 / 86400</f>
        <v>0.10700231481481481</v>
      </c>
    </row>
    <row r="255" spans="1:12" x14ac:dyDescent="0.25">
      <c r="A255" s="12"/>
      <c r="B255" s="12"/>
      <c r="C255" s="12"/>
      <c r="D255" s="12"/>
      <c r="E255" s="12"/>
      <c r="F255" s="12"/>
      <c r="G255" s="12"/>
      <c r="H255" s="12"/>
      <c r="I255" s="12"/>
      <c r="J255" s="12"/>
    </row>
    <row r="256" spans="1:12" x14ac:dyDescent="0.25">
      <c r="A256" s="12"/>
      <c r="B256" s="12"/>
      <c r="C256" s="12"/>
      <c r="D256" s="12"/>
      <c r="E256" s="12"/>
      <c r="F256" s="12"/>
      <c r="G256" s="12"/>
      <c r="H256" s="12"/>
      <c r="I256" s="12"/>
      <c r="J256" s="12"/>
    </row>
    <row r="257" spans="1:12" s="10" customFormat="1" ht="20.100000000000001" customHeight="1" x14ac:dyDescent="0.35">
      <c r="A257" s="15" t="s">
        <v>315</v>
      </c>
      <c r="B257" s="15"/>
      <c r="C257" s="15"/>
      <c r="D257" s="15"/>
      <c r="E257" s="15"/>
      <c r="F257" s="15"/>
      <c r="G257" s="15"/>
      <c r="H257" s="15"/>
      <c r="I257" s="15"/>
      <c r="J257" s="15"/>
    </row>
    <row r="258" spans="1:12" x14ac:dyDescent="0.25">
      <c r="A258" s="12"/>
      <c r="B258" s="12"/>
      <c r="C258" s="12"/>
      <c r="D258" s="12"/>
      <c r="E258" s="12"/>
      <c r="F258" s="12"/>
      <c r="G258" s="12"/>
      <c r="H258" s="12"/>
      <c r="I258" s="12"/>
      <c r="J258" s="12"/>
    </row>
    <row r="259" spans="1:12" ht="30" x14ac:dyDescent="0.25">
      <c r="A259" s="2" t="s">
        <v>6</v>
      </c>
      <c r="B259" s="2" t="s">
        <v>7</v>
      </c>
      <c r="C259" s="2" t="s">
        <v>8</v>
      </c>
      <c r="D259" s="2" t="s">
        <v>9</v>
      </c>
      <c r="E259" s="2" t="s">
        <v>10</v>
      </c>
      <c r="F259" s="2" t="s">
        <v>11</v>
      </c>
      <c r="G259" s="2" t="s">
        <v>12</v>
      </c>
      <c r="H259" s="2" t="s">
        <v>13</v>
      </c>
      <c r="I259" s="2" t="s">
        <v>14</v>
      </c>
      <c r="J259" s="2" t="s">
        <v>15</v>
      </c>
      <c r="K259" s="2" t="s">
        <v>16</v>
      </c>
      <c r="L259" s="2" t="s">
        <v>17</v>
      </c>
    </row>
    <row r="260" spans="1:12" x14ac:dyDescent="0.25">
      <c r="A260" s="3">
        <v>45700.242326388892</v>
      </c>
      <c r="B260" t="s">
        <v>47</v>
      </c>
      <c r="C260" s="3">
        <v>45700.374618055561</v>
      </c>
      <c r="D260" t="s">
        <v>195</v>
      </c>
      <c r="E260" s="4">
        <v>50.418999999999997</v>
      </c>
      <c r="F260" s="4">
        <v>344505.88699999999</v>
      </c>
      <c r="G260" s="4">
        <v>344556.30599999998</v>
      </c>
      <c r="H260" s="5">
        <f>4222 / 86400</f>
        <v>4.8865740740740737E-2</v>
      </c>
      <c r="I260" t="s">
        <v>53</v>
      </c>
      <c r="J260" t="s">
        <v>34</v>
      </c>
      <c r="K260" s="5">
        <f>11430 / 86400</f>
        <v>0.13229166666666667</v>
      </c>
      <c r="L260" s="5">
        <f>28553 / 86400</f>
        <v>0.33047453703703705</v>
      </c>
    </row>
    <row r="261" spans="1:12" x14ac:dyDescent="0.25">
      <c r="A261" s="3">
        <v>45700.462766203702</v>
      </c>
      <c r="B261" t="s">
        <v>196</v>
      </c>
      <c r="C261" s="3">
        <v>45700.593912037039</v>
      </c>
      <c r="D261" t="s">
        <v>90</v>
      </c>
      <c r="E261" s="4">
        <v>50.73</v>
      </c>
      <c r="F261" s="4">
        <v>344556.30599999998</v>
      </c>
      <c r="G261" s="4">
        <v>344607.03600000002</v>
      </c>
      <c r="H261" s="5">
        <f>3798 / 86400</f>
        <v>4.3958333333333335E-2</v>
      </c>
      <c r="I261" t="s">
        <v>30</v>
      </c>
      <c r="J261" t="s">
        <v>34</v>
      </c>
      <c r="K261" s="5">
        <f>11331 / 86400</f>
        <v>0.13114583333333332</v>
      </c>
      <c r="L261" s="5">
        <f>90 / 86400</f>
        <v>1.0416666666666667E-3</v>
      </c>
    </row>
    <row r="262" spans="1:12" x14ac:dyDescent="0.25">
      <c r="A262" s="3">
        <v>45700.594953703709</v>
      </c>
      <c r="B262" t="s">
        <v>90</v>
      </c>
      <c r="C262" s="3">
        <v>45700.595335648148</v>
      </c>
      <c r="D262" t="s">
        <v>90</v>
      </c>
      <c r="E262" s="4">
        <v>0</v>
      </c>
      <c r="F262" s="4">
        <v>344607.03600000002</v>
      </c>
      <c r="G262" s="4">
        <v>344607.03600000002</v>
      </c>
      <c r="H262" s="5">
        <f>19 / 86400</f>
        <v>2.199074074074074E-4</v>
      </c>
      <c r="I262" t="s">
        <v>42</v>
      </c>
      <c r="J262" t="s">
        <v>42</v>
      </c>
      <c r="K262" s="5">
        <f>33 / 86400</f>
        <v>3.8194444444444446E-4</v>
      </c>
      <c r="L262" s="5">
        <f>58 / 86400</f>
        <v>6.7129629629629625E-4</v>
      </c>
    </row>
    <row r="263" spans="1:12" x14ac:dyDescent="0.25">
      <c r="A263" s="3">
        <v>45700.596006944441</v>
      </c>
      <c r="B263" t="s">
        <v>90</v>
      </c>
      <c r="C263" s="3">
        <v>45700.597199074073</v>
      </c>
      <c r="D263" t="s">
        <v>107</v>
      </c>
      <c r="E263" s="4">
        <v>6.4000000000000001E-2</v>
      </c>
      <c r="F263" s="4">
        <v>344607.03600000002</v>
      </c>
      <c r="G263" s="4">
        <v>344607.1</v>
      </c>
      <c r="H263" s="5">
        <f>20 / 86400</f>
        <v>2.3148148148148149E-4</v>
      </c>
      <c r="I263" t="s">
        <v>143</v>
      </c>
      <c r="J263" t="s">
        <v>128</v>
      </c>
      <c r="K263" s="5">
        <f>103 / 86400</f>
        <v>1.1921296296296296E-3</v>
      </c>
      <c r="L263" s="5">
        <f>158 / 86400</f>
        <v>1.8287037037037037E-3</v>
      </c>
    </row>
    <row r="264" spans="1:12" x14ac:dyDescent="0.25">
      <c r="A264" s="3">
        <v>45700.599027777775</v>
      </c>
      <c r="B264" t="s">
        <v>62</v>
      </c>
      <c r="C264" s="3">
        <v>45700.601724537039</v>
      </c>
      <c r="D264" t="s">
        <v>92</v>
      </c>
      <c r="E264" s="4">
        <v>0.98299999999999998</v>
      </c>
      <c r="F264" s="4">
        <v>344607.1</v>
      </c>
      <c r="G264" s="4">
        <v>344608.08299999998</v>
      </c>
      <c r="H264" s="5">
        <f>20 / 86400</f>
        <v>2.3148148148148149E-4</v>
      </c>
      <c r="I264" t="s">
        <v>144</v>
      </c>
      <c r="J264" t="s">
        <v>20</v>
      </c>
      <c r="K264" s="5">
        <f>232 / 86400</f>
        <v>2.685185185185185E-3</v>
      </c>
      <c r="L264" s="5">
        <f>3 / 86400</f>
        <v>3.4722222222222222E-5</v>
      </c>
    </row>
    <row r="265" spans="1:12" x14ac:dyDescent="0.25">
      <c r="A265" s="3">
        <v>45700.601759259254</v>
      </c>
      <c r="B265" t="s">
        <v>92</v>
      </c>
      <c r="C265" s="3">
        <v>45700.62777777778</v>
      </c>
      <c r="D265" t="s">
        <v>197</v>
      </c>
      <c r="E265" s="4">
        <v>0.36099999999999999</v>
      </c>
      <c r="F265" s="4">
        <v>344608.08299999998</v>
      </c>
      <c r="G265" s="4">
        <v>344608.44400000002</v>
      </c>
      <c r="H265" s="5">
        <f>2069 / 86400</f>
        <v>2.3946759259259258E-2</v>
      </c>
      <c r="I265" t="s">
        <v>28</v>
      </c>
      <c r="J265" t="s">
        <v>150</v>
      </c>
      <c r="K265" s="5">
        <f>2248 / 86400</f>
        <v>2.6018518518518517E-2</v>
      </c>
      <c r="L265" s="5">
        <f>2125 / 86400</f>
        <v>2.4594907407407409E-2</v>
      </c>
    </row>
    <row r="266" spans="1:12" x14ac:dyDescent="0.25">
      <c r="A266" s="3">
        <v>45700.652372685188</v>
      </c>
      <c r="B266" t="s">
        <v>197</v>
      </c>
      <c r="C266" s="3">
        <v>45700.660439814819</v>
      </c>
      <c r="D266" t="s">
        <v>62</v>
      </c>
      <c r="E266" s="4">
        <v>0.81499999999999995</v>
      </c>
      <c r="F266" s="4">
        <v>344608.44400000002</v>
      </c>
      <c r="G266" s="4">
        <v>344609.25900000002</v>
      </c>
      <c r="H266" s="5">
        <f>458 / 86400</f>
        <v>5.3009259259259259E-3</v>
      </c>
      <c r="I266" t="s">
        <v>173</v>
      </c>
      <c r="J266" t="s">
        <v>133</v>
      </c>
      <c r="K266" s="5">
        <f>697 / 86400</f>
        <v>8.067129629629629E-3</v>
      </c>
      <c r="L266" s="5">
        <f>210 / 86400</f>
        <v>2.4305555555555556E-3</v>
      </c>
    </row>
    <row r="267" spans="1:12" x14ac:dyDescent="0.25">
      <c r="A267" s="3">
        <v>45700.662870370375</v>
      </c>
      <c r="B267" t="s">
        <v>62</v>
      </c>
      <c r="C267" s="3">
        <v>45700.663530092592</v>
      </c>
      <c r="D267" t="s">
        <v>62</v>
      </c>
      <c r="E267" s="4">
        <v>5.6000000000000001E-2</v>
      </c>
      <c r="F267" s="4">
        <v>344609.25900000002</v>
      </c>
      <c r="G267" s="4">
        <v>344609.315</v>
      </c>
      <c r="H267" s="5">
        <f>0 / 86400</f>
        <v>0</v>
      </c>
      <c r="I267" t="s">
        <v>126</v>
      </c>
      <c r="J267" t="s">
        <v>133</v>
      </c>
      <c r="K267" s="5">
        <f>57 / 86400</f>
        <v>6.5972222222222224E-4</v>
      </c>
      <c r="L267" s="5">
        <f>615 / 86400</f>
        <v>7.1180555555555554E-3</v>
      </c>
    </row>
    <row r="268" spans="1:12" x14ac:dyDescent="0.25">
      <c r="A268" s="3">
        <v>45700.670648148152</v>
      </c>
      <c r="B268" t="s">
        <v>62</v>
      </c>
      <c r="C268" s="3">
        <v>45700.805289351847</v>
      </c>
      <c r="D268" t="s">
        <v>198</v>
      </c>
      <c r="E268" s="4">
        <v>47.945999999999998</v>
      </c>
      <c r="F268" s="4">
        <v>344609.315</v>
      </c>
      <c r="G268" s="4">
        <v>344657.261</v>
      </c>
      <c r="H268" s="5">
        <f>4719 / 86400</f>
        <v>5.4618055555555559E-2</v>
      </c>
      <c r="I268" t="s">
        <v>49</v>
      </c>
      <c r="J268" t="s">
        <v>20</v>
      </c>
      <c r="K268" s="5">
        <f>11633 / 86400</f>
        <v>0.13464120370370369</v>
      </c>
      <c r="L268" s="5">
        <f>15 / 86400</f>
        <v>1.7361111111111112E-4</v>
      </c>
    </row>
    <row r="269" spans="1:12" x14ac:dyDescent="0.25">
      <c r="A269" s="3">
        <v>45700.805462962962</v>
      </c>
      <c r="B269" t="s">
        <v>198</v>
      </c>
      <c r="C269" s="3">
        <v>45700.806388888886</v>
      </c>
      <c r="D269" t="s">
        <v>198</v>
      </c>
      <c r="E269" s="4">
        <v>5.0000000000000001E-3</v>
      </c>
      <c r="F269" s="4">
        <v>344657.261</v>
      </c>
      <c r="G269" s="4">
        <v>344657.266</v>
      </c>
      <c r="H269" s="5">
        <f>59 / 86400</f>
        <v>6.8287037037037036E-4</v>
      </c>
      <c r="I269" t="s">
        <v>42</v>
      </c>
      <c r="J269" t="s">
        <v>42</v>
      </c>
      <c r="K269" s="5">
        <f>80 / 86400</f>
        <v>9.2592592592592596E-4</v>
      </c>
      <c r="L269" s="5">
        <f>40 / 86400</f>
        <v>4.6296296296296298E-4</v>
      </c>
    </row>
    <row r="270" spans="1:12" x14ac:dyDescent="0.25">
      <c r="A270" s="3">
        <v>45700.806851851856</v>
      </c>
      <c r="B270" t="s">
        <v>198</v>
      </c>
      <c r="C270" s="3">
        <v>45700.807546296295</v>
      </c>
      <c r="D270" t="s">
        <v>198</v>
      </c>
      <c r="E270" s="4">
        <v>1.2E-2</v>
      </c>
      <c r="F270" s="4">
        <v>344657.266</v>
      </c>
      <c r="G270" s="4">
        <v>344657.27799999999</v>
      </c>
      <c r="H270" s="5">
        <f>39 / 86400</f>
        <v>4.5138888888888887E-4</v>
      </c>
      <c r="I270" t="s">
        <v>42</v>
      </c>
      <c r="J270" t="s">
        <v>150</v>
      </c>
      <c r="K270" s="5">
        <f>59 / 86400</f>
        <v>6.8287037037037036E-4</v>
      </c>
      <c r="L270" s="5">
        <f>23 / 86400</f>
        <v>2.6620370370370372E-4</v>
      </c>
    </row>
    <row r="271" spans="1:12" x14ac:dyDescent="0.25">
      <c r="A271" s="3">
        <v>45700.807812500003</v>
      </c>
      <c r="B271" t="s">
        <v>198</v>
      </c>
      <c r="C271" s="3">
        <v>45700.81251157407</v>
      </c>
      <c r="D271" t="s">
        <v>198</v>
      </c>
      <c r="E271" s="4">
        <v>4.7E-2</v>
      </c>
      <c r="F271" s="4">
        <v>344657.27799999999</v>
      </c>
      <c r="G271" s="4">
        <v>344657.32500000001</v>
      </c>
      <c r="H271" s="5">
        <f>379 / 86400</f>
        <v>4.386574074074074E-3</v>
      </c>
      <c r="I271" t="s">
        <v>133</v>
      </c>
      <c r="J271" t="s">
        <v>42</v>
      </c>
      <c r="K271" s="5">
        <f>405 / 86400</f>
        <v>4.6874999999999998E-3</v>
      </c>
      <c r="L271" s="5">
        <f>87 / 86400</f>
        <v>1.0069444444444444E-3</v>
      </c>
    </row>
    <row r="272" spans="1:12" x14ac:dyDescent="0.25">
      <c r="A272" s="3">
        <v>45700.813518518524</v>
      </c>
      <c r="B272" t="s">
        <v>198</v>
      </c>
      <c r="C272" s="3">
        <v>45700.894039351857</v>
      </c>
      <c r="D272" t="s">
        <v>62</v>
      </c>
      <c r="E272" s="4">
        <v>33.478000000000002</v>
      </c>
      <c r="F272" s="4">
        <v>344657.32500000001</v>
      </c>
      <c r="G272" s="4">
        <v>344690.80300000001</v>
      </c>
      <c r="H272" s="5">
        <f>2272 / 86400</f>
        <v>2.6296296296296297E-2</v>
      </c>
      <c r="I272" t="s">
        <v>159</v>
      </c>
      <c r="J272" t="s">
        <v>28</v>
      </c>
      <c r="K272" s="5">
        <f>6957 / 86400</f>
        <v>8.0520833333333333E-2</v>
      </c>
      <c r="L272" s="5">
        <f>422 / 86400</f>
        <v>4.8842592592592592E-3</v>
      </c>
    </row>
    <row r="273" spans="1:12" x14ac:dyDescent="0.25">
      <c r="A273" s="3">
        <v>45700.898923611108</v>
      </c>
      <c r="B273" t="s">
        <v>62</v>
      </c>
      <c r="C273" s="3">
        <v>45700.900185185186</v>
      </c>
      <c r="D273" t="s">
        <v>185</v>
      </c>
      <c r="E273" s="4">
        <v>0.20599999999999999</v>
      </c>
      <c r="F273" s="4">
        <v>344690.80300000001</v>
      </c>
      <c r="G273" s="4">
        <v>344691.00900000002</v>
      </c>
      <c r="H273" s="5">
        <f>40 / 86400</f>
        <v>4.6296296296296298E-4</v>
      </c>
      <c r="I273" t="s">
        <v>70</v>
      </c>
      <c r="J273" t="s">
        <v>143</v>
      </c>
      <c r="K273" s="5">
        <f>108 / 86400</f>
        <v>1.25E-3</v>
      </c>
      <c r="L273" s="5">
        <f>679 / 86400</f>
        <v>7.858796296296296E-3</v>
      </c>
    </row>
    <row r="274" spans="1:12" x14ac:dyDescent="0.25">
      <c r="A274" s="3">
        <v>45700.908043981486</v>
      </c>
      <c r="B274" t="s">
        <v>185</v>
      </c>
      <c r="C274" s="3">
        <v>45700.913298611107</v>
      </c>
      <c r="D274" t="s">
        <v>48</v>
      </c>
      <c r="E274" s="4">
        <v>0.85299999999999998</v>
      </c>
      <c r="F274" s="4">
        <v>344691.00900000002</v>
      </c>
      <c r="G274" s="4">
        <v>344691.86200000002</v>
      </c>
      <c r="H274" s="5">
        <f>120 / 86400</f>
        <v>1.3888888888888889E-3</v>
      </c>
      <c r="I274" t="s">
        <v>31</v>
      </c>
      <c r="J274" t="s">
        <v>143</v>
      </c>
      <c r="K274" s="5">
        <f>453 / 86400</f>
        <v>5.2430555555555555E-3</v>
      </c>
      <c r="L274" s="5">
        <f>7490 / 86400</f>
        <v>8.6689814814814817E-2</v>
      </c>
    </row>
    <row r="275" spans="1:12" x14ac:dyDescent="0.25">
      <c r="A275" s="12"/>
      <c r="B275" s="12"/>
      <c r="C275" s="12"/>
      <c r="D275" s="12"/>
      <c r="E275" s="12"/>
      <c r="F275" s="12"/>
      <c r="G275" s="12"/>
      <c r="H275" s="12"/>
      <c r="I275" s="12"/>
      <c r="J275" s="12"/>
    </row>
    <row r="276" spans="1:12" x14ac:dyDescent="0.25">
      <c r="A276" s="12"/>
      <c r="B276" s="12"/>
      <c r="C276" s="12"/>
      <c r="D276" s="12"/>
      <c r="E276" s="12"/>
      <c r="F276" s="12"/>
      <c r="G276" s="12"/>
      <c r="H276" s="12"/>
      <c r="I276" s="12"/>
      <c r="J276" s="12"/>
    </row>
    <row r="277" spans="1:12" s="10" customFormat="1" ht="20.100000000000001" customHeight="1" x14ac:dyDescent="0.35">
      <c r="A277" s="15" t="s">
        <v>316</v>
      </c>
      <c r="B277" s="15"/>
      <c r="C277" s="15"/>
      <c r="D277" s="15"/>
      <c r="E277" s="15"/>
      <c r="F277" s="15"/>
      <c r="G277" s="15"/>
      <c r="H277" s="15"/>
      <c r="I277" s="15"/>
      <c r="J277" s="15"/>
    </row>
    <row r="278" spans="1:12" x14ac:dyDescent="0.25">
      <c r="A278" s="12"/>
      <c r="B278" s="12"/>
      <c r="C278" s="12"/>
      <c r="D278" s="12"/>
      <c r="E278" s="12"/>
      <c r="F278" s="12"/>
      <c r="G278" s="12"/>
      <c r="H278" s="12"/>
      <c r="I278" s="12"/>
      <c r="J278" s="12"/>
    </row>
    <row r="279" spans="1:12" ht="30" x14ac:dyDescent="0.25">
      <c r="A279" s="2" t="s">
        <v>6</v>
      </c>
      <c r="B279" s="2" t="s">
        <v>7</v>
      </c>
      <c r="C279" s="2" t="s">
        <v>8</v>
      </c>
      <c r="D279" s="2" t="s">
        <v>9</v>
      </c>
      <c r="E279" s="2" t="s">
        <v>10</v>
      </c>
      <c r="F279" s="2" t="s">
        <v>11</v>
      </c>
      <c r="G279" s="2" t="s">
        <v>12</v>
      </c>
      <c r="H279" s="2" t="s">
        <v>13</v>
      </c>
      <c r="I279" s="2" t="s">
        <v>14</v>
      </c>
      <c r="J279" s="2" t="s">
        <v>15</v>
      </c>
      <c r="K279" s="2" t="s">
        <v>16</v>
      </c>
      <c r="L279" s="2" t="s">
        <v>17</v>
      </c>
    </row>
    <row r="280" spans="1:12" x14ac:dyDescent="0.25">
      <c r="A280" s="3">
        <v>45700.259999999995</v>
      </c>
      <c r="B280" t="s">
        <v>50</v>
      </c>
      <c r="C280" s="3">
        <v>45700.262384259258</v>
      </c>
      <c r="D280" t="s">
        <v>199</v>
      </c>
      <c r="E280" s="4">
        <v>0.35199999999999998</v>
      </c>
      <c r="F280" s="4">
        <v>425892.14799999999</v>
      </c>
      <c r="G280" s="4">
        <v>425892.5</v>
      </c>
      <c r="H280" s="5">
        <f>80 / 86400</f>
        <v>9.2592592592592596E-4</v>
      </c>
      <c r="I280" t="s">
        <v>34</v>
      </c>
      <c r="J280" t="s">
        <v>131</v>
      </c>
      <c r="K280" s="5">
        <f>205 / 86400</f>
        <v>2.3726851851851851E-3</v>
      </c>
      <c r="L280" s="5">
        <f>22825 / 86400</f>
        <v>0.26417824074074076</v>
      </c>
    </row>
    <row r="281" spans="1:12" x14ac:dyDescent="0.25">
      <c r="A281" s="3">
        <v>45700.266562500001</v>
      </c>
      <c r="B281" t="s">
        <v>199</v>
      </c>
      <c r="C281" s="3">
        <v>45700.347685185188</v>
      </c>
      <c r="D281" t="s">
        <v>107</v>
      </c>
      <c r="E281" s="4">
        <v>45.615000000000002</v>
      </c>
      <c r="F281" s="4">
        <v>425892.5</v>
      </c>
      <c r="G281" s="4">
        <v>425938.11499999999</v>
      </c>
      <c r="H281" s="5">
        <f>1281 / 86400</f>
        <v>1.4826388888888889E-2</v>
      </c>
      <c r="I281" t="s">
        <v>51</v>
      </c>
      <c r="J281" t="s">
        <v>116</v>
      </c>
      <c r="K281" s="5">
        <f>7009 / 86400</f>
        <v>8.1122685185185187E-2</v>
      </c>
      <c r="L281" s="5">
        <f>1970 / 86400</f>
        <v>2.2800925925925926E-2</v>
      </c>
    </row>
    <row r="282" spans="1:12" x14ac:dyDescent="0.25">
      <c r="A282" s="3">
        <v>45700.370486111111</v>
      </c>
      <c r="B282" t="s">
        <v>107</v>
      </c>
      <c r="C282" s="3">
        <v>45700.379965277782</v>
      </c>
      <c r="D282" t="s">
        <v>138</v>
      </c>
      <c r="E282" s="4">
        <v>2.1080000000000001</v>
      </c>
      <c r="F282" s="4">
        <v>425938.11499999999</v>
      </c>
      <c r="G282" s="4">
        <v>425940.223</v>
      </c>
      <c r="H282" s="5">
        <f>259 / 86400</f>
        <v>2.9976851851851853E-3</v>
      </c>
      <c r="I282" t="s">
        <v>200</v>
      </c>
      <c r="J282" t="s">
        <v>137</v>
      </c>
      <c r="K282" s="5">
        <f>818 / 86400</f>
        <v>9.4675925925925934E-3</v>
      </c>
      <c r="L282" s="5">
        <f>601 / 86400</f>
        <v>6.9560185185185185E-3</v>
      </c>
    </row>
    <row r="283" spans="1:12" x14ac:dyDescent="0.25">
      <c r="A283" s="3">
        <v>45700.386921296296</v>
      </c>
      <c r="B283" t="s">
        <v>138</v>
      </c>
      <c r="C283" s="3">
        <v>45700.387210648143</v>
      </c>
      <c r="D283" t="s">
        <v>138</v>
      </c>
      <c r="E283" s="4">
        <v>0</v>
      </c>
      <c r="F283" s="4">
        <v>425940.223</v>
      </c>
      <c r="G283" s="4">
        <v>425940.223</v>
      </c>
      <c r="H283" s="5">
        <f>19 / 86400</f>
        <v>2.199074074074074E-4</v>
      </c>
      <c r="I283" t="s">
        <v>42</v>
      </c>
      <c r="J283" t="s">
        <v>42</v>
      </c>
      <c r="K283" s="5">
        <f>24 / 86400</f>
        <v>2.7777777777777778E-4</v>
      </c>
      <c r="L283" s="5">
        <f>780 / 86400</f>
        <v>9.0277777777777769E-3</v>
      </c>
    </row>
    <row r="284" spans="1:12" x14ac:dyDescent="0.25">
      <c r="A284" s="3">
        <v>45700.396238425921</v>
      </c>
      <c r="B284" t="s">
        <v>138</v>
      </c>
      <c r="C284" s="3">
        <v>45700.476689814815</v>
      </c>
      <c r="D284" t="s">
        <v>201</v>
      </c>
      <c r="E284" s="4">
        <v>39.305999999999997</v>
      </c>
      <c r="F284" s="4">
        <v>425940.223</v>
      </c>
      <c r="G284" s="4">
        <v>425979.52899999998</v>
      </c>
      <c r="H284" s="5">
        <f>1662 / 86400</f>
        <v>1.923611111111111E-2</v>
      </c>
      <c r="I284" t="s">
        <v>159</v>
      </c>
      <c r="J284" t="s">
        <v>70</v>
      </c>
      <c r="K284" s="5">
        <f>6950 / 86400</f>
        <v>8.0439814814814811E-2</v>
      </c>
      <c r="L284" s="5">
        <f>27 / 86400</f>
        <v>3.1250000000000001E-4</v>
      </c>
    </row>
    <row r="285" spans="1:12" x14ac:dyDescent="0.25">
      <c r="A285" s="3">
        <v>45700.477002314816</v>
      </c>
      <c r="B285" t="s">
        <v>201</v>
      </c>
      <c r="C285" s="3">
        <v>45700.519305555557</v>
      </c>
      <c r="D285" t="s">
        <v>202</v>
      </c>
      <c r="E285" s="4">
        <v>12.137</v>
      </c>
      <c r="F285" s="4">
        <v>425979.52899999998</v>
      </c>
      <c r="G285" s="4">
        <v>425991.66600000003</v>
      </c>
      <c r="H285" s="5">
        <f>1299 / 86400</f>
        <v>1.5034722222222222E-2</v>
      </c>
      <c r="I285" t="s">
        <v>168</v>
      </c>
      <c r="J285" t="s">
        <v>55</v>
      </c>
      <c r="K285" s="5">
        <f>3654 / 86400</f>
        <v>4.2291666666666665E-2</v>
      </c>
      <c r="L285" s="5">
        <f>410 / 86400</f>
        <v>4.7453703703703703E-3</v>
      </c>
    </row>
    <row r="286" spans="1:12" x14ac:dyDescent="0.25">
      <c r="A286" s="3">
        <v>45700.524050925931</v>
      </c>
      <c r="B286" t="s">
        <v>202</v>
      </c>
      <c r="C286" s="3">
        <v>45700.589247685188</v>
      </c>
      <c r="D286" t="s">
        <v>203</v>
      </c>
      <c r="E286" s="4">
        <v>21.158999999999999</v>
      </c>
      <c r="F286" s="4">
        <v>425991.66600000003</v>
      </c>
      <c r="G286" s="4">
        <v>426012.82500000001</v>
      </c>
      <c r="H286" s="5">
        <f>1721 / 86400</f>
        <v>1.9918981481481482E-2</v>
      </c>
      <c r="I286" t="s">
        <v>174</v>
      </c>
      <c r="J286" t="s">
        <v>39</v>
      </c>
      <c r="K286" s="5">
        <f>5633 / 86400</f>
        <v>6.519675925925926E-2</v>
      </c>
      <c r="L286" s="5">
        <f>424 / 86400</f>
        <v>4.9074074074074072E-3</v>
      </c>
    </row>
    <row r="287" spans="1:12" x14ac:dyDescent="0.25">
      <c r="A287" s="3">
        <v>45700.594155092593</v>
      </c>
      <c r="B287" t="s">
        <v>203</v>
      </c>
      <c r="C287" s="3">
        <v>45700.595300925925</v>
      </c>
      <c r="D287" t="s">
        <v>203</v>
      </c>
      <c r="E287" s="4">
        <v>8.6999999999999994E-2</v>
      </c>
      <c r="F287" s="4">
        <v>426012.82500000001</v>
      </c>
      <c r="G287" s="4">
        <v>426012.91200000001</v>
      </c>
      <c r="H287" s="5">
        <f>39 / 86400</f>
        <v>4.5138888888888887E-4</v>
      </c>
      <c r="I287" t="s">
        <v>164</v>
      </c>
      <c r="J287" t="s">
        <v>77</v>
      </c>
      <c r="K287" s="5">
        <f>98 / 86400</f>
        <v>1.1342592592592593E-3</v>
      </c>
      <c r="L287" s="5">
        <f>201 / 86400</f>
        <v>2.3263888888888887E-3</v>
      </c>
    </row>
    <row r="288" spans="1:12" x14ac:dyDescent="0.25">
      <c r="A288" s="3">
        <v>45700.597627314812</v>
      </c>
      <c r="B288" t="s">
        <v>203</v>
      </c>
      <c r="C288" s="3">
        <v>45700.600439814814</v>
      </c>
      <c r="D288" t="s">
        <v>18</v>
      </c>
      <c r="E288" s="4">
        <v>0.99099999999999999</v>
      </c>
      <c r="F288" s="4">
        <v>426012.91200000001</v>
      </c>
      <c r="G288" s="4">
        <v>426013.90299999999</v>
      </c>
      <c r="H288" s="5">
        <f>39 / 86400</f>
        <v>4.5138888888888887E-4</v>
      </c>
      <c r="I288" t="s">
        <v>140</v>
      </c>
      <c r="J288" t="s">
        <v>20</v>
      </c>
      <c r="K288" s="5">
        <f>242 / 86400</f>
        <v>2.8009259259259259E-3</v>
      </c>
      <c r="L288" s="5">
        <f>4931 / 86400</f>
        <v>5.707175925925926E-2</v>
      </c>
    </row>
    <row r="289" spans="1:12" x14ac:dyDescent="0.25">
      <c r="A289" s="3">
        <v>45700.657511574071</v>
      </c>
      <c r="B289" t="s">
        <v>18</v>
      </c>
      <c r="C289" s="3">
        <v>45700.658101851848</v>
      </c>
      <c r="D289" t="s">
        <v>18</v>
      </c>
      <c r="E289" s="4">
        <v>0</v>
      </c>
      <c r="F289" s="4">
        <v>426013.90299999999</v>
      </c>
      <c r="G289" s="4">
        <v>426013.90299999999</v>
      </c>
      <c r="H289" s="5">
        <f>39 / 86400</f>
        <v>4.5138888888888887E-4</v>
      </c>
      <c r="I289" t="s">
        <v>42</v>
      </c>
      <c r="J289" t="s">
        <v>42</v>
      </c>
      <c r="K289" s="5">
        <f>51 / 86400</f>
        <v>5.9027777777777778E-4</v>
      </c>
      <c r="L289" s="5">
        <f>1582 / 86400</f>
        <v>1.8310185185185186E-2</v>
      </c>
    </row>
    <row r="290" spans="1:12" x14ac:dyDescent="0.25">
      <c r="A290" s="3">
        <v>45700.676412037035</v>
      </c>
      <c r="B290" t="s">
        <v>18</v>
      </c>
      <c r="C290" s="3">
        <v>45700.676516203705</v>
      </c>
      <c r="D290" t="s">
        <v>18</v>
      </c>
      <c r="E290" s="4">
        <v>0</v>
      </c>
      <c r="F290" s="4">
        <v>426013.90299999999</v>
      </c>
      <c r="G290" s="4">
        <v>426013.90299999999</v>
      </c>
      <c r="H290" s="5">
        <f>0 / 86400</f>
        <v>0</v>
      </c>
      <c r="I290" t="s">
        <v>42</v>
      </c>
      <c r="J290" t="s">
        <v>42</v>
      </c>
      <c r="K290" s="5">
        <f>9 / 86400</f>
        <v>1.0416666666666667E-4</v>
      </c>
      <c r="L290" s="5">
        <f>9556 / 86400</f>
        <v>0.11060185185185185</v>
      </c>
    </row>
    <row r="291" spans="1:12" x14ac:dyDescent="0.25">
      <c r="A291" s="3">
        <v>45700.787118055552</v>
      </c>
      <c r="B291" t="s">
        <v>18</v>
      </c>
      <c r="C291" s="3">
        <v>45700.78738425926</v>
      </c>
      <c r="D291" t="s">
        <v>18</v>
      </c>
      <c r="E291" s="4">
        <v>0</v>
      </c>
      <c r="F291" s="4">
        <v>426013.90299999999</v>
      </c>
      <c r="G291" s="4">
        <v>426013.90299999999</v>
      </c>
      <c r="H291" s="5">
        <f>19 / 86400</f>
        <v>2.199074074074074E-4</v>
      </c>
      <c r="I291" t="s">
        <v>42</v>
      </c>
      <c r="J291" t="s">
        <v>42</v>
      </c>
      <c r="K291" s="5">
        <f>22 / 86400</f>
        <v>2.5462962962962961E-4</v>
      </c>
      <c r="L291" s="5">
        <f>74 / 86400</f>
        <v>8.564814814814815E-4</v>
      </c>
    </row>
    <row r="292" spans="1:12" x14ac:dyDescent="0.25">
      <c r="A292" s="3">
        <v>45700.788240740745</v>
      </c>
      <c r="B292" t="s">
        <v>18</v>
      </c>
      <c r="C292" s="3">
        <v>45700.794166666667</v>
      </c>
      <c r="D292" t="s">
        <v>50</v>
      </c>
      <c r="E292" s="4">
        <v>1.0549999999999999</v>
      </c>
      <c r="F292" s="4">
        <v>426013.90299999999</v>
      </c>
      <c r="G292" s="4">
        <v>426014.95799999998</v>
      </c>
      <c r="H292" s="5">
        <f>159 / 86400</f>
        <v>1.8402777777777777E-3</v>
      </c>
      <c r="I292" t="s">
        <v>28</v>
      </c>
      <c r="J292" t="s">
        <v>143</v>
      </c>
      <c r="K292" s="5">
        <f>511 / 86400</f>
        <v>5.9143518518518521E-3</v>
      </c>
      <c r="L292" s="5">
        <f>868 / 86400</f>
        <v>1.0046296296296296E-2</v>
      </c>
    </row>
    <row r="293" spans="1:12" x14ac:dyDescent="0.25">
      <c r="A293" s="3">
        <v>45700.804212962961</v>
      </c>
      <c r="B293" t="s">
        <v>50</v>
      </c>
      <c r="C293" s="3">
        <v>45700.804513888885</v>
      </c>
      <c r="D293" t="s">
        <v>50</v>
      </c>
      <c r="E293" s="4">
        <v>0</v>
      </c>
      <c r="F293" s="4">
        <v>426014.95799999998</v>
      </c>
      <c r="G293" s="4">
        <v>426014.95799999998</v>
      </c>
      <c r="H293" s="5">
        <f>19 / 86400</f>
        <v>2.199074074074074E-4</v>
      </c>
      <c r="I293" t="s">
        <v>42</v>
      </c>
      <c r="J293" t="s">
        <v>42</v>
      </c>
      <c r="K293" s="5">
        <f>25 / 86400</f>
        <v>2.8935185185185184E-4</v>
      </c>
      <c r="L293" s="5">
        <f>313 / 86400</f>
        <v>3.6226851851851854E-3</v>
      </c>
    </row>
    <row r="294" spans="1:12" x14ac:dyDescent="0.25">
      <c r="A294" s="3">
        <v>45700.808136574073</v>
      </c>
      <c r="B294" t="s">
        <v>50</v>
      </c>
      <c r="C294" s="3">
        <v>45700.810196759259</v>
      </c>
      <c r="D294" t="s">
        <v>50</v>
      </c>
      <c r="E294" s="4">
        <v>1.6E-2</v>
      </c>
      <c r="F294" s="4">
        <v>426014.95799999998</v>
      </c>
      <c r="G294" s="4">
        <v>426014.97399999999</v>
      </c>
      <c r="H294" s="5">
        <f>119 / 86400</f>
        <v>1.3773148148148147E-3</v>
      </c>
      <c r="I294" t="s">
        <v>150</v>
      </c>
      <c r="J294" t="s">
        <v>42</v>
      </c>
      <c r="K294" s="5">
        <f>178 / 86400</f>
        <v>2.0601851851851853E-3</v>
      </c>
      <c r="L294" s="5">
        <f>16398 / 86400</f>
        <v>0.18979166666666666</v>
      </c>
    </row>
    <row r="295" spans="1:12" x14ac:dyDescent="0.25">
      <c r="A295" s="12"/>
      <c r="B295" s="12"/>
      <c r="C295" s="12"/>
      <c r="D295" s="12"/>
      <c r="E295" s="12"/>
      <c r="F295" s="12"/>
      <c r="G295" s="12"/>
      <c r="H295" s="12"/>
      <c r="I295" s="12"/>
      <c r="J295" s="12"/>
    </row>
    <row r="296" spans="1:12" x14ac:dyDescent="0.25">
      <c r="A296" s="12"/>
      <c r="B296" s="12"/>
      <c r="C296" s="12"/>
      <c r="D296" s="12"/>
      <c r="E296" s="12"/>
      <c r="F296" s="12"/>
      <c r="G296" s="12"/>
      <c r="H296" s="12"/>
      <c r="I296" s="12"/>
      <c r="J296" s="12"/>
    </row>
    <row r="297" spans="1:12" s="10" customFormat="1" ht="20.100000000000001" customHeight="1" x14ac:dyDescent="0.35">
      <c r="A297" s="15" t="s">
        <v>317</v>
      </c>
      <c r="B297" s="15"/>
      <c r="C297" s="15"/>
      <c r="D297" s="15"/>
      <c r="E297" s="15"/>
      <c r="F297" s="15"/>
      <c r="G297" s="15"/>
      <c r="H297" s="15"/>
      <c r="I297" s="15"/>
      <c r="J297" s="15"/>
    </row>
    <row r="298" spans="1:12" x14ac:dyDescent="0.25">
      <c r="A298" s="12"/>
      <c r="B298" s="12"/>
      <c r="C298" s="12"/>
      <c r="D298" s="12"/>
      <c r="E298" s="12"/>
      <c r="F298" s="12"/>
      <c r="G298" s="12"/>
      <c r="H298" s="12"/>
      <c r="I298" s="12"/>
      <c r="J298" s="12"/>
    </row>
    <row r="299" spans="1:12" ht="30" x14ac:dyDescent="0.25">
      <c r="A299" s="2" t="s">
        <v>6</v>
      </c>
      <c r="B299" s="2" t="s">
        <v>7</v>
      </c>
      <c r="C299" s="2" t="s">
        <v>8</v>
      </c>
      <c r="D299" s="2" t="s">
        <v>9</v>
      </c>
      <c r="E299" s="2" t="s">
        <v>10</v>
      </c>
      <c r="F299" s="2" t="s">
        <v>11</v>
      </c>
      <c r="G299" s="2" t="s">
        <v>12</v>
      </c>
      <c r="H299" s="2" t="s">
        <v>13</v>
      </c>
      <c r="I299" s="2" t="s">
        <v>14</v>
      </c>
      <c r="J299" s="2" t="s">
        <v>15</v>
      </c>
      <c r="K299" s="2" t="s">
        <v>16</v>
      </c>
      <c r="L299" s="2" t="s">
        <v>17</v>
      </c>
    </row>
    <row r="300" spans="1:12" x14ac:dyDescent="0.25">
      <c r="A300" s="3">
        <v>45700.177557870367</v>
      </c>
      <c r="B300" t="s">
        <v>52</v>
      </c>
      <c r="C300" s="3">
        <v>45700.187303240746</v>
      </c>
      <c r="D300" t="s">
        <v>204</v>
      </c>
      <c r="E300" s="4">
        <v>2.9729999999999999</v>
      </c>
      <c r="F300" s="4">
        <v>138435.07500000001</v>
      </c>
      <c r="G300" s="4">
        <v>138438.04800000001</v>
      </c>
      <c r="H300" s="5">
        <f>338 / 86400</f>
        <v>3.9120370370370368E-3</v>
      </c>
      <c r="I300" t="s">
        <v>153</v>
      </c>
      <c r="J300" t="s">
        <v>46</v>
      </c>
      <c r="K300" s="5">
        <f>842 / 86400</f>
        <v>9.7453703703703695E-3</v>
      </c>
      <c r="L300" s="5">
        <f>16860 / 86400</f>
        <v>0.19513888888888889</v>
      </c>
    </row>
    <row r="301" spans="1:12" x14ac:dyDescent="0.25">
      <c r="A301" s="3">
        <v>45700.204884259263</v>
      </c>
      <c r="B301" t="s">
        <v>204</v>
      </c>
      <c r="C301" s="3">
        <v>45700.395902777775</v>
      </c>
      <c r="D301" t="s">
        <v>62</v>
      </c>
      <c r="E301" s="4">
        <v>81.73</v>
      </c>
      <c r="F301" s="4">
        <v>138438.04800000001</v>
      </c>
      <c r="G301" s="4">
        <v>138519.77799999999</v>
      </c>
      <c r="H301" s="5">
        <f>5259 / 86400</f>
        <v>6.0868055555555557E-2</v>
      </c>
      <c r="I301" t="s">
        <v>30</v>
      </c>
      <c r="J301" t="s">
        <v>31</v>
      </c>
      <c r="K301" s="5">
        <f>16503 / 86400</f>
        <v>0.19100694444444444</v>
      </c>
      <c r="L301" s="5">
        <f>167 / 86400</f>
        <v>1.9328703703703704E-3</v>
      </c>
    </row>
    <row r="302" spans="1:12" x14ac:dyDescent="0.25">
      <c r="A302" s="3">
        <v>45700.397835648153</v>
      </c>
      <c r="B302" t="s">
        <v>62</v>
      </c>
      <c r="C302" s="3">
        <v>45700.398819444439</v>
      </c>
      <c r="D302" t="s">
        <v>62</v>
      </c>
      <c r="E302" s="4">
        <v>0.113</v>
      </c>
      <c r="F302" s="4">
        <v>138519.77799999999</v>
      </c>
      <c r="G302" s="4">
        <v>138519.891</v>
      </c>
      <c r="H302" s="5">
        <f>0 / 86400</f>
        <v>0</v>
      </c>
      <c r="I302" t="s">
        <v>137</v>
      </c>
      <c r="J302" t="s">
        <v>149</v>
      </c>
      <c r="K302" s="5">
        <f>84 / 86400</f>
        <v>9.7222222222222219E-4</v>
      </c>
      <c r="L302" s="5">
        <f>513 / 86400</f>
        <v>5.9375000000000001E-3</v>
      </c>
    </row>
    <row r="303" spans="1:12" x14ac:dyDescent="0.25">
      <c r="A303" s="3">
        <v>45700.404756944445</v>
      </c>
      <c r="B303" t="s">
        <v>62</v>
      </c>
      <c r="C303" s="3">
        <v>45700.40792824074</v>
      </c>
      <c r="D303" t="s">
        <v>43</v>
      </c>
      <c r="E303" s="4">
        <v>0.88600000000000001</v>
      </c>
      <c r="F303" s="4">
        <v>138519.891</v>
      </c>
      <c r="G303" s="4">
        <v>138520.777</v>
      </c>
      <c r="H303" s="5">
        <f>60 / 86400</f>
        <v>6.9444444444444447E-4</v>
      </c>
      <c r="I303" t="s">
        <v>181</v>
      </c>
      <c r="J303" t="s">
        <v>55</v>
      </c>
      <c r="K303" s="5">
        <f>274 / 86400</f>
        <v>3.1712962962962962E-3</v>
      </c>
      <c r="L303" s="5">
        <f>2504 / 86400</f>
        <v>2.8981481481481483E-2</v>
      </c>
    </row>
    <row r="304" spans="1:12" x14ac:dyDescent="0.25">
      <c r="A304" s="3">
        <v>45700.436909722222</v>
      </c>
      <c r="B304" t="s">
        <v>43</v>
      </c>
      <c r="C304" s="3">
        <v>45700.440671296295</v>
      </c>
      <c r="D304" t="s">
        <v>135</v>
      </c>
      <c r="E304" s="4">
        <v>0.79600000000000004</v>
      </c>
      <c r="F304" s="4">
        <v>138520.777</v>
      </c>
      <c r="G304" s="4">
        <v>138521.573</v>
      </c>
      <c r="H304" s="5">
        <f>60 / 86400</f>
        <v>6.9444444444444447E-4</v>
      </c>
      <c r="I304" t="s">
        <v>136</v>
      </c>
      <c r="J304" t="s">
        <v>137</v>
      </c>
      <c r="K304" s="5">
        <f>324 / 86400</f>
        <v>3.7499999999999999E-3</v>
      </c>
      <c r="L304" s="5">
        <f>1497 / 86400</f>
        <v>1.7326388888888888E-2</v>
      </c>
    </row>
    <row r="305" spans="1:12" x14ac:dyDescent="0.25">
      <c r="A305" s="3">
        <v>45700.457997685182</v>
      </c>
      <c r="B305" t="s">
        <v>135</v>
      </c>
      <c r="C305" s="3">
        <v>45700.458587962959</v>
      </c>
      <c r="D305" t="s">
        <v>138</v>
      </c>
      <c r="E305" s="4">
        <v>3.3000000000000002E-2</v>
      </c>
      <c r="F305" s="4">
        <v>138521.573</v>
      </c>
      <c r="G305" s="4">
        <v>138521.606</v>
      </c>
      <c r="H305" s="5">
        <f>19 / 86400</f>
        <v>2.199074074074074E-4</v>
      </c>
      <c r="I305" t="s">
        <v>148</v>
      </c>
      <c r="J305" t="s">
        <v>128</v>
      </c>
      <c r="K305" s="5">
        <f>51 / 86400</f>
        <v>5.9027777777777778E-4</v>
      </c>
      <c r="L305" s="5">
        <f>2839 / 86400</f>
        <v>3.2858796296296296E-2</v>
      </c>
    </row>
    <row r="306" spans="1:12" x14ac:dyDescent="0.25">
      <c r="A306" s="3">
        <v>45700.491446759261</v>
      </c>
      <c r="B306" t="s">
        <v>138</v>
      </c>
      <c r="C306" s="3">
        <v>45700.732893518521</v>
      </c>
      <c r="D306" t="s">
        <v>160</v>
      </c>
      <c r="E306" s="4">
        <v>105.89100000000001</v>
      </c>
      <c r="F306" s="4">
        <v>138521.606</v>
      </c>
      <c r="G306" s="4">
        <v>138627.497</v>
      </c>
      <c r="H306" s="5">
        <f>6059 / 86400</f>
        <v>7.0127314814814809E-2</v>
      </c>
      <c r="I306" t="s">
        <v>53</v>
      </c>
      <c r="J306" t="s">
        <v>31</v>
      </c>
      <c r="K306" s="5">
        <f>20861 / 86400</f>
        <v>0.24144675925925926</v>
      </c>
      <c r="L306" s="5">
        <f>202 / 86400</f>
        <v>2.3379629629629631E-3</v>
      </c>
    </row>
    <row r="307" spans="1:12" x14ac:dyDescent="0.25">
      <c r="A307" s="3">
        <v>45700.735231481478</v>
      </c>
      <c r="B307" t="s">
        <v>160</v>
      </c>
      <c r="C307" s="3">
        <v>45700.735636574071</v>
      </c>
      <c r="D307" t="s">
        <v>160</v>
      </c>
      <c r="E307" s="4">
        <v>2.7E-2</v>
      </c>
      <c r="F307" s="4">
        <v>138627.497</v>
      </c>
      <c r="G307" s="4">
        <v>138627.524</v>
      </c>
      <c r="H307" s="5">
        <f>0 / 86400</f>
        <v>0</v>
      </c>
      <c r="I307" t="s">
        <v>143</v>
      </c>
      <c r="J307" t="s">
        <v>77</v>
      </c>
      <c r="K307" s="5">
        <f>34 / 86400</f>
        <v>3.9351851851851852E-4</v>
      </c>
      <c r="L307" s="5">
        <f>79 / 86400</f>
        <v>9.1435185185185185E-4</v>
      </c>
    </row>
    <row r="308" spans="1:12" x14ac:dyDescent="0.25">
      <c r="A308" s="3">
        <v>45700.736550925925</v>
      </c>
      <c r="B308" t="s">
        <v>160</v>
      </c>
      <c r="C308" s="3">
        <v>45700.748495370368</v>
      </c>
      <c r="D308" t="s">
        <v>52</v>
      </c>
      <c r="E308" s="4">
        <v>3.34</v>
      </c>
      <c r="F308" s="4">
        <v>138627.524</v>
      </c>
      <c r="G308" s="4">
        <v>138630.864</v>
      </c>
      <c r="H308" s="5">
        <f>379 / 86400</f>
        <v>4.386574074074074E-3</v>
      </c>
      <c r="I308" t="s">
        <v>205</v>
      </c>
      <c r="J308" t="s">
        <v>55</v>
      </c>
      <c r="K308" s="5">
        <f>1032 / 86400</f>
        <v>1.1944444444444445E-2</v>
      </c>
      <c r="L308" s="5">
        <f>21729 / 86400</f>
        <v>0.25149305555555557</v>
      </c>
    </row>
    <row r="309" spans="1:12" x14ac:dyDescent="0.25">
      <c r="A309" s="12"/>
      <c r="B309" s="12"/>
      <c r="C309" s="12"/>
      <c r="D309" s="12"/>
      <c r="E309" s="12"/>
      <c r="F309" s="12"/>
      <c r="G309" s="12"/>
      <c r="H309" s="12"/>
      <c r="I309" s="12"/>
      <c r="J309" s="12"/>
    </row>
    <row r="310" spans="1:12" x14ac:dyDescent="0.25">
      <c r="A310" s="12"/>
      <c r="B310" s="12"/>
      <c r="C310" s="12"/>
      <c r="D310" s="12"/>
      <c r="E310" s="12"/>
      <c r="F310" s="12"/>
      <c r="G310" s="12"/>
      <c r="H310" s="12"/>
      <c r="I310" s="12"/>
      <c r="J310" s="12"/>
    </row>
    <row r="311" spans="1:12" s="10" customFormat="1" ht="20.100000000000001" customHeight="1" x14ac:dyDescent="0.35">
      <c r="A311" s="15" t="s">
        <v>318</v>
      </c>
      <c r="B311" s="15"/>
      <c r="C311" s="15"/>
      <c r="D311" s="15"/>
      <c r="E311" s="15"/>
      <c r="F311" s="15"/>
      <c r="G311" s="15"/>
      <c r="H311" s="15"/>
      <c r="I311" s="15"/>
      <c r="J311" s="15"/>
    </row>
    <row r="312" spans="1:12" x14ac:dyDescent="0.25">
      <c r="A312" s="12"/>
      <c r="B312" s="12"/>
      <c r="C312" s="12"/>
      <c r="D312" s="12"/>
      <c r="E312" s="12"/>
      <c r="F312" s="12"/>
      <c r="G312" s="12"/>
      <c r="H312" s="12"/>
      <c r="I312" s="12"/>
      <c r="J312" s="12"/>
    </row>
    <row r="313" spans="1:12" ht="30" x14ac:dyDescent="0.25">
      <c r="A313" s="2" t="s">
        <v>6</v>
      </c>
      <c r="B313" s="2" t="s">
        <v>7</v>
      </c>
      <c r="C313" s="2" t="s">
        <v>8</v>
      </c>
      <c r="D313" s="2" t="s">
        <v>9</v>
      </c>
      <c r="E313" s="2" t="s">
        <v>10</v>
      </c>
      <c r="F313" s="2" t="s">
        <v>11</v>
      </c>
      <c r="G313" s="2" t="s">
        <v>12</v>
      </c>
      <c r="H313" s="2" t="s">
        <v>13</v>
      </c>
      <c r="I313" s="2" t="s">
        <v>14</v>
      </c>
      <c r="J313" s="2" t="s">
        <v>15</v>
      </c>
      <c r="K313" s="2" t="s">
        <v>16</v>
      </c>
      <c r="L313" s="2" t="s">
        <v>17</v>
      </c>
    </row>
    <row r="314" spans="1:12" x14ac:dyDescent="0.25">
      <c r="A314" s="3">
        <v>45700.250914351855</v>
      </c>
      <c r="B314" t="s">
        <v>29</v>
      </c>
      <c r="C314" s="3">
        <v>45700.254293981481</v>
      </c>
      <c r="D314" t="s">
        <v>29</v>
      </c>
      <c r="E314" s="4">
        <v>0</v>
      </c>
      <c r="F314" s="4">
        <v>5409.5659999999998</v>
      </c>
      <c r="G314" s="4">
        <v>5409.5659999999998</v>
      </c>
      <c r="H314" s="5">
        <f>279 / 86400</f>
        <v>3.2291666666666666E-3</v>
      </c>
      <c r="I314" t="s">
        <v>42</v>
      </c>
      <c r="J314" t="s">
        <v>42</v>
      </c>
      <c r="K314" s="5">
        <f>292 / 86400</f>
        <v>3.3796296296296296E-3</v>
      </c>
      <c r="L314" s="5">
        <f>22597 / 86400</f>
        <v>0.26153935185185184</v>
      </c>
    </row>
    <row r="315" spans="1:12" x14ac:dyDescent="0.25">
      <c r="A315" s="3">
        <v>45700.264918981484</v>
      </c>
      <c r="B315" t="s">
        <v>29</v>
      </c>
      <c r="C315" s="3">
        <v>45700.549930555557</v>
      </c>
      <c r="D315" t="s">
        <v>62</v>
      </c>
      <c r="E315" s="4">
        <v>83.603999999999999</v>
      </c>
      <c r="F315" s="4">
        <v>5409.5659999999998</v>
      </c>
      <c r="G315" s="4">
        <v>5493.17</v>
      </c>
      <c r="H315" s="5">
        <f>12157 / 86400</f>
        <v>0.14070601851851852</v>
      </c>
      <c r="I315" t="s">
        <v>54</v>
      </c>
      <c r="J315" t="s">
        <v>55</v>
      </c>
      <c r="K315" s="5">
        <f>24625 / 86400</f>
        <v>0.28501157407407407</v>
      </c>
      <c r="L315" s="5">
        <f>286 / 86400</f>
        <v>3.3101851851851851E-3</v>
      </c>
    </row>
    <row r="316" spans="1:12" x14ac:dyDescent="0.25">
      <c r="A316" s="3">
        <v>45700.553240740745</v>
      </c>
      <c r="B316" t="s">
        <v>62</v>
      </c>
      <c r="C316" s="3">
        <v>45700.55878472222</v>
      </c>
      <c r="D316" t="s">
        <v>138</v>
      </c>
      <c r="E316" s="4">
        <v>1.3620000000000001</v>
      </c>
      <c r="F316" s="4">
        <v>5493.17</v>
      </c>
      <c r="G316" s="4">
        <v>5494.5320000000002</v>
      </c>
      <c r="H316" s="5">
        <f>40 / 86400</f>
        <v>4.6296296296296298E-4</v>
      </c>
      <c r="I316" t="s">
        <v>116</v>
      </c>
      <c r="J316" t="s">
        <v>164</v>
      </c>
      <c r="K316" s="5">
        <f>479 / 86400</f>
        <v>5.5439814814814813E-3</v>
      </c>
      <c r="L316" s="5">
        <f>401 / 86400</f>
        <v>4.6412037037037038E-3</v>
      </c>
    </row>
    <row r="317" spans="1:12" x14ac:dyDescent="0.25">
      <c r="A317" s="3">
        <v>45700.563425925924</v>
      </c>
      <c r="B317" t="s">
        <v>138</v>
      </c>
      <c r="C317" s="3">
        <v>45700.565833333334</v>
      </c>
      <c r="D317" t="s">
        <v>183</v>
      </c>
      <c r="E317" s="4">
        <v>0.63100000000000001</v>
      </c>
      <c r="F317" s="4">
        <v>5494.5320000000002</v>
      </c>
      <c r="G317" s="4">
        <v>5495.1629999999996</v>
      </c>
      <c r="H317" s="5">
        <f>20 / 86400</f>
        <v>2.3148148148148149E-4</v>
      </c>
      <c r="I317" t="s">
        <v>28</v>
      </c>
      <c r="J317" t="s">
        <v>126</v>
      </c>
      <c r="K317" s="5">
        <f>207 / 86400</f>
        <v>2.3958333333333331E-3</v>
      </c>
      <c r="L317" s="5">
        <f>3168 / 86400</f>
        <v>3.6666666666666667E-2</v>
      </c>
    </row>
    <row r="318" spans="1:12" x14ac:dyDescent="0.25">
      <c r="A318" s="3">
        <v>45700.602500000001</v>
      </c>
      <c r="B318" t="s">
        <v>183</v>
      </c>
      <c r="C318" s="3">
        <v>45700.908553240741</v>
      </c>
      <c r="D318" t="s">
        <v>24</v>
      </c>
      <c r="E318" s="4">
        <v>94.781999999999996</v>
      </c>
      <c r="F318" s="4">
        <v>5495.1629999999996</v>
      </c>
      <c r="G318" s="4">
        <v>5589.9449999999997</v>
      </c>
      <c r="H318" s="5">
        <f>12477 / 86400</f>
        <v>0.14440972222222223</v>
      </c>
      <c r="I318" t="s">
        <v>172</v>
      </c>
      <c r="J318" t="s">
        <v>46</v>
      </c>
      <c r="K318" s="5">
        <f>26443 / 86400</f>
        <v>0.30605324074074075</v>
      </c>
      <c r="L318" s="5">
        <f>1046 / 86400</f>
        <v>1.2106481481481482E-2</v>
      </c>
    </row>
    <row r="319" spans="1:12" x14ac:dyDescent="0.25">
      <c r="A319" s="3">
        <v>45700.920659722222</v>
      </c>
      <c r="B319" t="s">
        <v>24</v>
      </c>
      <c r="C319" s="3">
        <v>45700.92597222222</v>
      </c>
      <c r="D319" t="s">
        <v>29</v>
      </c>
      <c r="E319" s="4">
        <v>0.45600000000000002</v>
      </c>
      <c r="F319" s="4">
        <v>5589.9449999999997</v>
      </c>
      <c r="G319" s="4">
        <v>5590.4009999999998</v>
      </c>
      <c r="H319" s="5">
        <f>339 / 86400</f>
        <v>3.9236111111111112E-3</v>
      </c>
      <c r="I319" t="s">
        <v>34</v>
      </c>
      <c r="J319" t="s">
        <v>133</v>
      </c>
      <c r="K319" s="5">
        <f>459 / 86400</f>
        <v>5.3125000000000004E-3</v>
      </c>
      <c r="L319" s="5">
        <f>6395 / 86400</f>
        <v>7.4016203703703709E-2</v>
      </c>
    </row>
    <row r="320" spans="1:12" x14ac:dyDescent="0.25">
      <c r="A320" s="12"/>
      <c r="B320" s="12"/>
      <c r="C320" s="12"/>
      <c r="D320" s="12"/>
      <c r="E320" s="12"/>
      <c r="F320" s="12"/>
      <c r="G320" s="12"/>
      <c r="H320" s="12"/>
      <c r="I320" s="12"/>
      <c r="J320" s="12"/>
    </row>
    <row r="321" spans="1:12" x14ac:dyDescent="0.25">
      <c r="A321" s="12"/>
      <c r="B321" s="12"/>
      <c r="C321" s="12"/>
      <c r="D321" s="12"/>
      <c r="E321" s="12"/>
      <c r="F321" s="12"/>
      <c r="G321" s="12"/>
      <c r="H321" s="12"/>
      <c r="I321" s="12"/>
      <c r="J321" s="12"/>
    </row>
    <row r="322" spans="1:12" s="10" customFormat="1" ht="20.100000000000001" customHeight="1" x14ac:dyDescent="0.35">
      <c r="A322" s="15" t="s">
        <v>319</v>
      </c>
      <c r="B322" s="15"/>
      <c r="C322" s="15"/>
      <c r="D322" s="15"/>
      <c r="E322" s="15"/>
      <c r="F322" s="15"/>
      <c r="G322" s="15"/>
      <c r="H322" s="15"/>
      <c r="I322" s="15"/>
      <c r="J322" s="15"/>
    </row>
    <row r="323" spans="1:12" x14ac:dyDescent="0.25">
      <c r="A323" s="12"/>
      <c r="B323" s="12"/>
      <c r="C323" s="12"/>
      <c r="D323" s="12"/>
      <c r="E323" s="12"/>
      <c r="F323" s="12"/>
      <c r="G323" s="12"/>
      <c r="H323" s="12"/>
      <c r="I323" s="12"/>
      <c r="J323" s="12"/>
    </row>
    <row r="324" spans="1:12" ht="30" x14ac:dyDescent="0.25">
      <c r="A324" s="2" t="s">
        <v>6</v>
      </c>
      <c r="B324" s="2" t="s">
        <v>7</v>
      </c>
      <c r="C324" s="2" t="s">
        <v>8</v>
      </c>
      <c r="D324" s="2" t="s">
        <v>9</v>
      </c>
      <c r="E324" s="2" t="s">
        <v>10</v>
      </c>
      <c r="F324" s="2" t="s">
        <v>11</v>
      </c>
      <c r="G324" s="2" t="s">
        <v>12</v>
      </c>
      <c r="H324" s="2" t="s">
        <v>13</v>
      </c>
      <c r="I324" s="2" t="s">
        <v>14</v>
      </c>
      <c r="J324" s="2" t="s">
        <v>15</v>
      </c>
      <c r="K324" s="2" t="s">
        <v>16</v>
      </c>
      <c r="L324" s="2" t="s">
        <v>17</v>
      </c>
    </row>
    <row r="325" spans="1:12" x14ac:dyDescent="0.25">
      <c r="A325" s="3">
        <v>45700.208437499998</v>
      </c>
      <c r="B325" t="s">
        <v>32</v>
      </c>
      <c r="C325" s="3">
        <v>45700.454942129625</v>
      </c>
      <c r="D325" t="s">
        <v>92</v>
      </c>
      <c r="E325" s="4">
        <v>81.308000000000007</v>
      </c>
      <c r="F325" s="4">
        <v>386774.33100000001</v>
      </c>
      <c r="G325" s="4">
        <v>386855.63900000002</v>
      </c>
      <c r="H325" s="5">
        <f>8824 / 86400</f>
        <v>0.10212962962962963</v>
      </c>
      <c r="I325" t="s">
        <v>56</v>
      </c>
      <c r="J325" t="s">
        <v>39</v>
      </c>
      <c r="K325" s="5">
        <f>21298 / 86400</f>
        <v>0.24650462962962963</v>
      </c>
      <c r="L325" s="5">
        <f>20611 / 86400</f>
        <v>0.23855324074074075</v>
      </c>
    </row>
    <row r="326" spans="1:12" x14ac:dyDescent="0.25">
      <c r="A326" s="3">
        <v>45700.48505787037</v>
      </c>
      <c r="B326" t="s">
        <v>92</v>
      </c>
      <c r="C326" s="3">
        <v>45700.486261574071</v>
      </c>
      <c r="D326" t="s">
        <v>92</v>
      </c>
      <c r="E326" s="4">
        <v>0.108</v>
      </c>
      <c r="F326" s="4">
        <v>386855.63900000002</v>
      </c>
      <c r="G326" s="4">
        <v>386855.74699999997</v>
      </c>
      <c r="H326" s="5">
        <f>40 / 86400</f>
        <v>4.6296296296296298E-4</v>
      </c>
      <c r="I326" t="s">
        <v>164</v>
      </c>
      <c r="J326" t="s">
        <v>133</v>
      </c>
      <c r="K326" s="5">
        <f>103 / 86400</f>
        <v>1.1921296296296296E-3</v>
      </c>
      <c r="L326" s="5">
        <f>87 / 86400</f>
        <v>1.0069444444444444E-3</v>
      </c>
    </row>
    <row r="327" spans="1:12" x14ac:dyDescent="0.25">
      <c r="A327" s="3">
        <v>45700.487268518518</v>
      </c>
      <c r="B327" t="s">
        <v>92</v>
      </c>
      <c r="C327" s="3">
        <v>45700.488611111112</v>
      </c>
      <c r="D327" t="s">
        <v>92</v>
      </c>
      <c r="E327" s="4">
        <v>4.8000000000000001E-2</v>
      </c>
      <c r="F327" s="4">
        <v>386855.74699999997</v>
      </c>
      <c r="G327" s="4">
        <v>386855.79499999998</v>
      </c>
      <c r="H327" s="5">
        <f>59 / 86400</f>
        <v>6.8287037037037036E-4</v>
      </c>
      <c r="I327" t="s">
        <v>131</v>
      </c>
      <c r="J327" t="s">
        <v>128</v>
      </c>
      <c r="K327" s="5">
        <f>115 / 86400</f>
        <v>1.3310185185185185E-3</v>
      </c>
      <c r="L327" s="5">
        <f>242 / 86400</f>
        <v>2.8009259259259259E-3</v>
      </c>
    </row>
    <row r="328" spans="1:12" x14ac:dyDescent="0.25">
      <c r="A328" s="3">
        <v>45700.491412037038</v>
      </c>
      <c r="B328" t="s">
        <v>92</v>
      </c>
      <c r="C328" s="3">
        <v>45700.494618055556</v>
      </c>
      <c r="D328" t="s">
        <v>135</v>
      </c>
      <c r="E328" s="4">
        <v>1.2170000000000001</v>
      </c>
      <c r="F328" s="4">
        <v>386855.79499999998</v>
      </c>
      <c r="G328" s="4">
        <v>386857.01199999999</v>
      </c>
      <c r="H328" s="5">
        <f>0 / 86400</f>
        <v>0</v>
      </c>
      <c r="I328" t="s">
        <v>140</v>
      </c>
      <c r="J328" t="s">
        <v>34</v>
      </c>
      <c r="K328" s="5">
        <f>277 / 86400</f>
        <v>3.2060185185185186E-3</v>
      </c>
      <c r="L328" s="5">
        <f>1028 / 86400</f>
        <v>1.1898148148148149E-2</v>
      </c>
    </row>
    <row r="329" spans="1:12" x14ac:dyDescent="0.25">
      <c r="A329" s="3">
        <v>45700.506516203706</v>
      </c>
      <c r="B329" t="s">
        <v>135</v>
      </c>
      <c r="C329" s="3">
        <v>45700.609768518523</v>
      </c>
      <c r="D329" t="s">
        <v>206</v>
      </c>
      <c r="E329" s="4">
        <v>47.39</v>
      </c>
      <c r="F329" s="4">
        <v>386857.01199999999</v>
      </c>
      <c r="G329" s="4">
        <v>386904.402</v>
      </c>
      <c r="H329" s="5">
        <f>2580 / 86400</f>
        <v>2.9861111111111113E-2</v>
      </c>
      <c r="I329" t="s">
        <v>207</v>
      </c>
      <c r="J329" t="s">
        <v>23</v>
      </c>
      <c r="K329" s="5">
        <f>8920 / 86400</f>
        <v>0.10324074074074074</v>
      </c>
      <c r="L329" s="5">
        <f>92 / 86400</f>
        <v>1.0648148148148149E-3</v>
      </c>
    </row>
    <row r="330" spans="1:12" x14ac:dyDescent="0.25">
      <c r="A330" s="3">
        <v>45700.610833333332</v>
      </c>
      <c r="B330" t="s">
        <v>206</v>
      </c>
      <c r="C330" s="3">
        <v>45700.70517361111</v>
      </c>
      <c r="D330" t="s">
        <v>32</v>
      </c>
      <c r="E330" s="4">
        <v>39.552999999999997</v>
      </c>
      <c r="F330" s="4">
        <v>386904.402</v>
      </c>
      <c r="G330" s="4">
        <v>386943.95500000002</v>
      </c>
      <c r="H330" s="5">
        <f>2299 / 86400</f>
        <v>2.6608796296296297E-2</v>
      </c>
      <c r="I330" t="s">
        <v>207</v>
      </c>
      <c r="J330" t="s">
        <v>28</v>
      </c>
      <c r="K330" s="5">
        <f>8151 / 86400</f>
        <v>9.4340277777777773E-2</v>
      </c>
      <c r="L330" s="5">
        <f>518 / 86400</f>
        <v>5.9953703703703705E-3</v>
      </c>
    </row>
    <row r="331" spans="1:12" x14ac:dyDescent="0.25">
      <c r="A331" s="3">
        <v>45700.711168981477</v>
      </c>
      <c r="B331" t="s">
        <v>32</v>
      </c>
      <c r="C331" s="3">
        <v>45700.715046296296</v>
      </c>
      <c r="D331" t="s">
        <v>32</v>
      </c>
      <c r="E331" s="4">
        <v>1.36</v>
      </c>
      <c r="F331" s="4">
        <v>386943.95500000002</v>
      </c>
      <c r="G331" s="4">
        <v>386945.315</v>
      </c>
      <c r="H331" s="5">
        <f>80 / 86400</f>
        <v>9.2592592592592596E-4</v>
      </c>
      <c r="I331" t="s">
        <v>208</v>
      </c>
      <c r="J331" t="s">
        <v>20</v>
      </c>
      <c r="K331" s="5">
        <f>334 / 86400</f>
        <v>3.8657407407407408E-3</v>
      </c>
      <c r="L331" s="5">
        <f>888 / 86400</f>
        <v>1.0277777777777778E-2</v>
      </c>
    </row>
    <row r="332" spans="1:12" x14ac:dyDescent="0.25">
      <c r="A332" s="3">
        <v>45700.725324074076</v>
      </c>
      <c r="B332" t="s">
        <v>32</v>
      </c>
      <c r="C332" s="3">
        <v>45700.725486111114</v>
      </c>
      <c r="D332" t="s">
        <v>32</v>
      </c>
      <c r="E332" s="4">
        <v>5.0000000000000001E-3</v>
      </c>
      <c r="F332" s="4">
        <v>386945.315</v>
      </c>
      <c r="G332" s="4">
        <v>386945.32</v>
      </c>
      <c r="H332" s="5">
        <f>0 / 86400</f>
        <v>0</v>
      </c>
      <c r="I332" t="s">
        <v>42</v>
      </c>
      <c r="J332" t="s">
        <v>150</v>
      </c>
      <c r="K332" s="5">
        <f>14 / 86400</f>
        <v>1.6203703703703703E-4</v>
      </c>
      <c r="L332" s="5">
        <f>23717 / 86400</f>
        <v>0.2745023148148148</v>
      </c>
    </row>
    <row r="333" spans="1:12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  <row r="334" spans="1:12" x14ac:dyDescent="0.25">
      <c r="A334" s="12"/>
      <c r="B334" s="12"/>
      <c r="C334" s="12"/>
      <c r="D334" s="12"/>
      <c r="E334" s="12"/>
      <c r="F334" s="12"/>
      <c r="G334" s="12"/>
      <c r="H334" s="12"/>
      <c r="I334" s="12"/>
      <c r="J334" s="12"/>
    </row>
    <row r="335" spans="1:12" s="10" customFormat="1" ht="20.100000000000001" customHeight="1" x14ac:dyDescent="0.35">
      <c r="A335" s="15" t="s">
        <v>320</v>
      </c>
      <c r="B335" s="15"/>
      <c r="C335" s="15"/>
      <c r="D335" s="15"/>
      <c r="E335" s="15"/>
      <c r="F335" s="15"/>
      <c r="G335" s="15"/>
      <c r="H335" s="15"/>
      <c r="I335" s="15"/>
      <c r="J335" s="15"/>
    </row>
    <row r="336" spans="1:12" x14ac:dyDescent="0.25">
      <c r="A336" s="12"/>
      <c r="B336" s="12"/>
      <c r="C336" s="12"/>
      <c r="D336" s="12"/>
      <c r="E336" s="12"/>
      <c r="F336" s="12"/>
      <c r="G336" s="12"/>
      <c r="H336" s="12"/>
      <c r="I336" s="12"/>
      <c r="J336" s="12"/>
    </row>
    <row r="337" spans="1:12" ht="30" x14ac:dyDescent="0.25">
      <c r="A337" s="2" t="s">
        <v>6</v>
      </c>
      <c r="B337" s="2" t="s">
        <v>7</v>
      </c>
      <c r="C337" s="2" t="s">
        <v>8</v>
      </c>
      <c r="D337" s="2" t="s">
        <v>9</v>
      </c>
      <c r="E337" s="2" t="s">
        <v>10</v>
      </c>
      <c r="F337" s="2" t="s">
        <v>11</v>
      </c>
      <c r="G337" s="2" t="s">
        <v>12</v>
      </c>
      <c r="H337" s="2" t="s">
        <v>13</v>
      </c>
      <c r="I337" s="2" t="s">
        <v>14</v>
      </c>
      <c r="J337" s="2" t="s">
        <v>15</v>
      </c>
      <c r="K337" s="2" t="s">
        <v>16</v>
      </c>
      <c r="L337" s="2" t="s">
        <v>17</v>
      </c>
    </row>
    <row r="338" spans="1:12" x14ac:dyDescent="0.25">
      <c r="A338" s="3">
        <v>45700.147141203706</v>
      </c>
      <c r="B338" t="s">
        <v>57</v>
      </c>
      <c r="C338" s="3">
        <v>45700.29078703704</v>
      </c>
      <c r="D338" t="s">
        <v>135</v>
      </c>
      <c r="E338" s="4">
        <v>81.42</v>
      </c>
      <c r="F338" s="4">
        <v>522945.261</v>
      </c>
      <c r="G338" s="4">
        <v>523026.68099999998</v>
      </c>
      <c r="H338" s="5">
        <f>2519 / 86400</f>
        <v>2.9155092592592594E-2</v>
      </c>
      <c r="I338" t="s">
        <v>58</v>
      </c>
      <c r="J338" t="s">
        <v>176</v>
      </c>
      <c r="K338" s="5">
        <f>12411 / 86400</f>
        <v>0.14364583333333333</v>
      </c>
      <c r="L338" s="5">
        <f>14358 / 86400</f>
        <v>0.16618055555555555</v>
      </c>
    </row>
    <row r="339" spans="1:12" x14ac:dyDescent="0.25">
      <c r="A339" s="3">
        <v>45700.30982638889</v>
      </c>
      <c r="B339" t="s">
        <v>135</v>
      </c>
      <c r="C339" s="3">
        <v>45700.550995370373</v>
      </c>
      <c r="D339" t="s">
        <v>209</v>
      </c>
      <c r="E339" s="4">
        <v>97.058000000000007</v>
      </c>
      <c r="F339" s="4">
        <v>523026.68099999998</v>
      </c>
      <c r="G339" s="4">
        <v>523123.739</v>
      </c>
      <c r="H339" s="5">
        <f>6191 / 86400</f>
        <v>7.165509259259259E-2</v>
      </c>
      <c r="I339" t="s">
        <v>53</v>
      </c>
      <c r="J339" t="s">
        <v>28</v>
      </c>
      <c r="K339" s="5">
        <f>20837 / 86400</f>
        <v>0.24116898148148147</v>
      </c>
      <c r="L339" s="5">
        <f>4389 / 86400</f>
        <v>5.0798611111111114E-2</v>
      </c>
    </row>
    <row r="340" spans="1:12" x14ac:dyDescent="0.25">
      <c r="A340" s="3">
        <v>45700.601793981477</v>
      </c>
      <c r="B340" t="s">
        <v>209</v>
      </c>
      <c r="C340" s="3">
        <v>45700.644606481481</v>
      </c>
      <c r="D340" t="s">
        <v>24</v>
      </c>
      <c r="E340" s="4">
        <v>20.972000000000001</v>
      </c>
      <c r="F340" s="4">
        <v>523123.739</v>
      </c>
      <c r="G340" s="4">
        <v>523144.71100000001</v>
      </c>
      <c r="H340" s="5">
        <f>840 / 86400</f>
        <v>9.7222222222222224E-3</v>
      </c>
      <c r="I340" t="s">
        <v>157</v>
      </c>
      <c r="J340" t="s">
        <v>70</v>
      </c>
      <c r="K340" s="5">
        <f>3698 / 86400</f>
        <v>4.2800925925925923E-2</v>
      </c>
      <c r="L340" s="5">
        <f>635 / 86400</f>
        <v>7.3495370370370372E-3</v>
      </c>
    </row>
    <row r="341" spans="1:12" x14ac:dyDescent="0.25">
      <c r="A341" s="3">
        <v>45700.651956018519</v>
      </c>
      <c r="B341" t="s">
        <v>24</v>
      </c>
      <c r="C341" s="3">
        <v>45700.655104166668</v>
      </c>
      <c r="D341" t="s">
        <v>210</v>
      </c>
      <c r="E341" s="4">
        <v>1.5640000000000001</v>
      </c>
      <c r="F341" s="4">
        <v>523144.71100000001</v>
      </c>
      <c r="G341" s="4">
        <v>523146.27500000002</v>
      </c>
      <c r="H341" s="5">
        <f>20 / 86400</f>
        <v>2.3148148148148149E-4</v>
      </c>
      <c r="I341" t="s">
        <v>173</v>
      </c>
      <c r="J341" t="s">
        <v>124</v>
      </c>
      <c r="K341" s="5">
        <f>272 / 86400</f>
        <v>3.1481481481481482E-3</v>
      </c>
      <c r="L341" s="5">
        <f>4668 / 86400</f>
        <v>5.4027777777777779E-2</v>
      </c>
    </row>
    <row r="342" spans="1:12" x14ac:dyDescent="0.25">
      <c r="A342" s="3">
        <v>45700.709131944444</v>
      </c>
      <c r="B342" t="s">
        <v>210</v>
      </c>
      <c r="C342" s="3">
        <v>45700.713807870372</v>
      </c>
      <c r="D342" t="s">
        <v>57</v>
      </c>
      <c r="E342" s="4">
        <v>0.42199999999999999</v>
      </c>
      <c r="F342" s="4">
        <v>523146.27500000002</v>
      </c>
      <c r="G342" s="4">
        <v>523146.69699999999</v>
      </c>
      <c r="H342" s="5">
        <f>179 / 86400</f>
        <v>2.0717592592592593E-3</v>
      </c>
      <c r="I342" t="s">
        <v>55</v>
      </c>
      <c r="J342" t="s">
        <v>133</v>
      </c>
      <c r="K342" s="5">
        <f>404 / 86400</f>
        <v>4.6759259259259263E-3</v>
      </c>
      <c r="L342" s="5">
        <f>24726 / 86400</f>
        <v>0.28618055555555555</v>
      </c>
    </row>
    <row r="343" spans="1:12" x14ac:dyDescent="0.25">
      <c r="A343" s="12"/>
      <c r="B343" s="12"/>
      <c r="C343" s="12"/>
      <c r="D343" s="12"/>
      <c r="E343" s="12"/>
      <c r="F343" s="12"/>
      <c r="G343" s="12"/>
      <c r="H343" s="12"/>
      <c r="I343" s="12"/>
      <c r="J343" s="12"/>
    </row>
    <row r="344" spans="1:12" x14ac:dyDescent="0.25">
      <c r="A344" s="12"/>
      <c r="B344" s="12"/>
      <c r="C344" s="12"/>
      <c r="D344" s="12"/>
      <c r="E344" s="12"/>
      <c r="F344" s="12"/>
      <c r="G344" s="12"/>
      <c r="H344" s="12"/>
      <c r="I344" s="12"/>
      <c r="J344" s="12"/>
    </row>
    <row r="345" spans="1:12" s="10" customFormat="1" ht="20.100000000000001" customHeight="1" x14ac:dyDescent="0.35">
      <c r="A345" s="15" t="s">
        <v>321</v>
      </c>
      <c r="B345" s="15"/>
      <c r="C345" s="15"/>
      <c r="D345" s="15"/>
      <c r="E345" s="15"/>
      <c r="F345" s="15"/>
      <c r="G345" s="15"/>
      <c r="H345" s="15"/>
      <c r="I345" s="15"/>
      <c r="J345" s="15"/>
    </row>
    <row r="346" spans="1:12" x14ac:dyDescent="0.25">
      <c r="A346" s="12"/>
      <c r="B346" s="12"/>
      <c r="C346" s="12"/>
      <c r="D346" s="12"/>
      <c r="E346" s="12"/>
      <c r="F346" s="12"/>
      <c r="G346" s="12"/>
      <c r="H346" s="12"/>
      <c r="I346" s="12"/>
      <c r="J346" s="12"/>
    </row>
    <row r="347" spans="1:12" ht="30" x14ac:dyDescent="0.25">
      <c r="A347" s="2" t="s">
        <v>6</v>
      </c>
      <c r="B347" s="2" t="s">
        <v>7</v>
      </c>
      <c r="C347" s="2" t="s">
        <v>8</v>
      </c>
      <c r="D347" s="2" t="s">
        <v>9</v>
      </c>
      <c r="E347" s="2" t="s">
        <v>10</v>
      </c>
      <c r="F347" s="2" t="s">
        <v>11</v>
      </c>
      <c r="G347" s="2" t="s">
        <v>12</v>
      </c>
      <c r="H347" s="2" t="s">
        <v>13</v>
      </c>
      <c r="I347" s="2" t="s">
        <v>14</v>
      </c>
      <c r="J347" s="2" t="s">
        <v>15</v>
      </c>
      <c r="K347" s="2" t="s">
        <v>16</v>
      </c>
      <c r="L347" s="2" t="s">
        <v>17</v>
      </c>
    </row>
    <row r="348" spans="1:12" x14ac:dyDescent="0.25">
      <c r="A348" s="3">
        <v>45700.427002314813</v>
      </c>
      <c r="B348" t="s">
        <v>59</v>
      </c>
      <c r="C348" s="3">
        <v>45700.49291666667</v>
      </c>
      <c r="D348" t="s">
        <v>62</v>
      </c>
      <c r="E348" s="4">
        <v>25.978999999999999</v>
      </c>
      <c r="F348" s="4">
        <v>411545.321</v>
      </c>
      <c r="G348" s="4">
        <v>411571.3</v>
      </c>
      <c r="H348" s="5">
        <f>1840 / 86400</f>
        <v>2.1296296296296296E-2</v>
      </c>
      <c r="I348" t="s">
        <v>157</v>
      </c>
      <c r="J348" t="s">
        <v>34</v>
      </c>
      <c r="K348" s="5">
        <f>5695 / 86400</f>
        <v>6.5914351851851849E-2</v>
      </c>
      <c r="L348" s="5">
        <f>37455 / 86400</f>
        <v>0.43350694444444443</v>
      </c>
    </row>
    <row r="349" spans="1:12" x14ac:dyDescent="0.25">
      <c r="A349" s="3">
        <v>45700.499421296292</v>
      </c>
      <c r="B349" t="s">
        <v>62</v>
      </c>
      <c r="C349" s="3">
        <v>45700.502465277779</v>
      </c>
      <c r="D349" t="s">
        <v>197</v>
      </c>
      <c r="E349" s="4">
        <v>0.65100000000000002</v>
      </c>
      <c r="F349" s="4">
        <v>411571.3</v>
      </c>
      <c r="G349" s="4">
        <v>411571.951</v>
      </c>
      <c r="H349" s="5">
        <f>119 / 86400</f>
        <v>1.3773148148148147E-3</v>
      </c>
      <c r="I349" t="s">
        <v>211</v>
      </c>
      <c r="J349" t="s">
        <v>137</v>
      </c>
      <c r="K349" s="5">
        <f>262 / 86400</f>
        <v>3.0324074074074073E-3</v>
      </c>
      <c r="L349" s="5">
        <f>5279 / 86400</f>
        <v>6.1099537037037036E-2</v>
      </c>
    </row>
    <row r="350" spans="1:12" x14ac:dyDescent="0.25">
      <c r="A350" s="3">
        <v>45700.563564814816</v>
      </c>
      <c r="B350" t="s">
        <v>197</v>
      </c>
      <c r="C350" s="3">
        <v>45700.830983796295</v>
      </c>
      <c r="D350" t="s">
        <v>62</v>
      </c>
      <c r="E350" s="4">
        <v>99.537999999999997</v>
      </c>
      <c r="F350" s="4">
        <v>411571.951</v>
      </c>
      <c r="G350" s="4">
        <v>411671.489</v>
      </c>
      <c r="H350" s="5">
        <f>6519 / 86400</f>
        <v>7.5451388888888887E-2</v>
      </c>
      <c r="I350" t="s">
        <v>51</v>
      </c>
      <c r="J350" t="s">
        <v>34</v>
      </c>
      <c r="K350" s="5">
        <f>23105 / 86400</f>
        <v>0.26741898148148147</v>
      </c>
      <c r="L350" s="5">
        <f>566 / 86400</f>
        <v>6.5509259259259262E-3</v>
      </c>
    </row>
    <row r="351" spans="1:12" x14ac:dyDescent="0.25">
      <c r="A351" s="3">
        <v>45700.837534722217</v>
      </c>
      <c r="B351" t="s">
        <v>62</v>
      </c>
      <c r="C351" s="3">
        <v>45700.838726851856</v>
      </c>
      <c r="D351" t="s">
        <v>185</v>
      </c>
      <c r="E351" s="4">
        <v>0.23699999999999999</v>
      </c>
      <c r="F351" s="4">
        <v>411671.489</v>
      </c>
      <c r="G351" s="4">
        <v>411671.72600000002</v>
      </c>
      <c r="H351" s="5">
        <f>20 / 86400</f>
        <v>2.3148148148148149E-4</v>
      </c>
      <c r="I351" t="s">
        <v>23</v>
      </c>
      <c r="J351" t="s">
        <v>148</v>
      </c>
      <c r="K351" s="5">
        <f>103 / 86400</f>
        <v>1.1921296296296296E-3</v>
      </c>
      <c r="L351" s="5">
        <f>547 / 86400</f>
        <v>6.3310185185185188E-3</v>
      </c>
    </row>
    <row r="352" spans="1:12" x14ac:dyDescent="0.25">
      <c r="A352" s="3">
        <v>45700.845057870371</v>
      </c>
      <c r="B352" t="s">
        <v>185</v>
      </c>
      <c r="C352" s="3">
        <v>45700.99998842593</v>
      </c>
      <c r="D352" t="s">
        <v>60</v>
      </c>
      <c r="E352" s="4">
        <v>64.850999999999999</v>
      </c>
      <c r="F352" s="4">
        <v>411671.72600000002</v>
      </c>
      <c r="G352" s="4">
        <v>411736.57699999999</v>
      </c>
      <c r="H352" s="5">
        <f>3338 / 86400</f>
        <v>3.8634259259259257E-2</v>
      </c>
      <c r="I352" t="s">
        <v>184</v>
      </c>
      <c r="J352" t="s">
        <v>28</v>
      </c>
      <c r="K352" s="5">
        <f>13386 / 86400</f>
        <v>0.15493055555555554</v>
      </c>
      <c r="L352" s="5">
        <f>0 / 86400</f>
        <v>0</v>
      </c>
    </row>
    <row r="353" spans="1:12" x14ac:dyDescent="0.25">
      <c r="A353" s="12"/>
      <c r="B353" s="12"/>
      <c r="C353" s="12"/>
      <c r="D353" s="12"/>
      <c r="E353" s="12"/>
      <c r="F353" s="12"/>
      <c r="G353" s="12"/>
      <c r="H353" s="12"/>
      <c r="I353" s="12"/>
      <c r="J353" s="12"/>
    </row>
    <row r="354" spans="1:12" x14ac:dyDescent="0.25">
      <c r="A354" s="12"/>
      <c r="B354" s="12"/>
      <c r="C354" s="12"/>
      <c r="D354" s="12"/>
      <c r="E354" s="12"/>
      <c r="F354" s="12"/>
      <c r="G354" s="12"/>
      <c r="H354" s="12"/>
      <c r="I354" s="12"/>
      <c r="J354" s="12"/>
    </row>
    <row r="355" spans="1:12" s="10" customFormat="1" ht="20.100000000000001" customHeight="1" x14ac:dyDescent="0.35">
      <c r="A355" s="15" t="s">
        <v>322</v>
      </c>
      <c r="B355" s="15"/>
      <c r="C355" s="15"/>
      <c r="D355" s="15"/>
      <c r="E355" s="15"/>
      <c r="F355" s="15"/>
      <c r="G355" s="15"/>
      <c r="H355" s="15"/>
      <c r="I355" s="15"/>
      <c r="J355" s="15"/>
    </row>
    <row r="356" spans="1:12" x14ac:dyDescent="0.25">
      <c r="A356" s="12"/>
      <c r="B356" s="12"/>
      <c r="C356" s="12"/>
      <c r="D356" s="12"/>
      <c r="E356" s="12"/>
      <c r="F356" s="12"/>
      <c r="G356" s="12"/>
      <c r="H356" s="12"/>
      <c r="I356" s="12"/>
      <c r="J356" s="12"/>
    </row>
    <row r="357" spans="1:12" ht="30" x14ac:dyDescent="0.25">
      <c r="A357" s="2" t="s">
        <v>6</v>
      </c>
      <c r="B357" s="2" t="s">
        <v>7</v>
      </c>
      <c r="C357" s="2" t="s">
        <v>8</v>
      </c>
      <c r="D357" s="2" t="s">
        <v>9</v>
      </c>
      <c r="E357" s="2" t="s">
        <v>10</v>
      </c>
      <c r="F357" s="2" t="s">
        <v>11</v>
      </c>
      <c r="G357" s="2" t="s">
        <v>12</v>
      </c>
      <c r="H357" s="2" t="s">
        <v>13</v>
      </c>
      <c r="I357" s="2" t="s">
        <v>14</v>
      </c>
      <c r="J357" s="2" t="s">
        <v>15</v>
      </c>
      <c r="K357" s="2" t="s">
        <v>16</v>
      </c>
      <c r="L357" s="2" t="s">
        <v>17</v>
      </c>
    </row>
    <row r="358" spans="1:12" x14ac:dyDescent="0.25">
      <c r="A358" s="3">
        <v>45700.232893518521</v>
      </c>
      <c r="B358" t="s">
        <v>61</v>
      </c>
      <c r="C358" s="3">
        <v>45700.360115740739</v>
      </c>
      <c r="D358" t="s">
        <v>169</v>
      </c>
      <c r="E358" s="4">
        <v>51.25</v>
      </c>
      <c r="F358" s="4">
        <v>402572.391</v>
      </c>
      <c r="G358" s="4">
        <v>402623.641</v>
      </c>
      <c r="H358" s="5">
        <f>3719 / 86400</f>
        <v>4.3043981481481482E-2</v>
      </c>
      <c r="I358" t="s">
        <v>27</v>
      </c>
      <c r="J358" t="s">
        <v>28</v>
      </c>
      <c r="K358" s="5">
        <f>10992 / 86400</f>
        <v>0.12722222222222221</v>
      </c>
      <c r="L358" s="5">
        <f>21479 / 86400</f>
        <v>0.24859953703703705</v>
      </c>
    </row>
    <row r="359" spans="1:12" x14ac:dyDescent="0.25">
      <c r="A359" s="3">
        <v>45700.375821759255</v>
      </c>
      <c r="B359" t="s">
        <v>169</v>
      </c>
      <c r="C359" s="3">
        <v>45700.512418981481</v>
      </c>
      <c r="D359" t="s">
        <v>138</v>
      </c>
      <c r="E359" s="4">
        <v>51.109000000000002</v>
      </c>
      <c r="F359" s="4">
        <v>402623.641</v>
      </c>
      <c r="G359" s="4">
        <v>402674.75</v>
      </c>
      <c r="H359" s="5">
        <f>3780 / 86400</f>
        <v>4.3749999999999997E-2</v>
      </c>
      <c r="I359" t="s">
        <v>54</v>
      </c>
      <c r="J359" t="s">
        <v>34</v>
      </c>
      <c r="K359" s="5">
        <f>11802 / 86400</f>
        <v>0.13659722222222223</v>
      </c>
      <c r="L359" s="5">
        <f>153 / 86400</f>
        <v>1.7708333333333332E-3</v>
      </c>
    </row>
    <row r="360" spans="1:12" x14ac:dyDescent="0.25">
      <c r="A360" s="3">
        <v>45700.514189814814</v>
      </c>
      <c r="B360" t="s">
        <v>138</v>
      </c>
      <c r="C360" s="3">
        <v>45700.518078703702</v>
      </c>
      <c r="D360" t="s">
        <v>43</v>
      </c>
      <c r="E360" s="4">
        <v>0.77200000000000002</v>
      </c>
      <c r="F360" s="4">
        <v>402674.75</v>
      </c>
      <c r="G360" s="4">
        <v>402675.522</v>
      </c>
      <c r="H360" s="5">
        <f>99 / 86400</f>
        <v>1.1458333333333333E-3</v>
      </c>
      <c r="I360" t="s">
        <v>134</v>
      </c>
      <c r="J360" t="s">
        <v>148</v>
      </c>
      <c r="K360" s="5">
        <f>336 / 86400</f>
        <v>3.8888888888888888E-3</v>
      </c>
      <c r="L360" s="5">
        <f>2359 / 86400</f>
        <v>2.7303240740740739E-2</v>
      </c>
    </row>
    <row r="361" spans="1:12" x14ac:dyDescent="0.25">
      <c r="A361" s="3">
        <v>45700.545381944445</v>
      </c>
      <c r="B361" t="s">
        <v>43</v>
      </c>
      <c r="C361" s="3">
        <v>45700.545428240745</v>
      </c>
      <c r="D361" t="s">
        <v>43</v>
      </c>
      <c r="E361" s="4">
        <v>0</v>
      </c>
      <c r="F361" s="4">
        <v>402675.522</v>
      </c>
      <c r="G361" s="4">
        <v>402675.522</v>
      </c>
      <c r="H361" s="5">
        <f>0 / 86400</f>
        <v>0</v>
      </c>
      <c r="I361" t="s">
        <v>42</v>
      </c>
      <c r="J361" t="s">
        <v>42</v>
      </c>
      <c r="K361" s="5">
        <f>4 / 86400</f>
        <v>4.6296296296296294E-5</v>
      </c>
      <c r="L361" s="5">
        <f>5 / 86400</f>
        <v>5.7870370370370373E-5</v>
      </c>
    </row>
    <row r="362" spans="1:12" x14ac:dyDescent="0.25">
      <c r="A362" s="3">
        <v>45700.545486111107</v>
      </c>
      <c r="B362" t="s">
        <v>43</v>
      </c>
      <c r="C362" s="3">
        <v>45700.549212962964</v>
      </c>
      <c r="D362" t="s">
        <v>192</v>
      </c>
      <c r="E362" s="4">
        <v>0.97599999999999998</v>
      </c>
      <c r="F362" s="4">
        <v>402675.522</v>
      </c>
      <c r="G362" s="4">
        <v>402676.49800000002</v>
      </c>
      <c r="H362" s="5">
        <f>50 / 86400</f>
        <v>5.7870370370370367E-4</v>
      </c>
      <c r="I362" t="s">
        <v>200</v>
      </c>
      <c r="J362" t="s">
        <v>126</v>
      </c>
      <c r="K362" s="5">
        <f>322 / 86400</f>
        <v>3.7268518518518519E-3</v>
      </c>
      <c r="L362" s="5">
        <f>6 / 86400</f>
        <v>6.9444444444444444E-5</v>
      </c>
    </row>
    <row r="363" spans="1:12" x14ac:dyDescent="0.25">
      <c r="A363" s="3">
        <v>45700.549282407403</v>
      </c>
      <c r="B363" t="s">
        <v>192</v>
      </c>
      <c r="C363" s="3">
        <v>45700.549398148149</v>
      </c>
      <c r="D363" t="s">
        <v>192</v>
      </c>
      <c r="E363" s="4">
        <v>2E-3</v>
      </c>
      <c r="F363" s="4">
        <v>402676.49800000002</v>
      </c>
      <c r="G363" s="4">
        <v>402676.5</v>
      </c>
      <c r="H363" s="5">
        <f>8 / 86400</f>
        <v>9.2592592592592588E-5</v>
      </c>
      <c r="I363" t="s">
        <v>42</v>
      </c>
      <c r="J363" t="s">
        <v>150</v>
      </c>
      <c r="K363" s="5">
        <f>10 / 86400</f>
        <v>1.1574074074074075E-4</v>
      </c>
      <c r="L363" s="5">
        <f>334 / 86400</f>
        <v>3.8657407407407408E-3</v>
      </c>
    </row>
    <row r="364" spans="1:12" x14ac:dyDescent="0.25">
      <c r="A364" s="3">
        <v>45700.553263888884</v>
      </c>
      <c r="B364" t="s">
        <v>192</v>
      </c>
      <c r="C364" s="3">
        <v>45700.689062500001</v>
      </c>
      <c r="D364" t="s">
        <v>196</v>
      </c>
      <c r="E364" s="4">
        <v>49.444000000000003</v>
      </c>
      <c r="F364" s="4">
        <v>402676.5</v>
      </c>
      <c r="G364" s="4">
        <v>402725.94400000002</v>
      </c>
      <c r="H364" s="5">
        <f>4259 / 86400</f>
        <v>4.929398148148148E-2</v>
      </c>
      <c r="I364" t="s">
        <v>49</v>
      </c>
      <c r="J364" t="s">
        <v>20</v>
      </c>
      <c r="K364" s="5">
        <f>11733 / 86400</f>
        <v>0.13579861111111111</v>
      </c>
      <c r="L364" s="5">
        <f>308 / 86400</f>
        <v>3.5648148148148149E-3</v>
      </c>
    </row>
    <row r="365" spans="1:12" x14ac:dyDescent="0.25">
      <c r="A365" s="3">
        <v>45700.692627314813</v>
      </c>
      <c r="B365" t="s">
        <v>196</v>
      </c>
      <c r="C365" s="3">
        <v>45700.872025462959</v>
      </c>
      <c r="D365" t="s">
        <v>62</v>
      </c>
      <c r="E365" s="4">
        <v>49.984999999999999</v>
      </c>
      <c r="F365" s="4">
        <v>402725.94400000002</v>
      </c>
      <c r="G365" s="4">
        <v>402775.929</v>
      </c>
      <c r="H365" s="5">
        <f>6359 / 86400</f>
        <v>7.3599537037037033E-2</v>
      </c>
      <c r="I365" t="s">
        <v>212</v>
      </c>
      <c r="J365" t="s">
        <v>55</v>
      </c>
      <c r="K365" s="5">
        <f>15499 / 86400</f>
        <v>0.17938657407407407</v>
      </c>
      <c r="L365" s="5">
        <f>310 / 86400</f>
        <v>3.5879629629629629E-3</v>
      </c>
    </row>
    <row r="366" spans="1:12" x14ac:dyDescent="0.25">
      <c r="A366" s="3">
        <v>45700.875613425931</v>
      </c>
      <c r="B366" t="s">
        <v>62</v>
      </c>
      <c r="C366" s="3">
        <v>45700.876932870371</v>
      </c>
      <c r="D366" t="s">
        <v>213</v>
      </c>
      <c r="E366" s="4">
        <v>0.32200000000000001</v>
      </c>
      <c r="F366" s="4">
        <v>402775.929</v>
      </c>
      <c r="G366" s="4">
        <v>402776.25099999999</v>
      </c>
      <c r="H366" s="5">
        <f>0 / 86400</f>
        <v>0</v>
      </c>
      <c r="I366" t="s">
        <v>23</v>
      </c>
      <c r="J366" t="s">
        <v>164</v>
      </c>
      <c r="K366" s="5">
        <f>114 / 86400</f>
        <v>1.3194444444444445E-3</v>
      </c>
      <c r="L366" s="5">
        <f>116 / 86400</f>
        <v>1.3425925925925925E-3</v>
      </c>
    </row>
    <row r="367" spans="1:12" x14ac:dyDescent="0.25">
      <c r="A367" s="3">
        <v>45700.878275462965</v>
      </c>
      <c r="B367" t="s">
        <v>213</v>
      </c>
      <c r="C367" s="3">
        <v>45700.887280092589</v>
      </c>
      <c r="D367" t="s">
        <v>61</v>
      </c>
      <c r="E367" s="4">
        <v>0.47299999999999998</v>
      </c>
      <c r="F367" s="4">
        <v>402776.25099999999</v>
      </c>
      <c r="G367" s="4">
        <v>402776.72399999999</v>
      </c>
      <c r="H367" s="5">
        <f>599 / 86400</f>
        <v>6.9328703703703705E-3</v>
      </c>
      <c r="I367" t="s">
        <v>23</v>
      </c>
      <c r="J367" t="s">
        <v>128</v>
      </c>
      <c r="K367" s="5">
        <f>778 / 86400</f>
        <v>9.0046296296296298E-3</v>
      </c>
      <c r="L367" s="5">
        <f>4860 / 86400</f>
        <v>5.6250000000000001E-2</v>
      </c>
    </row>
    <row r="368" spans="1:12" x14ac:dyDescent="0.25">
      <c r="A368" s="3">
        <v>45700.943530092598</v>
      </c>
      <c r="B368" t="s">
        <v>61</v>
      </c>
      <c r="C368" s="3">
        <v>45700.944131944445</v>
      </c>
      <c r="D368" t="s">
        <v>61</v>
      </c>
      <c r="E368" s="4">
        <v>1.0999999999999999E-2</v>
      </c>
      <c r="F368" s="4">
        <v>402776.72399999999</v>
      </c>
      <c r="G368" s="4">
        <v>402776.73499999999</v>
      </c>
      <c r="H368" s="5">
        <f>20 / 86400</f>
        <v>2.3148148148148149E-4</v>
      </c>
      <c r="I368" t="s">
        <v>150</v>
      </c>
      <c r="J368" t="s">
        <v>150</v>
      </c>
      <c r="K368" s="5">
        <f>51 / 86400</f>
        <v>5.9027777777777778E-4</v>
      </c>
      <c r="L368" s="5">
        <f>4826 / 86400</f>
        <v>5.5856481481481479E-2</v>
      </c>
    </row>
    <row r="369" spans="1:12" x14ac:dyDescent="0.25">
      <c r="A369" s="12"/>
      <c r="B369" s="12"/>
      <c r="C369" s="12"/>
      <c r="D369" s="12"/>
      <c r="E369" s="12"/>
      <c r="F369" s="12"/>
      <c r="G369" s="12"/>
      <c r="H369" s="12"/>
      <c r="I369" s="12"/>
      <c r="J369" s="12"/>
    </row>
    <row r="370" spans="1:12" x14ac:dyDescent="0.25">
      <c r="A370" s="12"/>
      <c r="B370" s="12"/>
      <c r="C370" s="12"/>
      <c r="D370" s="12"/>
      <c r="E370" s="12"/>
      <c r="F370" s="12"/>
      <c r="G370" s="12"/>
      <c r="H370" s="12"/>
      <c r="I370" s="12"/>
      <c r="J370" s="12"/>
    </row>
    <row r="371" spans="1:12" s="10" customFormat="1" ht="20.100000000000001" customHeight="1" x14ac:dyDescent="0.35">
      <c r="A371" s="15" t="s">
        <v>323</v>
      </c>
      <c r="B371" s="15"/>
      <c r="C371" s="15"/>
      <c r="D371" s="15"/>
      <c r="E371" s="15"/>
      <c r="F371" s="15"/>
      <c r="G371" s="15"/>
      <c r="H371" s="15"/>
      <c r="I371" s="15"/>
      <c r="J371" s="15"/>
    </row>
    <row r="372" spans="1:12" x14ac:dyDescent="0.25">
      <c r="A372" s="12"/>
      <c r="B372" s="12"/>
      <c r="C372" s="12"/>
      <c r="D372" s="12"/>
      <c r="E372" s="12"/>
      <c r="F372" s="12"/>
      <c r="G372" s="12"/>
      <c r="H372" s="12"/>
      <c r="I372" s="12"/>
      <c r="J372" s="12"/>
    </row>
    <row r="373" spans="1:12" ht="30" x14ac:dyDescent="0.25">
      <c r="A373" s="2" t="s">
        <v>6</v>
      </c>
      <c r="B373" s="2" t="s">
        <v>7</v>
      </c>
      <c r="C373" s="2" t="s">
        <v>8</v>
      </c>
      <c r="D373" s="2" t="s">
        <v>9</v>
      </c>
      <c r="E373" s="2" t="s">
        <v>10</v>
      </c>
      <c r="F373" s="2" t="s">
        <v>11</v>
      </c>
      <c r="G373" s="2" t="s">
        <v>12</v>
      </c>
      <c r="H373" s="2" t="s">
        <v>13</v>
      </c>
      <c r="I373" s="2" t="s">
        <v>14</v>
      </c>
      <c r="J373" s="2" t="s">
        <v>15</v>
      </c>
      <c r="K373" s="2" t="s">
        <v>16</v>
      </c>
      <c r="L373" s="2" t="s">
        <v>17</v>
      </c>
    </row>
    <row r="374" spans="1:12" x14ac:dyDescent="0.25">
      <c r="A374" s="3">
        <v>45700.345601851848</v>
      </c>
      <c r="B374" t="s">
        <v>62</v>
      </c>
      <c r="C374" s="3">
        <v>45700.345601851848</v>
      </c>
      <c r="D374" t="s">
        <v>62</v>
      </c>
      <c r="E374" s="4">
        <v>0</v>
      </c>
      <c r="F374" s="4">
        <v>407407.02399999998</v>
      </c>
      <c r="G374" s="4">
        <v>407407.02399999998</v>
      </c>
      <c r="H374" s="5">
        <f>0 / 86400</f>
        <v>0</v>
      </c>
      <c r="I374" t="s">
        <v>42</v>
      </c>
      <c r="J374" t="s">
        <v>42</v>
      </c>
      <c r="K374" s="5">
        <f>0 / 86400</f>
        <v>0</v>
      </c>
      <c r="L374" s="5">
        <f>30111 / 86400</f>
        <v>0.34850694444444447</v>
      </c>
    </row>
    <row r="375" spans="1:12" x14ac:dyDescent="0.25">
      <c r="A375" s="3">
        <v>45700.348506944443</v>
      </c>
      <c r="B375" t="s">
        <v>62</v>
      </c>
      <c r="C375" s="3">
        <v>45700.353518518517</v>
      </c>
      <c r="D375" t="s">
        <v>92</v>
      </c>
      <c r="E375" s="4">
        <v>1.726</v>
      </c>
      <c r="F375" s="4">
        <v>407407.02399999998</v>
      </c>
      <c r="G375" s="4">
        <v>407408.75</v>
      </c>
      <c r="H375" s="5">
        <f>20 / 86400</f>
        <v>2.3148148148148149E-4</v>
      </c>
      <c r="I375" t="s">
        <v>136</v>
      </c>
      <c r="J375" t="s">
        <v>39</v>
      </c>
      <c r="K375" s="5">
        <f>433 / 86400</f>
        <v>5.0115740740740737E-3</v>
      </c>
      <c r="L375" s="5">
        <f>877 / 86400</f>
        <v>1.0150462962962964E-2</v>
      </c>
    </row>
    <row r="376" spans="1:12" x14ac:dyDescent="0.25">
      <c r="A376" s="3">
        <v>45700.363668981481</v>
      </c>
      <c r="B376" t="s">
        <v>92</v>
      </c>
      <c r="C376" s="3">
        <v>45700.364849537036</v>
      </c>
      <c r="D376" t="s">
        <v>214</v>
      </c>
      <c r="E376" s="4">
        <v>9.0999999999999998E-2</v>
      </c>
      <c r="F376" s="4">
        <v>407408.75</v>
      </c>
      <c r="G376" s="4">
        <v>407408.84100000001</v>
      </c>
      <c r="H376" s="5">
        <f>19 / 86400</f>
        <v>2.199074074074074E-4</v>
      </c>
      <c r="I376" t="s">
        <v>164</v>
      </c>
      <c r="J376" t="s">
        <v>77</v>
      </c>
      <c r="K376" s="5">
        <f>101 / 86400</f>
        <v>1.1689814814814816E-3</v>
      </c>
      <c r="L376" s="5">
        <f>2098 / 86400</f>
        <v>2.4282407407407409E-2</v>
      </c>
    </row>
    <row r="377" spans="1:12" x14ac:dyDescent="0.25">
      <c r="A377" s="3">
        <v>45700.389131944445</v>
      </c>
      <c r="B377" t="s">
        <v>214</v>
      </c>
      <c r="C377" s="3">
        <v>45700.393113425926</v>
      </c>
      <c r="D377" t="s">
        <v>135</v>
      </c>
      <c r="E377" s="4">
        <v>1.004</v>
      </c>
      <c r="F377" s="4">
        <v>407408.84100000001</v>
      </c>
      <c r="G377" s="4">
        <v>407409.84499999997</v>
      </c>
      <c r="H377" s="5">
        <f>0 / 86400</f>
        <v>0</v>
      </c>
      <c r="I377" t="s">
        <v>116</v>
      </c>
      <c r="J377" t="s">
        <v>126</v>
      </c>
      <c r="K377" s="5">
        <f>343 / 86400</f>
        <v>3.9699074074074072E-3</v>
      </c>
      <c r="L377" s="5">
        <f>843 / 86400</f>
        <v>9.7569444444444448E-3</v>
      </c>
    </row>
    <row r="378" spans="1:12" x14ac:dyDescent="0.25">
      <c r="A378" s="3">
        <v>45700.402870370366</v>
      </c>
      <c r="B378" t="s">
        <v>135</v>
      </c>
      <c r="C378" s="3">
        <v>45700.403101851851</v>
      </c>
      <c r="D378" t="s">
        <v>138</v>
      </c>
      <c r="E378" s="4">
        <v>2.9000000000000001E-2</v>
      </c>
      <c r="F378" s="4">
        <v>407409.84499999997</v>
      </c>
      <c r="G378" s="4">
        <v>407409.87400000001</v>
      </c>
      <c r="H378" s="5">
        <f>0 / 86400</f>
        <v>0</v>
      </c>
      <c r="I378" t="s">
        <v>143</v>
      </c>
      <c r="J378" t="s">
        <v>149</v>
      </c>
      <c r="K378" s="5">
        <f>20 / 86400</f>
        <v>2.3148148148148149E-4</v>
      </c>
      <c r="L378" s="5">
        <f>130 / 86400</f>
        <v>1.5046296296296296E-3</v>
      </c>
    </row>
    <row r="379" spans="1:12" x14ac:dyDescent="0.25">
      <c r="A379" s="3">
        <v>45700.404606481483</v>
      </c>
      <c r="B379" t="s">
        <v>138</v>
      </c>
      <c r="C379" s="3">
        <v>45700.404930555553</v>
      </c>
      <c r="D379" t="s">
        <v>138</v>
      </c>
      <c r="E379" s="4">
        <v>4.7E-2</v>
      </c>
      <c r="F379" s="4">
        <v>407409.87400000001</v>
      </c>
      <c r="G379" s="4">
        <v>407409.92099999997</v>
      </c>
      <c r="H379" s="5">
        <f>0 / 86400</f>
        <v>0</v>
      </c>
      <c r="I379" t="s">
        <v>137</v>
      </c>
      <c r="J379" t="s">
        <v>131</v>
      </c>
      <c r="K379" s="5">
        <f>28 / 86400</f>
        <v>3.2407407407407406E-4</v>
      </c>
      <c r="L379" s="5">
        <f>186 / 86400</f>
        <v>2.1527777777777778E-3</v>
      </c>
    </row>
    <row r="380" spans="1:12" x14ac:dyDescent="0.25">
      <c r="A380" s="3">
        <v>45700.407083333332</v>
      </c>
      <c r="B380" t="s">
        <v>138</v>
      </c>
      <c r="C380" s="3">
        <v>45700.638726851852</v>
      </c>
      <c r="D380" t="s">
        <v>215</v>
      </c>
      <c r="E380" s="4">
        <v>78.617000000000004</v>
      </c>
      <c r="F380" s="4">
        <v>407409.92099999997</v>
      </c>
      <c r="G380" s="4">
        <v>407488.538</v>
      </c>
      <c r="H380" s="5">
        <f>8879 / 86400</f>
        <v>0.10276620370370371</v>
      </c>
      <c r="I380" t="s">
        <v>53</v>
      </c>
      <c r="J380" t="s">
        <v>39</v>
      </c>
      <c r="K380" s="5">
        <f>20013 / 86400</f>
        <v>0.23163194444444443</v>
      </c>
      <c r="L380" s="5">
        <f>119 / 86400</f>
        <v>1.3773148148148147E-3</v>
      </c>
    </row>
    <row r="381" spans="1:12" x14ac:dyDescent="0.25">
      <c r="A381" s="3">
        <v>45700.640104166669</v>
      </c>
      <c r="B381" t="s">
        <v>215</v>
      </c>
      <c r="C381" s="3">
        <v>45700.642974537041</v>
      </c>
      <c r="D381" t="s">
        <v>215</v>
      </c>
      <c r="E381" s="4">
        <v>1.2E-2</v>
      </c>
      <c r="F381" s="4">
        <v>407488.538</v>
      </c>
      <c r="G381" s="4">
        <v>407488.55</v>
      </c>
      <c r="H381" s="5">
        <f>219 / 86400</f>
        <v>2.5347222222222221E-3</v>
      </c>
      <c r="I381" t="s">
        <v>143</v>
      </c>
      <c r="J381" t="s">
        <v>42</v>
      </c>
      <c r="K381" s="5">
        <f>248 / 86400</f>
        <v>2.8703703703703703E-3</v>
      </c>
      <c r="L381" s="5">
        <f>404 / 86400</f>
        <v>4.6759259259259263E-3</v>
      </c>
    </row>
    <row r="382" spans="1:12" x14ac:dyDescent="0.25">
      <c r="A382" s="3">
        <v>45700.647650462968</v>
      </c>
      <c r="B382" t="s">
        <v>215</v>
      </c>
      <c r="C382" s="3">
        <v>45700.724212962959</v>
      </c>
      <c r="D382" t="s">
        <v>62</v>
      </c>
      <c r="E382" s="4">
        <v>34.716999999999999</v>
      </c>
      <c r="F382" s="4">
        <v>407488.55</v>
      </c>
      <c r="G382" s="4">
        <v>407523.26699999999</v>
      </c>
      <c r="H382" s="5">
        <f>1859 / 86400</f>
        <v>2.1516203703703704E-2</v>
      </c>
      <c r="I382" t="s">
        <v>155</v>
      </c>
      <c r="J382" t="s">
        <v>23</v>
      </c>
      <c r="K382" s="5">
        <f>6615 / 86400</f>
        <v>7.6562500000000006E-2</v>
      </c>
      <c r="L382" s="5">
        <f>294 / 86400</f>
        <v>3.4027777777777776E-3</v>
      </c>
    </row>
    <row r="383" spans="1:12" x14ac:dyDescent="0.25">
      <c r="A383" s="3">
        <v>45700.72761574074</v>
      </c>
      <c r="B383" t="s">
        <v>62</v>
      </c>
      <c r="C383" s="3">
        <v>45700.733437499999</v>
      </c>
      <c r="D383" t="s">
        <v>193</v>
      </c>
      <c r="E383" s="4">
        <v>0.93600000000000005</v>
      </c>
      <c r="F383" s="4">
        <v>407523.26699999999</v>
      </c>
      <c r="G383" s="4">
        <v>407524.20299999998</v>
      </c>
      <c r="H383" s="5">
        <f>220 / 86400</f>
        <v>2.5462962962962965E-3</v>
      </c>
      <c r="I383" t="s">
        <v>216</v>
      </c>
      <c r="J383" t="s">
        <v>143</v>
      </c>
      <c r="K383" s="5">
        <f>502 / 86400</f>
        <v>5.8101851851851856E-3</v>
      </c>
      <c r="L383" s="5">
        <f>2 / 86400</f>
        <v>2.3148148148148147E-5</v>
      </c>
    </row>
    <row r="384" spans="1:12" x14ac:dyDescent="0.25">
      <c r="A384" s="3">
        <v>45700.733460648145</v>
      </c>
      <c r="B384" t="s">
        <v>193</v>
      </c>
      <c r="C384" s="3">
        <v>45700.733483796299</v>
      </c>
      <c r="D384" t="s">
        <v>193</v>
      </c>
      <c r="E384" s="4">
        <v>0</v>
      </c>
      <c r="F384" s="4">
        <v>407524.20299999998</v>
      </c>
      <c r="G384" s="4">
        <v>407524.20299999998</v>
      </c>
      <c r="H384" s="5">
        <f>0 / 86400</f>
        <v>0</v>
      </c>
      <c r="I384" t="s">
        <v>42</v>
      </c>
      <c r="J384" t="s">
        <v>42</v>
      </c>
      <c r="K384" s="5">
        <f>2 / 86400</f>
        <v>2.3148148148148147E-5</v>
      </c>
      <c r="L384" s="5">
        <f>416 / 86400</f>
        <v>4.8148148148148152E-3</v>
      </c>
    </row>
    <row r="385" spans="1:12" x14ac:dyDescent="0.25">
      <c r="A385" s="3">
        <v>45700.738298611112</v>
      </c>
      <c r="B385" t="s">
        <v>193</v>
      </c>
      <c r="C385" s="3">
        <v>45700.738530092596</v>
      </c>
      <c r="D385" t="s">
        <v>192</v>
      </c>
      <c r="E385" s="4">
        <v>8.9999999999999993E-3</v>
      </c>
      <c r="F385" s="4">
        <v>407524.20299999998</v>
      </c>
      <c r="G385" s="4">
        <v>407524.212</v>
      </c>
      <c r="H385" s="5">
        <f>0 / 86400</f>
        <v>0</v>
      </c>
      <c r="I385" t="s">
        <v>149</v>
      </c>
      <c r="J385" t="s">
        <v>128</v>
      </c>
      <c r="K385" s="5">
        <f>20 / 86400</f>
        <v>2.3148148148148149E-4</v>
      </c>
      <c r="L385" s="5">
        <f>265 / 86400</f>
        <v>3.0671296296296297E-3</v>
      </c>
    </row>
    <row r="386" spans="1:12" x14ac:dyDescent="0.25">
      <c r="A386" s="3">
        <v>45700.741597222222</v>
      </c>
      <c r="B386" t="s">
        <v>192</v>
      </c>
      <c r="C386" s="3">
        <v>45700.741736111115</v>
      </c>
      <c r="D386" t="s">
        <v>193</v>
      </c>
      <c r="E386" s="4">
        <v>3.0000000000000001E-3</v>
      </c>
      <c r="F386" s="4">
        <v>407524.212</v>
      </c>
      <c r="G386" s="4">
        <v>407524.21500000003</v>
      </c>
      <c r="H386" s="5">
        <f>0 / 86400</f>
        <v>0</v>
      </c>
      <c r="I386" t="s">
        <v>42</v>
      </c>
      <c r="J386" t="s">
        <v>150</v>
      </c>
      <c r="K386" s="5">
        <f>12 / 86400</f>
        <v>1.3888888888888889E-4</v>
      </c>
      <c r="L386" s="5">
        <f>13 / 86400</f>
        <v>1.5046296296296297E-4</v>
      </c>
    </row>
    <row r="387" spans="1:12" x14ac:dyDescent="0.25">
      <c r="A387" s="3">
        <v>45700.741886574076</v>
      </c>
      <c r="B387" t="s">
        <v>193</v>
      </c>
      <c r="C387" s="3">
        <v>45700.7421875</v>
      </c>
      <c r="D387" t="s">
        <v>193</v>
      </c>
      <c r="E387" s="4">
        <v>4.0000000000000001E-3</v>
      </c>
      <c r="F387" s="4">
        <v>407524.21500000003</v>
      </c>
      <c r="G387" s="4">
        <v>407524.21899999998</v>
      </c>
      <c r="H387" s="5">
        <f>19 / 86400</f>
        <v>2.199074074074074E-4</v>
      </c>
      <c r="I387" t="s">
        <v>42</v>
      </c>
      <c r="J387" t="s">
        <v>150</v>
      </c>
      <c r="K387" s="5">
        <f>26 / 86400</f>
        <v>3.0092592592592595E-4</v>
      </c>
      <c r="L387" s="5">
        <f>218 / 86400</f>
        <v>2.5231481481481481E-3</v>
      </c>
    </row>
    <row r="388" spans="1:12" x14ac:dyDescent="0.25">
      <c r="A388" s="3">
        <v>45700.744710648149</v>
      </c>
      <c r="B388" t="s">
        <v>193</v>
      </c>
      <c r="C388" s="3">
        <v>45700.744872685187</v>
      </c>
      <c r="D388" t="s">
        <v>193</v>
      </c>
      <c r="E388" s="4">
        <v>6.0000000000000001E-3</v>
      </c>
      <c r="F388" s="4">
        <v>407524.21899999998</v>
      </c>
      <c r="G388" s="4">
        <v>407524.22499999998</v>
      </c>
      <c r="H388" s="5">
        <f>0 / 86400</f>
        <v>0</v>
      </c>
      <c r="I388" t="s">
        <v>42</v>
      </c>
      <c r="J388" t="s">
        <v>128</v>
      </c>
      <c r="K388" s="5">
        <f>13 / 86400</f>
        <v>1.5046296296296297E-4</v>
      </c>
      <c r="L388" s="5">
        <f>537 / 86400</f>
        <v>6.2152777777777779E-3</v>
      </c>
    </row>
    <row r="389" spans="1:12" x14ac:dyDescent="0.25">
      <c r="A389" s="3">
        <v>45700.751087962963</v>
      </c>
      <c r="B389" t="s">
        <v>193</v>
      </c>
      <c r="C389" s="3">
        <v>45700.820983796293</v>
      </c>
      <c r="D389" t="s">
        <v>217</v>
      </c>
      <c r="E389" s="4">
        <v>34.006</v>
      </c>
      <c r="F389" s="4">
        <v>407524.22499999998</v>
      </c>
      <c r="G389" s="4">
        <v>407558.23100000003</v>
      </c>
      <c r="H389" s="5">
        <f>1619 / 86400</f>
        <v>1.8738425925925926E-2</v>
      </c>
      <c r="I389" t="s">
        <v>180</v>
      </c>
      <c r="J389" t="s">
        <v>70</v>
      </c>
      <c r="K389" s="5">
        <f>6039 / 86400</f>
        <v>6.9895833333333338E-2</v>
      </c>
      <c r="L389" s="5">
        <f>150 / 86400</f>
        <v>1.736111111111111E-3</v>
      </c>
    </row>
    <row r="390" spans="1:12" x14ac:dyDescent="0.25">
      <c r="A390" s="3">
        <v>45700.822719907403</v>
      </c>
      <c r="B390" t="s">
        <v>198</v>
      </c>
      <c r="C390" s="3">
        <v>45700.823321759264</v>
      </c>
      <c r="D390" t="s">
        <v>218</v>
      </c>
      <c r="E390" s="4">
        <v>9.8000000000000004E-2</v>
      </c>
      <c r="F390" s="4">
        <v>407558.23100000003</v>
      </c>
      <c r="G390" s="4">
        <v>407558.32900000003</v>
      </c>
      <c r="H390" s="5">
        <f>20 / 86400</f>
        <v>2.3148148148148149E-4</v>
      </c>
      <c r="I390" t="s">
        <v>126</v>
      </c>
      <c r="J390" t="s">
        <v>143</v>
      </c>
      <c r="K390" s="5">
        <f>52 / 86400</f>
        <v>6.018518518518519E-4</v>
      </c>
      <c r="L390" s="5">
        <f>558 / 86400</f>
        <v>6.4583333333333333E-3</v>
      </c>
    </row>
    <row r="391" spans="1:12" x14ac:dyDescent="0.25">
      <c r="A391" s="3">
        <v>45700.829780092594</v>
      </c>
      <c r="B391" t="s">
        <v>218</v>
      </c>
      <c r="C391" s="3">
        <v>45700.83421296296</v>
      </c>
      <c r="D391" t="s">
        <v>63</v>
      </c>
      <c r="E391" s="4">
        <v>1.081</v>
      </c>
      <c r="F391" s="4">
        <v>407558.32900000003</v>
      </c>
      <c r="G391" s="4">
        <v>407559.41</v>
      </c>
      <c r="H391" s="5">
        <f>40 / 86400</f>
        <v>4.6296296296296298E-4</v>
      </c>
      <c r="I391" t="s">
        <v>124</v>
      </c>
      <c r="J391" t="s">
        <v>164</v>
      </c>
      <c r="K391" s="5">
        <f>382 / 86400</f>
        <v>4.4212962962962964E-3</v>
      </c>
      <c r="L391" s="5">
        <f>676 / 86400</f>
        <v>7.8240740740740736E-3</v>
      </c>
    </row>
    <row r="392" spans="1:12" x14ac:dyDescent="0.25">
      <c r="A392" s="3">
        <v>45700.842037037037</v>
      </c>
      <c r="B392" t="s">
        <v>63</v>
      </c>
      <c r="C392" s="3">
        <v>45700.842939814815</v>
      </c>
      <c r="D392" t="s">
        <v>63</v>
      </c>
      <c r="E392" s="4">
        <v>1.0999999999999999E-2</v>
      </c>
      <c r="F392" s="4">
        <v>407559.41</v>
      </c>
      <c r="G392" s="4">
        <v>407559.42099999997</v>
      </c>
      <c r="H392" s="5">
        <f>0 / 86400</f>
        <v>0</v>
      </c>
      <c r="I392" t="s">
        <v>148</v>
      </c>
      <c r="J392" t="s">
        <v>150</v>
      </c>
      <c r="K392" s="5">
        <f>77 / 86400</f>
        <v>8.9120370370370373E-4</v>
      </c>
      <c r="L392" s="5">
        <f>13569 / 86400</f>
        <v>0.15704861111111112</v>
      </c>
    </row>
    <row r="393" spans="1:12" x14ac:dyDescent="0.25">
      <c r="A393" s="12"/>
      <c r="B393" s="12"/>
      <c r="C393" s="12"/>
      <c r="D393" s="12"/>
      <c r="E393" s="12"/>
      <c r="F393" s="12"/>
      <c r="G393" s="12"/>
      <c r="H393" s="12"/>
      <c r="I393" s="12"/>
      <c r="J393" s="12"/>
    </row>
    <row r="394" spans="1:12" x14ac:dyDescent="0.25">
      <c r="A394" s="12"/>
      <c r="B394" s="12"/>
      <c r="C394" s="12"/>
      <c r="D394" s="12"/>
      <c r="E394" s="12"/>
      <c r="F394" s="12"/>
      <c r="G394" s="12"/>
      <c r="H394" s="12"/>
      <c r="I394" s="12"/>
      <c r="J394" s="12"/>
    </row>
    <row r="395" spans="1:12" s="10" customFormat="1" ht="20.100000000000001" customHeight="1" x14ac:dyDescent="0.35">
      <c r="A395" s="15" t="s">
        <v>324</v>
      </c>
      <c r="B395" s="15"/>
      <c r="C395" s="15"/>
      <c r="D395" s="15"/>
      <c r="E395" s="15"/>
      <c r="F395" s="15"/>
      <c r="G395" s="15"/>
      <c r="H395" s="15"/>
      <c r="I395" s="15"/>
      <c r="J395" s="15"/>
    </row>
    <row r="396" spans="1:12" x14ac:dyDescent="0.25">
      <c r="A396" s="12"/>
      <c r="B396" s="12"/>
      <c r="C396" s="12"/>
      <c r="D396" s="12"/>
      <c r="E396" s="12"/>
      <c r="F396" s="12"/>
      <c r="G396" s="12"/>
      <c r="H396" s="12"/>
      <c r="I396" s="12"/>
      <c r="J396" s="12"/>
    </row>
    <row r="397" spans="1:12" ht="30" x14ac:dyDescent="0.25">
      <c r="A397" s="2" t="s">
        <v>6</v>
      </c>
      <c r="B397" s="2" t="s">
        <v>7</v>
      </c>
      <c r="C397" s="2" t="s">
        <v>8</v>
      </c>
      <c r="D397" s="2" t="s">
        <v>9</v>
      </c>
      <c r="E397" s="2" t="s">
        <v>10</v>
      </c>
      <c r="F397" s="2" t="s">
        <v>11</v>
      </c>
      <c r="G397" s="2" t="s">
        <v>12</v>
      </c>
      <c r="H397" s="2" t="s">
        <v>13</v>
      </c>
      <c r="I397" s="2" t="s">
        <v>14</v>
      </c>
      <c r="J397" s="2" t="s">
        <v>15</v>
      </c>
      <c r="K397" s="2" t="s">
        <v>16</v>
      </c>
      <c r="L397" s="2" t="s">
        <v>17</v>
      </c>
    </row>
    <row r="398" spans="1:12" x14ac:dyDescent="0.25">
      <c r="A398" s="3">
        <v>45700.292175925926</v>
      </c>
      <c r="B398" t="s">
        <v>64</v>
      </c>
      <c r="C398" s="3">
        <v>45700.39162037037</v>
      </c>
      <c r="D398" t="s">
        <v>62</v>
      </c>
      <c r="E398" s="4">
        <v>45.383000000000003</v>
      </c>
      <c r="F398" s="4">
        <v>348001.36499999999</v>
      </c>
      <c r="G398" s="4">
        <v>348046.74800000002</v>
      </c>
      <c r="H398" s="5">
        <f>2258 / 86400</f>
        <v>2.613425925925926E-2</v>
      </c>
      <c r="I398" t="s">
        <v>65</v>
      </c>
      <c r="J398" t="s">
        <v>23</v>
      </c>
      <c r="K398" s="5">
        <f>8592 / 86400</f>
        <v>9.9444444444444446E-2</v>
      </c>
      <c r="L398" s="5">
        <f>25528 / 86400</f>
        <v>0.29546296296296298</v>
      </c>
    </row>
    <row r="399" spans="1:12" x14ac:dyDescent="0.25">
      <c r="A399" s="3">
        <v>45700.394907407404</v>
      </c>
      <c r="B399" t="s">
        <v>62</v>
      </c>
      <c r="C399" s="3">
        <v>45700.399895833332</v>
      </c>
      <c r="D399" t="s">
        <v>138</v>
      </c>
      <c r="E399" s="4">
        <v>1.302</v>
      </c>
      <c r="F399" s="4">
        <v>348046.74800000002</v>
      </c>
      <c r="G399" s="4">
        <v>348048.05</v>
      </c>
      <c r="H399" s="5">
        <f>119 / 86400</f>
        <v>1.3773148148148147E-3</v>
      </c>
      <c r="I399" t="s">
        <v>136</v>
      </c>
      <c r="J399" t="s">
        <v>126</v>
      </c>
      <c r="K399" s="5">
        <f>430 / 86400</f>
        <v>4.9768518518518521E-3</v>
      </c>
      <c r="L399" s="5">
        <f>6480 / 86400</f>
        <v>7.4999999999999997E-2</v>
      </c>
    </row>
    <row r="400" spans="1:12" x14ac:dyDescent="0.25">
      <c r="A400" s="3">
        <v>45700.474895833337</v>
      </c>
      <c r="B400" t="s">
        <v>138</v>
      </c>
      <c r="C400" s="3">
        <v>45700.69231481482</v>
      </c>
      <c r="D400" t="s">
        <v>219</v>
      </c>
      <c r="E400" s="4">
        <v>73.031999999999996</v>
      </c>
      <c r="F400" s="4">
        <v>348048.05</v>
      </c>
      <c r="G400" s="4">
        <v>348121.08199999999</v>
      </c>
      <c r="H400" s="5">
        <f>6989 / 86400</f>
        <v>8.0891203703703701E-2</v>
      </c>
      <c r="I400" t="s">
        <v>65</v>
      </c>
      <c r="J400" t="s">
        <v>39</v>
      </c>
      <c r="K400" s="5">
        <f>18784 / 86400</f>
        <v>0.21740740740740741</v>
      </c>
      <c r="L400" s="5">
        <f>58 / 86400</f>
        <v>6.7129629629629625E-4</v>
      </c>
    </row>
    <row r="401" spans="1:12" x14ac:dyDescent="0.25">
      <c r="A401" s="3">
        <v>45700.692986111113</v>
      </c>
      <c r="B401" t="s">
        <v>219</v>
      </c>
      <c r="C401" s="3">
        <v>45700.693807870368</v>
      </c>
      <c r="D401" t="s">
        <v>64</v>
      </c>
      <c r="E401" s="4">
        <v>0.107</v>
      </c>
      <c r="F401" s="4">
        <v>348121.08199999999</v>
      </c>
      <c r="G401" s="4">
        <v>348121.18900000001</v>
      </c>
      <c r="H401" s="5">
        <f>40 / 86400</f>
        <v>4.6296296296296298E-4</v>
      </c>
      <c r="I401" t="s">
        <v>55</v>
      </c>
      <c r="J401" t="s">
        <v>131</v>
      </c>
      <c r="K401" s="5">
        <f>70 / 86400</f>
        <v>8.1018518518518516E-4</v>
      </c>
      <c r="L401" s="5">
        <f>175 / 86400</f>
        <v>2.0254629629629629E-3</v>
      </c>
    </row>
    <row r="402" spans="1:12" x14ac:dyDescent="0.25">
      <c r="A402" s="3">
        <v>45700.695833333331</v>
      </c>
      <c r="B402" t="s">
        <v>64</v>
      </c>
      <c r="C402" s="3">
        <v>45700.697604166664</v>
      </c>
      <c r="D402" t="s">
        <v>64</v>
      </c>
      <c r="E402" s="4">
        <v>2.8000000000000001E-2</v>
      </c>
      <c r="F402" s="4">
        <v>348121.18900000001</v>
      </c>
      <c r="G402" s="4">
        <v>348121.217</v>
      </c>
      <c r="H402" s="5">
        <f>80 / 86400</f>
        <v>9.2592592592592596E-4</v>
      </c>
      <c r="I402" t="s">
        <v>150</v>
      </c>
      <c r="J402" t="s">
        <v>150</v>
      </c>
      <c r="K402" s="5">
        <f>153 / 86400</f>
        <v>1.7708333333333332E-3</v>
      </c>
      <c r="L402" s="5">
        <f>26126 / 86400</f>
        <v>0.30238425925925927</v>
      </c>
    </row>
    <row r="403" spans="1:12" x14ac:dyDescent="0.25">
      <c r="A403" s="12"/>
      <c r="B403" s="12"/>
      <c r="C403" s="12"/>
      <c r="D403" s="12"/>
      <c r="E403" s="12"/>
      <c r="F403" s="12"/>
      <c r="G403" s="12"/>
      <c r="H403" s="12"/>
      <c r="I403" s="12"/>
      <c r="J403" s="12"/>
    </row>
    <row r="404" spans="1:12" x14ac:dyDescent="0.25">
      <c r="A404" s="12"/>
      <c r="B404" s="12"/>
      <c r="C404" s="12"/>
      <c r="D404" s="12"/>
      <c r="E404" s="12"/>
      <c r="F404" s="12"/>
      <c r="G404" s="12"/>
      <c r="H404" s="12"/>
      <c r="I404" s="12"/>
      <c r="J404" s="12"/>
    </row>
    <row r="405" spans="1:12" s="10" customFormat="1" ht="20.100000000000001" customHeight="1" x14ac:dyDescent="0.35">
      <c r="A405" s="15" t="s">
        <v>325</v>
      </c>
      <c r="B405" s="15"/>
      <c r="C405" s="15"/>
      <c r="D405" s="15"/>
      <c r="E405" s="15"/>
      <c r="F405" s="15"/>
      <c r="G405" s="15"/>
      <c r="H405" s="15"/>
      <c r="I405" s="15"/>
      <c r="J405" s="15"/>
    </row>
    <row r="406" spans="1:12" x14ac:dyDescent="0.25">
      <c r="A406" s="12"/>
      <c r="B406" s="12"/>
      <c r="C406" s="12"/>
      <c r="D406" s="12"/>
      <c r="E406" s="12"/>
      <c r="F406" s="12"/>
      <c r="G406" s="12"/>
      <c r="H406" s="12"/>
      <c r="I406" s="12"/>
      <c r="J406" s="12"/>
    </row>
    <row r="407" spans="1:12" ht="30" x14ac:dyDescent="0.25">
      <c r="A407" s="2" t="s">
        <v>6</v>
      </c>
      <c r="B407" s="2" t="s">
        <v>7</v>
      </c>
      <c r="C407" s="2" t="s">
        <v>8</v>
      </c>
      <c r="D407" s="2" t="s">
        <v>9</v>
      </c>
      <c r="E407" s="2" t="s">
        <v>10</v>
      </c>
      <c r="F407" s="2" t="s">
        <v>11</v>
      </c>
      <c r="G407" s="2" t="s">
        <v>12</v>
      </c>
      <c r="H407" s="2" t="s">
        <v>13</v>
      </c>
      <c r="I407" s="2" t="s">
        <v>14</v>
      </c>
      <c r="J407" s="2" t="s">
        <v>15</v>
      </c>
      <c r="K407" s="2" t="s">
        <v>16</v>
      </c>
      <c r="L407" s="2" t="s">
        <v>17</v>
      </c>
    </row>
    <row r="408" spans="1:12" x14ac:dyDescent="0.25">
      <c r="A408" s="3">
        <v>45700.124780092592</v>
      </c>
      <c r="B408" t="s">
        <v>66</v>
      </c>
      <c r="C408" s="3">
        <v>45700.200636574074</v>
      </c>
      <c r="D408" t="s">
        <v>220</v>
      </c>
      <c r="E408" s="4">
        <v>39.223999999999997</v>
      </c>
      <c r="F408" s="4">
        <v>40660.978000000003</v>
      </c>
      <c r="G408" s="4">
        <v>40700.201999999997</v>
      </c>
      <c r="H408" s="5">
        <f>1780 / 86400</f>
        <v>2.060185185185185E-2</v>
      </c>
      <c r="I408" t="s">
        <v>53</v>
      </c>
      <c r="J408" t="s">
        <v>134</v>
      </c>
      <c r="K408" s="5">
        <f>6554 / 86400</f>
        <v>7.5856481481481483E-2</v>
      </c>
      <c r="L408" s="5">
        <f>10978 / 86400</f>
        <v>0.12706018518518519</v>
      </c>
    </row>
    <row r="409" spans="1:12" x14ac:dyDescent="0.25">
      <c r="A409" s="3">
        <v>45700.202916666662</v>
      </c>
      <c r="B409" t="s">
        <v>220</v>
      </c>
      <c r="C409" s="3">
        <v>45700.302708333329</v>
      </c>
      <c r="D409" t="s">
        <v>138</v>
      </c>
      <c r="E409" s="4">
        <v>52.993000000000002</v>
      </c>
      <c r="F409" s="4">
        <v>40700.201999999997</v>
      </c>
      <c r="G409" s="4">
        <v>40753.195</v>
      </c>
      <c r="H409" s="5">
        <f>1640 / 86400</f>
        <v>1.8981481481481481E-2</v>
      </c>
      <c r="I409" t="s">
        <v>67</v>
      </c>
      <c r="J409" t="s">
        <v>134</v>
      </c>
      <c r="K409" s="5">
        <f>8622 / 86400</f>
        <v>9.9791666666666667E-2</v>
      </c>
      <c r="L409" s="5">
        <f>595 / 86400</f>
        <v>6.8865740740740745E-3</v>
      </c>
    </row>
    <row r="410" spans="1:12" x14ac:dyDescent="0.25">
      <c r="A410" s="3">
        <v>45700.309594907405</v>
      </c>
      <c r="B410" t="s">
        <v>138</v>
      </c>
      <c r="C410" s="3">
        <v>45700.315520833334</v>
      </c>
      <c r="D410" t="s">
        <v>62</v>
      </c>
      <c r="E410" s="4">
        <v>1.323</v>
      </c>
      <c r="F410" s="4">
        <v>40753.195</v>
      </c>
      <c r="G410" s="4">
        <v>40754.517999999996</v>
      </c>
      <c r="H410" s="5">
        <f>220 / 86400</f>
        <v>2.5462962962962965E-3</v>
      </c>
      <c r="I410" t="s">
        <v>146</v>
      </c>
      <c r="J410" t="s">
        <v>137</v>
      </c>
      <c r="K410" s="5">
        <f>512 / 86400</f>
        <v>5.9259259259259256E-3</v>
      </c>
      <c r="L410" s="5">
        <f>660 / 86400</f>
        <v>7.6388888888888886E-3</v>
      </c>
    </row>
    <row r="411" spans="1:12" x14ac:dyDescent="0.25">
      <c r="A411" s="3">
        <v>45700.323159722218</v>
      </c>
      <c r="B411" t="s">
        <v>62</v>
      </c>
      <c r="C411" s="3">
        <v>45700.323298611111</v>
      </c>
      <c r="D411" t="s">
        <v>62</v>
      </c>
      <c r="E411" s="4">
        <v>0</v>
      </c>
      <c r="F411" s="4">
        <v>40754.517999999996</v>
      </c>
      <c r="G411" s="4">
        <v>40754.517999999996</v>
      </c>
      <c r="H411" s="5">
        <f>0 / 86400</f>
        <v>0</v>
      </c>
      <c r="I411" t="s">
        <v>42</v>
      </c>
      <c r="J411" t="s">
        <v>42</v>
      </c>
      <c r="K411" s="5">
        <f>12 / 86400</f>
        <v>1.3888888888888889E-4</v>
      </c>
      <c r="L411" s="5">
        <f>271 / 86400</f>
        <v>3.1365740740740742E-3</v>
      </c>
    </row>
    <row r="412" spans="1:12" x14ac:dyDescent="0.25">
      <c r="A412" s="3">
        <v>45700.326435185183</v>
      </c>
      <c r="B412" t="s">
        <v>62</v>
      </c>
      <c r="C412" s="3">
        <v>45700.327476851853</v>
      </c>
      <c r="D412" t="s">
        <v>62</v>
      </c>
      <c r="E412" s="4">
        <v>2.5999999999999999E-2</v>
      </c>
      <c r="F412" s="4">
        <v>40754.517999999996</v>
      </c>
      <c r="G412" s="4">
        <v>40754.544000000002</v>
      </c>
      <c r="H412" s="5">
        <f>39 / 86400</f>
        <v>4.5138888888888887E-4</v>
      </c>
      <c r="I412" t="s">
        <v>149</v>
      </c>
      <c r="J412" t="s">
        <v>150</v>
      </c>
      <c r="K412" s="5">
        <f>90 / 86400</f>
        <v>1.0416666666666667E-3</v>
      </c>
      <c r="L412" s="5">
        <f>287 / 86400</f>
        <v>3.3217592592592591E-3</v>
      </c>
    </row>
    <row r="413" spans="1:12" x14ac:dyDescent="0.25">
      <c r="A413" s="3">
        <v>45700.33079861111</v>
      </c>
      <c r="B413" t="s">
        <v>62</v>
      </c>
      <c r="C413" s="3">
        <v>45700.333668981482</v>
      </c>
      <c r="D413" t="s">
        <v>62</v>
      </c>
      <c r="E413" s="4">
        <v>0.154</v>
      </c>
      <c r="F413" s="4">
        <v>40754.544000000002</v>
      </c>
      <c r="G413" s="4">
        <v>40754.697999999997</v>
      </c>
      <c r="H413" s="5">
        <f>139 / 86400</f>
        <v>1.6087962962962963E-3</v>
      </c>
      <c r="I413" t="s">
        <v>31</v>
      </c>
      <c r="J413" t="s">
        <v>128</v>
      </c>
      <c r="K413" s="5">
        <f>248 / 86400</f>
        <v>2.8703703703703703E-3</v>
      </c>
      <c r="L413" s="5">
        <f>262 / 86400</f>
        <v>3.0324074074074073E-3</v>
      </c>
    </row>
    <row r="414" spans="1:12" x14ac:dyDescent="0.25">
      <c r="A414" s="3">
        <v>45700.336701388893</v>
      </c>
      <c r="B414" t="s">
        <v>62</v>
      </c>
      <c r="C414" s="3">
        <v>45700.340046296296</v>
      </c>
      <c r="D414" t="s">
        <v>92</v>
      </c>
      <c r="E414" s="4">
        <v>0.82199999999999995</v>
      </c>
      <c r="F414" s="4">
        <v>40754.697999999997</v>
      </c>
      <c r="G414" s="4">
        <v>40755.519999999997</v>
      </c>
      <c r="H414" s="5">
        <f>99 / 86400</f>
        <v>1.1458333333333333E-3</v>
      </c>
      <c r="I414" t="s">
        <v>76</v>
      </c>
      <c r="J414" t="s">
        <v>164</v>
      </c>
      <c r="K414" s="5">
        <f>288 / 86400</f>
        <v>3.3333333333333335E-3</v>
      </c>
      <c r="L414" s="5">
        <f>1209 / 86400</f>
        <v>1.3993055555555555E-2</v>
      </c>
    </row>
    <row r="415" spans="1:12" x14ac:dyDescent="0.25">
      <c r="A415" s="3">
        <v>45700.354039351849</v>
      </c>
      <c r="B415" t="s">
        <v>92</v>
      </c>
      <c r="C415" s="3">
        <v>45700.61996527778</v>
      </c>
      <c r="D415" t="s">
        <v>187</v>
      </c>
      <c r="E415" s="4">
        <v>100.548</v>
      </c>
      <c r="F415" s="4">
        <v>40755.519999999997</v>
      </c>
      <c r="G415" s="4">
        <v>40856.067999999999</v>
      </c>
      <c r="H415" s="5">
        <f>7299 / 86400</f>
        <v>8.4479166666666661E-2</v>
      </c>
      <c r="I415" t="s">
        <v>41</v>
      </c>
      <c r="J415" t="s">
        <v>34</v>
      </c>
      <c r="K415" s="5">
        <f>22975 / 86400</f>
        <v>0.26591435185185186</v>
      </c>
      <c r="L415" s="5">
        <f>129 / 86400</f>
        <v>1.4930555555555556E-3</v>
      </c>
    </row>
    <row r="416" spans="1:12" x14ac:dyDescent="0.25">
      <c r="A416" s="3">
        <v>45700.621458333335</v>
      </c>
      <c r="B416" t="s">
        <v>187</v>
      </c>
      <c r="C416" s="3">
        <v>45700.714837962965</v>
      </c>
      <c r="D416" t="s">
        <v>122</v>
      </c>
      <c r="E416" s="4">
        <v>45.86</v>
      </c>
      <c r="F416" s="4">
        <v>40856.067999999999</v>
      </c>
      <c r="G416" s="4">
        <v>40901.928</v>
      </c>
      <c r="H416" s="5">
        <f>1899 / 86400</f>
        <v>2.1979166666666668E-2</v>
      </c>
      <c r="I416" t="s">
        <v>97</v>
      </c>
      <c r="J416" t="s">
        <v>70</v>
      </c>
      <c r="K416" s="5">
        <f>8067 / 86400</f>
        <v>9.3368055555555551E-2</v>
      </c>
      <c r="L416" s="5">
        <f>104 / 86400</f>
        <v>1.2037037037037038E-3</v>
      </c>
    </row>
    <row r="417" spans="1:12" x14ac:dyDescent="0.25">
      <c r="A417" s="3">
        <v>45700.716041666667</v>
      </c>
      <c r="B417" t="s">
        <v>122</v>
      </c>
      <c r="C417" s="3">
        <v>45700.717916666668</v>
      </c>
      <c r="D417" t="s">
        <v>123</v>
      </c>
      <c r="E417" s="4">
        <v>0.48699999999999999</v>
      </c>
      <c r="F417" s="4">
        <v>40901.928</v>
      </c>
      <c r="G417" s="4">
        <v>40902.415000000001</v>
      </c>
      <c r="H417" s="5">
        <f>59 / 86400</f>
        <v>6.8287037037037036E-4</v>
      </c>
      <c r="I417" t="s">
        <v>116</v>
      </c>
      <c r="J417" t="s">
        <v>126</v>
      </c>
      <c r="K417" s="5">
        <f>161 / 86400</f>
        <v>1.8634259259259259E-3</v>
      </c>
      <c r="L417" s="5">
        <f>95 / 86400</f>
        <v>1.0995370370370371E-3</v>
      </c>
    </row>
    <row r="418" spans="1:12" x14ac:dyDescent="0.25">
      <c r="A418" s="3">
        <v>45700.7190162037</v>
      </c>
      <c r="B418" t="s">
        <v>123</v>
      </c>
      <c r="C418" s="3">
        <v>45700.72923611111</v>
      </c>
      <c r="D418" t="s">
        <v>66</v>
      </c>
      <c r="E418" s="4">
        <v>2.6970000000000001</v>
      </c>
      <c r="F418" s="4">
        <v>40902.415000000001</v>
      </c>
      <c r="G418" s="4">
        <v>40905.112000000001</v>
      </c>
      <c r="H418" s="5">
        <f>239 / 86400</f>
        <v>2.7662037037037039E-3</v>
      </c>
      <c r="I418" t="s">
        <v>167</v>
      </c>
      <c r="J418" t="s">
        <v>126</v>
      </c>
      <c r="K418" s="5">
        <f>883 / 86400</f>
        <v>1.0219907407407407E-2</v>
      </c>
      <c r="L418" s="5">
        <f>23393 / 86400</f>
        <v>0.27075231481481482</v>
      </c>
    </row>
    <row r="419" spans="1:12" x14ac:dyDescent="0.25">
      <c r="A419" s="12"/>
      <c r="B419" s="12"/>
      <c r="C419" s="12"/>
      <c r="D419" s="12"/>
      <c r="E419" s="12"/>
      <c r="F419" s="12"/>
      <c r="G419" s="12"/>
      <c r="H419" s="12"/>
      <c r="I419" s="12"/>
      <c r="J419" s="12"/>
    </row>
    <row r="420" spans="1:12" x14ac:dyDescent="0.25">
      <c r="A420" s="12"/>
      <c r="B420" s="12"/>
      <c r="C420" s="12"/>
      <c r="D420" s="12"/>
      <c r="E420" s="12"/>
      <c r="F420" s="12"/>
      <c r="G420" s="12"/>
      <c r="H420" s="12"/>
      <c r="I420" s="12"/>
      <c r="J420" s="12"/>
    </row>
    <row r="421" spans="1:12" s="10" customFormat="1" ht="20.100000000000001" customHeight="1" x14ac:dyDescent="0.35">
      <c r="A421" s="15" t="s">
        <v>326</v>
      </c>
      <c r="B421" s="15"/>
      <c r="C421" s="15"/>
      <c r="D421" s="15"/>
      <c r="E421" s="15"/>
      <c r="F421" s="15"/>
      <c r="G421" s="15"/>
      <c r="H421" s="15"/>
      <c r="I421" s="15"/>
      <c r="J421" s="15"/>
    </row>
    <row r="422" spans="1:12" x14ac:dyDescent="0.25">
      <c r="A422" s="12"/>
      <c r="B422" s="12"/>
      <c r="C422" s="12"/>
      <c r="D422" s="12"/>
      <c r="E422" s="12"/>
      <c r="F422" s="12"/>
      <c r="G422" s="12"/>
      <c r="H422" s="12"/>
      <c r="I422" s="12"/>
      <c r="J422" s="12"/>
    </row>
    <row r="423" spans="1:12" ht="30" x14ac:dyDescent="0.25">
      <c r="A423" s="2" t="s">
        <v>6</v>
      </c>
      <c r="B423" s="2" t="s">
        <v>7</v>
      </c>
      <c r="C423" s="2" t="s">
        <v>8</v>
      </c>
      <c r="D423" s="2" t="s">
        <v>9</v>
      </c>
      <c r="E423" s="2" t="s">
        <v>10</v>
      </c>
      <c r="F423" s="2" t="s">
        <v>11</v>
      </c>
      <c r="G423" s="2" t="s">
        <v>12</v>
      </c>
      <c r="H423" s="2" t="s">
        <v>13</v>
      </c>
      <c r="I423" s="2" t="s">
        <v>14</v>
      </c>
      <c r="J423" s="2" t="s">
        <v>15</v>
      </c>
      <c r="K423" s="2" t="s">
        <v>16</v>
      </c>
      <c r="L423" s="2" t="s">
        <v>17</v>
      </c>
    </row>
    <row r="424" spans="1:12" x14ac:dyDescent="0.25">
      <c r="A424" s="3">
        <v>45700</v>
      </c>
      <c r="B424" t="s">
        <v>68</v>
      </c>
      <c r="C424" s="3">
        <v>45700.010219907403</v>
      </c>
      <c r="D424" t="s">
        <v>221</v>
      </c>
      <c r="E424" s="4">
        <v>5.2430000000000003</v>
      </c>
      <c r="F424" s="4">
        <v>45983.957999999999</v>
      </c>
      <c r="G424" s="4">
        <v>45989.201000000001</v>
      </c>
      <c r="H424" s="5">
        <f>120 / 86400</f>
        <v>1.3888888888888889E-3</v>
      </c>
      <c r="I424" t="s">
        <v>157</v>
      </c>
      <c r="J424" t="s">
        <v>124</v>
      </c>
      <c r="K424" s="5">
        <f>883 / 86400</f>
        <v>1.0219907407407407E-2</v>
      </c>
      <c r="L424" s="5">
        <f>35 / 86400</f>
        <v>4.0509259259259258E-4</v>
      </c>
    </row>
    <row r="425" spans="1:12" x14ac:dyDescent="0.25">
      <c r="A425" s="3">
        <v>45700.010624999995</v>
      </c>
      <c r="B425" t="s">
        <v>221</v>
      </c>
      <c r="C425" s="3">
        <v>45700.064814814818</v>
      </c>
      <c r="D425" t="s">
        <v>222</v>
      </c>
      <c r="E425" s="4">
        <v>30.376999999999999</v>
      </c>
      <c r="F425" s="4">
        <v>45989.201000000001</v>
      </c>
      <c r="G425" s="4">
        <v>46019.578000000001</v>
      </c>
      <c r="H425" s="5">
        <f>1079 / 86400</f>
        <v>1.2488425925925925E-2</v>
      </c>
      <c r="I425" t="s">
        <v>180</v>
      </c>
      <c r="J425" t="s">
        <v>116</v>
      </c>
      <c r="K425" s="5">
        <f>4682 / 86400</f>
        <v>5.4189814814814816E-2</v>
      </c>
      <c r="L425" s="5">
        <f>376 / 86400</f>
        <v>4.3518518518518515E-3</v>
      </c>
    </row>
    <row r="426" spans="1:12" x14ac:dyDescent="0.25">
      <c r="A426" s="3">
        <v>45700.069166666668</v>
      </c>
      <c r="B426" t="s">
        <v>222</v>
      </c>
      <c r="C426" s="3">
        <v>45700.069791666669</v>
      </c>
      <c r="D426" t="s">
        <v>223</v>
      </c>
      <c r="E426" s="4">
        <v>0.06</v>
      </c>
      <c r="F426" s="4">
        <v>46019.578000000001</v>
      </c>
      <c r="G426" s="4">
        <v>46019.637999999999</v>
      </c>
      <c r="H426" s="5">
        <f>0 / 86400</f>
        <v>0</v>
      </c>
      <c r="I426" t="s">
        <v>143</v>
      </c>
      <c r="J426" t="s">
        <v>133</v>
      </c>
      <c r="K426" s="5">
        <f>53 / 86400</f>
        <v>6.134259259259259E-4</v>
      </c>
      <c r="L426" s="5">
        <f>768 / 86400</f>
        <v>8.8888888888888889E-3</v>
      </c>
    </row>
    <row r="427" spans="1:12" x14ac:dyDescent="0.25">
      <c r="A427" s="3">
        <v>45700.078680555554</v>
      </c>
      <c r="B427" t="s">
        <v>223</v>
      </c>
      <c r="C427" s="3">
        <v>45700.082777777774</v>
      </c>
      <c r="D427" t="s">
        <v>32</v>
      </c>
      <c r="E427" s="4">
        <v>1.3160000000000001</v>
      </c>
      <c r="F427" s="4">
        <v>46019.637999999999</v>
      </c>
      <c r="G427" s="4">
        <v>46020.953999999998</v>
      </c>
      <c r="H427" s="5">
        <f>199 / 86400</f>
        <v>2.3032407407407407E-3</v>
      </c>
      <c r="I427" t="s">
        <v>174</v>
      </c>
      <c r="J427" t="s">
        <v>46</v>
      </c>
      <c r="K427" s="5">
        <f>354 / 86400</f>
        <v>4.0972222222222226E-3</v>
      </c>
      <c r="L427" s="5">
        <f>29 / 86400</f>
        <v>3.3564814814814812E-4</v>
      </c>
    </row>
    <row r="428" spans="1:12" x14ac:dyDescent="0.25">
      <c r="A428" s="3">
        <v>45700.083113425921</v>
      </c>
      <c r="B428" t="s">
        <v>32</v>
      </c>
      <c r="C428" s="3">
        <v>45700.083437499998</v>
      </c>
      <c r="D428" t="s">
        <v>32</v>
      </c>
      <c r="E428" s="4">
        <v>4.2999999999999997E-2</v>
      </c>
      <c r="F428" s="4">
        <v>46020.953999999998</v>
      </c>
      <c r="G428" s="4">
        <v>46020.997000000003</v>
      </c>
      <c r="H428" s="5">
        <f>0 / 86400</f>
        <v>0</v>
      </c>
      <c r="I428" t="s">
        <v>164</v>
      </c>
      <c r="J428" t="s">
        <v>131</v>
      </c>
      <c r="K428" s="5">
        <f>27 / 86400</f>
        <v>3.1250000000000001E-4</v>
      </c>
      <c r="L428" s="5">
        <f>8018 / 86400</f>
        <v>9.2800925925925926E-2</v>
      </c>
    </row>
    <row r="429" spans="1:12" x14ac:dyDescent="0.25">
      <c r="A429" s="3">
        <v>45700.176238425927</v>
      </c>
      <c r="B429" t="s">
        <v>32</v>
      </c>
      <c r="C429" s="3">
        <v>45700.352071759262</v>
      </c>
      <c r="D429" t="s">
        <v>185</v>
      </c>
      <c r="E429" s="4">
        <v>83.841999999999999</v>
      </c>
      <c r="F429" s="4">
        <v>46020.997000000003</v>
      </c>
      <c r="G429" s="4">
        <v>46104.839</v>
      </c>
      <c r="H429" s="5">
        <f>4220 / 86400</f>
        <v>4.884259259259259E-2</v>
      </c>
      <c r="I429" t="s">
        <v>53</v>
      </c>
      <c r="J429" t="s">
        <v>70</v>
      </c>
      <c r="K429" s="5">
        <f>15191 / 86400</f>
        <v>0.17582175925925925</v>
      </c>
      <c r="L429" s="5">
        <f>2204 / 86400</f>
        <v>2.5509259259259259E-2</v>
      </c>
    </row>
    <row r="430" spans="1:12" x14ac:dyDescent="0.25">
      <c r="A430" s="3">
        <v>45700.377581018518</v>
      </c>
      <c r="B430" t="s">
        <v>224</v>
      </c>
      <c r="C430" s="3">
        <v>45700.380173611113</v>
      </c>
      <c r="D430" t="s">
        <v>62</v>
      </c>
      <c r="E430" s="4">
        <v>0.48699999999999999</v>
      </c>
      <c r="F430" s="4">
        <v>46104.839</v>
      </c>
      <c r="G430" s="4">
        <v>46105.326000000001</v>
      </c>
      <c r="H430" s="5">
        <f>119 / 86400</f>
        <v>1.3773148148148147E-3</v>
      </c>
      <c r="I430" t="s">
        <v>200</v>
      </c>
      <c r="J430" t="s">
        <v>148</v>
      </c>
      <c r="K430" s="5">
        <f>223 / 86400</f>
        <v>2.5810185185185185E-3</v>
      </c>
      <c r="L430" s="5">
        <f>240 / 86400</f>
        <v>2.7777777777777779E-3</v>
      </c>
    </row>
    <row r="431" spans="1:12" x14ac:dyDescent="0.25">
      <c r="A431" s="3">
        <v>45700.382951388892</v>
      </c>
      <c r="B431" t="s">
        <v>62</v>
      </c>
      <c r="C431" s="3">
        <v>45700.38449074074</v>
      </c>
      <c r="D431" t="s">
        <v>107</v>
      </c>
      <c r="E431" s="4">
        <v>0.13200000000000001</v>
      </c>
      <c r="F431" s="4">
        <v>46105.326000000001</v>
      </c>
      <c r="G431" s="4">
        <v>46105.457999999999</v>
      </c>
      <c r="H431" s="5">
        <f>60 / 86400</f>
        <v>6.9444444444444447E-4</v>
      </c>
      <c r="I431" t="s">
        <v>137</v>
      </c>
      <c r="J431" t="s">
        <v>133</v>
      </c>
      <c r="K431" s="5">
        <f>133 / 86400</f>
        <v>1.5393518518518519E-3</v>
      </c>
      <c r="L431" s="5">
        <f>493 / 86400</f>
        <v>5.7060185185185183E-3</v>
      </c>
    </row>
    <row r="432" spans="1:12" x14ac:dyDescent="0.25">
      <c r="A432" s="3">
        <v>45700.390196759261</v>
      </c>
      <c r="B432" t="s">
        <v>62</v>
      </c>
      <c r="C432" s="3">
        <v>45700.391805555555</v>
      </c>
      <c r="D432" t="s">
        <v>62</v>
      </c>
      <c r="E432" s="4">
        <v>0.127</v>
      </c>
      <c r="F432" s="4">
        <v>46105.457999999999</v>
      </c>
      <c r="G432" s="4">
        <v>46105.584999999999</v>
      </c>
      <c r="H432" s="5">
        <f>39 / 86400</f>
        <v>4.5138888888888887E-4</v>
      </c>
      <c r="I432" t="s">
        <v>164</v>
      </c>
      <c r="J432" t="s">
        <v>77</v>
      </c>
      <c r="K432" s="5">
        <f>139 / 86400</f>
        <v>1.6087962962962963E-3</v>
      </c>
      <c r="L432" s="5">
        <f>1109 / 86400</f>
        <v>1.2835648148148148E-2</v>
      </c>
    </row>
    <row r="433" spans="1:12" x14ac:dyDescent="0.25">
      <c r="A433" s="3">
        <v>45700.404641203699</v>
      </c>
      <c r="B433" t="s">
        <v>62</v>
      </c>
      <c r="C433" s="3">
        <v>45700.599826388891</v>
      </c>
      <c r="D433" t="s">
        <v>32</v>
      </c>
      <c r="E433" s="4">
        <v>81.677000000000007</v>
      </c>
      <c r="F433" s="4">
        <v>46105.584999999999</v>
      </c>
      <c r="G433" s="4">
        <v>46187.262000000002</v>
      </c>
      <c r="H433" s="5">
        <f>4661 / 86400</f>
        <v>5.3946759259259257E-2</v>
      </c>
      <c r="I433" t="s">
        <v>225</v>
      </c>
      <c r="J433" t="s">
        <v>28</v>
      </c>
      <c r="K433" s="5">
        <f>16864 / 86400</f>
        <v>0.19518518518518518</v>
      </c>
      <c r="L433" s="5">
        <f>174 / 86400</f>
        <v>2.0138888888888888E-3</v>
      </c>
    </row>
    <row r="434" spans="1:12" x14ac:dyDescent="0.25">
      <c r="A434" s="3">
        <v>45700.601840277777</v>
      </c>
      <c r="B434" t="s">
        <v>32</v>
      </c>
      <c r="C434" s="3">
        <v>45700.604062500002</v>
      </c>
      <c r="D434" t="s">
        <v>190</v>
      </c>
      <c r="E434" s="4">
        <v>1.357</v>
      </c>
      <c r="F434" s="4">
        <v>46187.262000000002</v>
      </c>
      <c r="G434" s="4">
        <v>46188.618999999999</v>
      </c>
      <c r="H434" s="5">
        <f>20 / 86400</f>
        <v>2.3148148148148149E-4</v>
      </c>
      <c r="I434" t="s">
        <v>226</v>
      </c>
      <c r="J434" t="s">
        <v>140</v>
      </c>
      <c r="K434" s="5">
        <f>191 / 86400</f>
        <v>2.2106481481481482E-3</v>
      </c>
      <c r="L434" s="5">
        <f>1793 / 86400</f>
        <v>2.0752314814814814E-2</v>
      </c>
    </row>
    <row r="435" spans="1:12" x14ac:dyDescent="0.25">
      <c r="A435" s="3">
        <v>45700.624814814815</v>
      </c>
      <c r="B435" t="s">
        <v>190</v>
      </c>
      <c r="C435" s="3">
        <v>45700.625555555554</v>
      </c>
      <c r="D435" t="s">
        <v>104</v>
      </c>
      <c r="E435" s="4">
        <v>0.28999999999999998</v>
      </c>
      <c r="F435" s="4">
        <v>46188.618999999999</v>
      </c>
      <c r="G435" s="4">
        <v>46188.909</v>
      </c>
      <c r="H435" s="5">
        <f>0 / 86400</f>
        <v>0</v>
      </c>
      <c r="I435" t="s">
        <v>142</v>
      </c>
      <c r="J435" t="s">
        <v>28</v>
      </c>
      <c r="K435" s="5">
        <f>63 / 86400</f>
        <v>7.291666666666667E-4</v>
      </c>
      <c r="L435" s="5">
        <f>36 / 86400</f>
        <v>4.1666666666666669E-4</v>
      </c>
    </row>
    <row r="436" spans="1:12" x14ac:dyDescent="0.25">
      <c r="A436" s="3">
        <v>45700.625972222224</v>
      </c>
      <c r="B436" t="s">
        <v>104</v>
      </c>
      <c r="C436" s="3">
        <v>45700.877060185187</v>
      </c>
      <c r="D436" t="s">
        <v>154</v>
      </c>
      <c r="E436" s="4">
        <v>93.081999999999994</v>
      </c>
      <c r="F436" s="4">
        <v>46188.909</v>
      </c>
      <c r="G436" s="4">
        <v>46281.991000000002</v>
      </c>
      <c r="H436" s="5">
        <f>7519 / 86400</f>
        <v>8.7025462962962957E-2</v>
      </c>
      <c r="I436" t="s">
        <v>51</v>
      </c>
      <c r="J436" t="s">
        <v>20</v>
      </c>
      <c r="K436" s="5">
        <f>21693 / 86400</f>
        <v>0.25107638888888889</v>
      </c>
      <c r="L436" s="5">
        <f>227 / 86400</f>
        <v>2.627314814814815E-3</v>
      </c>
    </row>
    <row r="437" spans="1:12" x14ac:dyDescent="0.25">
      <c r="A437" s="3">
        <v>45700.879687499997</v>
      </c>
      <c r="B437" t="s">
        <v>154</v>
      </c>
      <c r="C437" s="3">
        <v>45700.885474537034</v>
      </c>
      <c r="D437" t="s">
        <v>32</v>
      </c>
      <c r="E437" s="4">
        <v>2.375</v>
      </c>
      <c r="F437" s="4">
        <v>46281.991000000002</v>
      </c>
      <c r="G437" s="4">
        <v>46284.366000000002</v>
      </c>
      <c r="H437" s="5">
        <f>140 / 86400</f>
        <v>1.6203703703703703E-3</v>
      </c>
      <c r="I437" t="s">
        <v>174</v>
      </c>
      <c r="J437" t="s">
        <v>28</v>
      </c>
      <c r="K437" s="5">
        <f>499 / 86400</f>
        <v>5.7754629629629631E-3</v>
      </c>
      <c r="L437" s="5">
        <f>185 / 86400</f>
        <v>2.1412037037037038E-3</v>
      </c>
    </row>
    <row r="438" spans="1:12" x14ac:dyDescent="0.25">
      <c r="A438" s="3">
        <v>45700.887615740736</v>
      </c>
      <c r="B438" t="s">
        <v>32</v>
      </c>
      <c r="C438" s="3">
        <v>45700.895787037036</v>
      </c>
      <c r="D438" t="s">
        <v>227</v>
      </c>
      <c r="E438" s="4">
        <v>1.5289999999999999</v>
      </c>
      <c r="F438" s="4">
        <v>46284.366000000002</v>
      </c>
      <c r="G438" s="4">
        <v>46285.894999999997</v>
      </c>
      <c r="H438" s="5">
        <f>279 / 86400</f>
        <v>3.2291666666666666E-3</v>
      </c>
      <c r="I438" t="s">
        <v>167</v>
      </c>
      <c r="J438" t="s">
        <v>148</v>
      </c>
      <c r="K438" s="5">
        <f>705 / 86400</f>
        <v>8.1597222222222227E-3</v>
      </c>
      <c r="L438" s="5">
        <f>2459 / 86400</f>
        <v>2.8460648148148148E-2</v>
      </c>
    </row>
    <row r="439" spans="1:12" x14ac:dyDescent="0.25">
      <c r="A439" s="3">
        <v>45700.924247685187</v>
      </c>
      <c r="B439" t="s">
        <v>227</v>
      </c>
      <c r="C439" s="3">
        <v>45700.99998842593</v>
      </c>
      <c r="D439" t="s">
        <v>69</v>
      </c>
      <c r="E439" s="4">
        <v>68.885000000000005</v>
      </c>
      <c r="F439" s="4">
        <v>46285.894999999997</v>
      </c>
      <c r="G439" s="4">
        <v>46354.78</v>
      </c>
      <c r="H439" s="5">
        <f>1118 / 86400</f>
        <v>1.2939814814814815E-2</v>
      </c>
      <c r="I439" t="s">
        <v>30</v>
      </c>
      <c r="J439" t="s">
        <v>211</v>
      </c>
      <c r="K439" s="5">
        <f>6544 / 86400</f>
        <v>7.5740740740740747E-2</v>
      </c>
      <c r="L439" s="5">
        <f>0 / 86400</f>
        <v>0</v>
      </c>
    </row>
    <row r="440" spans="1:12" x14ac:dyDescent="0.25">
      <c r="A440" s="12"/>
      <c r="B440" s="12"/>
      <c r="C440" s="12"/>
      <c r="D440" s="12"/>
      <c r="E440" s="12"/>
      <c r="F440" s="12"/>
      <c r="G440" s="12"/>
      <c r="H440" s="12"/>
      <c r="I440" s="12"/>
      <c r="J440" s="12"/>
    </row>
    <row r="441" spans="1:12" x14ac:dyDescent="0.25">
      <c r="A441" s="12"/>
      <c r="B441" s="12"/>
      <c r="C441" s="12"/>
      <c r="D441" s="12"/>
      <c r="E441" s="12"/>
      <c r="F441" s="12"/>
      <c r="G441" s="12"/>
      <c r="H441" s="12"/>
      <c r="I441" s="12"/>
      <c r="J441" s="12"/>
    </row>
    <row r="442" spans="1:12" s="10" customFormat="1" ht="20.100000000000001" customHeight="1" x14ac:dyDescent="0.35">
      <c r="A442" s="15" t="s">
        <v>327</v>
      </c>
      <c r="B442" s="15"/>
      <c r="C442" s="15"/>
      <c r="D442" s="15"/>
      <c r="E442" s="15"/>
      <c r="F442" s="15"/>
      <c r="G442" s="15"/>
      <c r="H442" s="15"/>
      <c r="I442" s="15"/>
      <c r="J442" s="15"/>
    </row>
    <row r="443" spans="1:12" x14ac:dyDescent="0.25">
      <c r="A443" s="12"/>
      <c r="B443" s="12"/>
      <c r="C443" s="12"/>
      <c r="D443" s="12"/>
      <c r="E443" s="12"/>
      <c r="F443" s="12"/>
      <c r="G443" s="12"/>
      <c r="H443" s="12"/>
      <c r="I443" s="12"/>
      <c r="J443" s="12"/>
    </row>
    <row r="444" spans="1:12" ht="30" x14ac:dyDescent="0.25">
      <c r="A444" s="2" t="s">
        <v>6</v>
      </c>
      <c r="B444" s="2" t="s">
        <v>7</v>
      </c>
      <c r="C444" s="2" t="s">
        <v>8</v>
      </c>
      <c r="D444" s="2" t="s">
        <v>9</v>
      </c>
      <c r="E444" s="2" t="s">
        <v>10</v>
      </c>
      <c r="F444" s="2" t="s">
        <v>11</v>
      </c>
      <c r="G444" s="2" t="s">
        <v>12</v>
      </c>
      <c r="H444" s="2" t="s">
        <v>13</v>
      </c>
      <c r="I444" s="2" t="s">
        <v>14</v>
      </c>
      <c r="J444" s="2" t="s">
        <v>15</v>
      </c>
      <c r="K444" s="2" t="s">
        <v>16</v>
      </c>
      <c r="L444" s="2" t="s">
        <v>17</v>
      </c>
    </row>
    <row r="445" spans="1:12" x14ac:dyDescent="0.25">
      <c r="A445" s="3">
        <v>45700.013854166667</v>
      </c>
      <c r="B445" t="s">
        <v>71</v>
      </c>
      <c r="C445" s="3">
        <v>45700.015706018516</v>
      </c>
      <c r="D445" t="s">
        <v>71</v>
      </c>
      <c r="E445" s="4">
        <v>1E-3</v>
      </c>
      <c r="F445" s="4">
        <v>527595.30099999998</v>
      </c>
      <c r="G445" s="4">
        <v>527595.30200000003</v>
      </c>
      <c r="H445" s="5">
        <f>159 / 86400</f>
        <v>1.8402777777777777E-3</v>
      </c>
      <c r="I445" t="s">
        <v>42</v>
      </c>
      <c r="J445" t="s">
        <v>42</v>
      </c>
      <c r="K445" s="5">
        <f>160 / 86400</f>
        <v>1.8518518518518519E-3</v>
      </c>
      <c r="L445" s="5">
        <f>1358 / 86400</f>
        <v>1.5717592592592592E-2</v>
      </c>
    </row>
    <row r="446" spans="1:12" x14ac:dyDescent="0.25">
      <c r="A446" s="3">
        <v>45700.017569444448</v>
      </c>
      <c r="B446" t="s">
        <v>71</v>
      </c>
      <c r="C446" s="3">
        <v>45700.082858796297</v>
      </c>
      <c r="D446" t="s">
        <v>222</v>
      </c>
      <c r="E446" s="4">
        <v>30.498999999999999</v>
      </c>
      <c r="F446" s="4">
        <v>527595.30200000003</v>
      </c>
      <c r="G446" s="4">
        <v>527625.80099999998</v>
      </c>
      <c r="H446" s="5">
        <f>2700 / 86400</f>
        <v>3.125E-2</v>
      </c>
      <c r="I446" t="s">
        <v>73</v>
      </c>
      <c r="J446" t="s">
        <v>23</v>
      </c>
      <c r="K446" s="5">
        <f>5641 / 86400</f>
        <v>6.5289351851851848E-2</v>
      </c>
      <c r="L446" s="5">
        <f>1009 / 86400</f>
        <v>1.1678240740740741E-2</v>
      </c>
    </row>
    <row r="447" spans="1:12" x14ac:dyDescent="0.25">
      <c r="A447" s="3">
        <v>45700.094537037032</v>
      </c>
      <c r="B447" t="s">
        <v>32</v>
      </c>
      <c r="C447" s="3">
        <v>45700.099328703705</v>
      </c>
      <c r="D447" t="s">
        <v>228</v>
      </c>
      <c r="E447" s="4">
        <v>2.1040000000000001</v>
      </c>
      <c r="F447" s="4">
        <v>527625.80099999998</v>
      </c>
      <c r="G447" s="4">
        <v>527627.90500000003</v>
      </c>
      <c r="H447" s="5">
        <f>80 / 86400</f>
        <v>9.2592592592592596E-4</v>
      </c>
      <c r="I447" t="s">
        <v>208</v>
      </c>
      <c r="J447" t="s">
        <v>31</v>
      </c>
      <c r="K447" s="5">
        <f>414 / 86400</f>
        <v>4.7916666666666663E-3</v>
      </c>
      <c r="L447" s="5">
        <f>2143 / 86400</f>
        <v>2.480324074074074E-2</v>
      </c>
    </row>
    <row r="448" spans="1:12" x14ac:dyDescent="0.25">
      <c r="A448" s="3">
        <v>45700.124131944445</v>
      </c>
      <c r="B448" t="s">
        <v>229</v>
      </c>
      <c r="C448" s="3">
        <v>45700.131342592591</v>
      </c>
      <c r="D448" t="s">
        <v>222</v>
      </c>
      <c r="E448" s="4">
        <v>3.0250000000596047</v>
      </c>
      <c r="F448" s="4">
        <v>527627.90500000003</v>
      </c>
      <c r="G448" s="4">
        <v>527630.93000000005</v>
      </c>
      <c r="H448" s="5">
        <f>20 / 86400</f>
        <v>2.3148148148148149E-4</v>
      </c>
      <c r="I448" t="s">
        <v>76</v>
      </c>
      <c r="J448" t="s">
        <v>28</v>
      </c>
      <c r="K448" s="5">
        <f>623 / 86400</f>
        <v>7.2106481481481483E-3</v>
      </c>
      <c r="L448" s="5">
        <f>4666 / 86400</f>
        <v>5.4004629629629632E-2</v>
      </c>
    </row>
    <row r="449" spans="1:12" x14ac:dyDescent="0.25">
      <c r="A449" s="3">
        <v>45700.185347222221</v>
      </c>
      <c r="B449" t="s">
        <v>222</v>
      </c>
      <c r="C449" s="3">
        <v>45700.331365740742</v>
      </c>
      <c r="D449" t="s">
        <v>230</v>
      </c>
      <c r="E449" s="4">
        <v>83.594999999940399</v>
      </c>
      <c r="F449" s="4">
        <v>527630.93000000005</v>
      </c>
      <c r="G449" s="4">
        <v>527714.52500000002</v>
      </c>
      <c r="H449" s="5">
        <f>3060 / 86400</f>
        <v>3.5416666666666666E-2</v>
      </c>
      <c r="I449" t="s">
        <v>58</v>
      </c>
      <c r="J449" t="s">
        <v>176</v>
      </c>
      <c r="K449" s="5">
        <f>12616 / 86400</f>
        <v>0.14601851851851852</v>
      </c>
      <c r="L449" s="5">
        <f>139 / 86400</f>
        <v>1.6087962962962963E-3</v>
      </c>
    </row>
    <row r="450" spans="1:12" x14ac:dyDescent="0.25">
      <c r="A450" s="3">
        <v>45700.332974537036</v>
      </c>
      <c r="B450" t="s">
        <v>230</v>
      </c>
      <c r="C450" s="3">
        <v>45700.334606481483</v>
      </c>
      <c r="D450" t="s">
        <v>92</v>
      </c>
      <c r="E450" s="4">
        <v>0.30099999999999999</v>
      </c>
      <c r="F450" s="4">
        <v>527714.52500000002</v>
      </c>
      <c r="G450" s="4">
        <v>527714.826</v>
      </c>
      <c r="H450" s="5">
        <f>20 / 86400</f>
        <v>2.3148148148148149E-4</v>
      </c>
      <c r="I450" t="s">
        <v>20</v>
      </c>
      <c r="J450" t="s">
        <v>148</v>
      </c>
      <c r="K450" s="5">
        <f>141 / 86400</f>
        <v>1.6319444444444445E-3</v>
      </c>
      <c r="L450" s="5">
        <f>1985 / 86400</f>
        <v>2.2974537037037036E-2</v>
      </c>
    </row>
    <row r="451" spans="1:12" x14ac:dyDescent="0.25">
      <c r="A451" s="3">
        <v>45700.357581018514</v>
      </c>
      <c r="B451" t="s">
        <v>92</v>
      </c>
      <c r="C451" s="3">
        <v>45700.477002314816</v>
      </c>
      <c r="D451" t="s">
        <v>188</v>
      </c>
      <c r="E451" s="4">
        <v>52.910000000059604</v>
      </c>
      <c r="F451" s="4">
        <v>527714.826</v>
      </c>
      <c r="G451" s="4">
        <v>527767.73600000003</v>
      </c>
      <c r="H451" s="5">
        <f>3379 / 86400</f>
        <v>3.9108796296296294E-2</v>
      </c>
      <c r="I451" t="s">
        <v>83</v>
      </c>
      <c r="J451" t="s">
        <v>31</v>
      </c>
      <c r="K451" s="5">
        <f>10318 / 86400</f>
        <v>0.1194212962962963</v>
      </c>
      <c r="L451" s="5">
        <f>103 / 86400</f>
        <v>1.1921296296296296E-3</v>
      </c>
    </row>
    <row r="452" spans="1:12" x14ac:dyDescent="0.25">
      <c r="A452" s="3">
        <v>45700.47819444444</v>
      </c>
      <c r="B452" t="s">
        <v>188</v>
      </c>
      <c r="C452" s="3">
        <v>45700.55537037037</v>
      </c>
      <c r="D452" t="s">
        <v>231</v>
      </c>
      <c r="E452" s="4">
        <v>11.949</v>
      </c>
      <c r="F452" s="4">
        <v>527767.73600000003</v>
      </c>
      <c r="G452" s="4">
        <v>527779.68500000006</v>
      </c>
      <c r="H452" s="5">
        <f>4460 / 86400</f>
        <v>5.1620370370370372E-2</v>
      </c>
      <c r="I452" t="s">
        <v>159</v>
      </c>
      <c r="J452" t="s">
        <v>131</v>
      </c>
      <c r="K452" s="5">
        <f>6667 / 86400</f>
        <v>7.7164351851851845E-2</v>
      </c>
      <c r="L452" s="5">
        <f>70 / 86400</f>
        <v>8.1018518518518516E-4</v>
      </c>
    </row>
    <row r="453" spans="1:12" x14ac:dyDescent="0.25">
      <c r="A453" s="3">
        <v>45700.556180555555</v>
      </c>
      <c r="B453" t="s">
        <v>231</v>
      </c>
      <c r="C453" s="3">
        <v>45700.669525462959</v>
      </c>
      <c r="D453" t="s">
        <v>232</v>
      </c>
      <c r="E453" s="4">
        <v>46.152000000000001</v>
      </c>
      <c r="F453" s="4">
        <v>527779.68500000006</v>
      </c>
      <c r="G453" s="4">
        <v>527825.83700000006</v>
      </c>
      <c r="H453" s="5">
        <f>3300 / 86400</f>
        <v>3.8194444444444448E-2</v>
      </c>
      <c r="I453" t="s">
        <v>207</v>
      </c>
      <c r="J453" t="s">
        <v>28</v>
      </c>
      <c r="K453" s="5">
        <f>9793 / 86400</f>
        <v>0.11334490740740741</v>
      </c>
      <c r="L453" s="5">
        <f>619 / 86400</f>
        <v>7.1643518518518514E-3</v>
      </c>
    </row>
    <row r="454" spans="1:12" x14ac:dyDescent="0.25">
      <c r="A454" s="3">
        <v>45700.67668981482</v>
      </c>
      <c r="B454" t="s">
        <v>232</v>
      </c>
      <c r="C454" s="3">
        <v>45700.681759259256</v>
      </c>
      <c r="D454" t="s">
        <v>151</v>
      </c>
      <c r="E454" s="4">
        <v>0.52299999994039537</v>
      </c>
      <c r="F454" s="4">
        <v>527825.83700000006</v>
      </c>
      <c r="G454" s="4">
        <v>527826.36</v>
      </c>
      <c r="H454" s="5">
        <f>259 / 86400</f>
        <v>2.9976851851851853E-3</v>
      </c>
      <c r="I454" t="s">
        <v>28</v>
      </c>
      <c r="J454" t="s">
        <v>133</v>
      </c>
      <c r="K454" s="5">
        <f>438 / 86400</f>
        <v>5.0694444444444441E-3</v>
      </c>
      <c r="L454" s="5">
        <f>353 / 86400</f>
        <v>4.0856481481481481E-3</v>
      </c>
    </row>
    <row r="455" spans="1:12" x14ac:dyDescent="0.25">
      <c r="A455" s="3">
        <v>45700.685844907406</v>
      </c>
      <c r="B455" t="s">
        <v>80</v>
      </c>
      <c r="C455" s="3">
        <v>45700.857523148152</v>
      </c>
      <c r="D455" t="s">
        <v>80</v>
      </c>
      <c r="E455" s="4">
        <v>69.582999999999998</v>
      </c>
      <c r="F455" s="4">
        <v>527826.36</v>
      </c>
      <c r="G455" s="4">
        <v>527895.94299999997</v>
      </c>
      <c r="H455" s="5">
        <f>6280 / 86400</f>
        <v>7.2685185185185186E-2</v>
      </c>
      <c r="I455" t="s">
        <v>37</v>
      </c>
      <c r="J455" t="s">
        <v>28</v>
      </c>
      <c r="K455" s="5">
        <f>14832 / 86400</f>
        <v>0.17166666666666666</v>
      </c>
      <c r="L455" s="5">
        <f>168 / 86400</f>
        <v>1.9444444444444444E-3</v>
      </c>
    </row>
    <row r="456" spans="1:12" x14ac:dyDescent="0.25">
      <c r="A456" s="3">
        <v>45700.859467592592</v>
      </c>
      <c r="B456" t="s">
        <v>80</v>
      </c>
      <c r="C456" s="3">
        <v>45700.957673611112</v>
      </c>
      <c r="D456" t="s">
        <v>221</v>
      </c>
      <c r="E456" s="4">
        <v>43.416000000059604</v>
      </c>
      <c r="F456" s="4">
        <v>527895.94299999997</v>
      </c>
      <c r="G456" s="4">
        <v>527939.35900000005</v>
      </c>
      <c r="H456" s="5">
        <f>2981 / 86400</f>
        <v>3.4502314814814812E-2</v>
      </c>
      <c r="I456" t="s">
        <v>233</v>
      </c>
      <c r="J456" t="s">
        <v>31</v>
      </c>
      <c r="K456" s="5">
        <f>8485 / 86400</f>
        <v>9.8206018518518512E-2</v>
      </c>
      <c r="L456" s="5">
        <f>331 / 86400</f>
        <v>3.8310185185185183E-3</v>
      </c>
    </row>
    <row r="457" spans="1:12" x14ac:dyDescent="0.25">
      <c r="A457" s="3">
        <v>45700.961504629631</v>
      </c>
      <c r="B457" t="s">
        <v>221</v>
      </c>
      <c r="C457" s="3">
        <v>45700.961770833332</v>
      </c>
      <c r="D457" t="s">
        <v>71</v>
      </c>
      <c r="E457" s="4">
        <v>3.9999999403953551E-3</v>
      </c>
      <c r="F457" s="4">
        <v>527939.35900000005</v>
      </c>
      <c r="G457" s="4">
        <v>527939.36300000001</v>
      </c>
      <c r="H457" s="5">
        <f>19 / 86400</f>
        <v>2.199074074074074E-4</v>
      </c>
      <c r="I457" t="s">
        <v>42</v>
      </c>
      <c r="J457" t="s">
        <v>150</v>
      </c>
      <c r="K457" s="5">
        <f>22 / 86400</f>
        <v>2.5462962962962961E-4</v>
      </c>
      <c r="L457" s="5">
        <f>232 / 86400</f>
        <v>2.685185185185185E-3</v>
      </c>
    </row>
    <row r="458" spans="1:12" x14ac:dyDescent="0.25">
      <c r="A458" s="3">
        <v>45700.964456018519</v>
      </c>
      <c r="B458" t="s">
        <v>71</v>
      </c>
      <c r="C458" s="3">
        <v>45700.99998842593</v>
      </c>
      <c r="D458" t="s">
        <v>72</v>
      </c>
      <c r="E458" s="4">
        <v>21.623000000059605</v>
      </c>
      <c r="F458" s="4">
        <v>527939.36300000001</v>
      </c>
      <c r="G458" s="4">
        <v>527960.98600000003</v>
      </c>
      <c r="H458" s="5">
        <f>640 / 86400</f>
        <v>7.4074074074074077E-3</v>
      </c>
      <c r="I458" t="s">
        <v>33</v>
      </c>
      <c r="J458" t="s">
        <v>181</v>
      </c>
      <c r="K458" s="5">
        <f>3070 / 86400</f>
        <v>3.5532407407407408E-2</v>
      </c>
      <c r="L458" s="5">
        <f>0 / 86400</f>
        <v>0</v>
      </c>
    </row>
    <row r="459" spans="1:12" x14ac:dyDescent="0.25">
      <c r="A459" s="12"/>
      <c r="B459" s="12"/>
      <c r="C459" s="12"/>
      <c r="D459" s="12"/>
      <c r="E459" s="12"/>
      <c r="F459" s="12"/>
      <c r="G459" s="12"/>
      <c r="H459" s="12"/>
      <c r="I459" s="12"/>
      <c r="J459" s="12"/>
    </row>
    <row r="460" spans="1:12" x14ac:dyDescent="0.25">
      <c r="A460" s="12"/>
      <c r="B460" s="12"/>
      <c r="C460" s="12"/>
      <c r="D460" s="12"/>
      <c r="E460" s="12"/>
      <c r="F460" s="12"/>
      <c r="G460" s="12"/>
      <c r="H460" s="12"/>
      <c r="I460" s="12"/>
      <c r="J460" s="12"/>
    </row>
    <row r="461" spans="1:12" s="10" customFormat="1" ht="20.100000000000001" customHeight="1" x14ac:dyDescent="0.35">
      <c r="A461" s="15" t="s">
        <v>328</v>
      </c>
      <c r="B461" s="15"/>
      <c r="C461" s="15"/>
      <c r="D461" s="15"/>
      <c r="E461" s="15"/>
      <c r="F461" s="15"/>
      <c r="G461" s="15"/>
      <c r="H461" s="15"/>
      <c r="I461" s="15"/>
      <c r="J461" s="15"/>
    </row>
    <row r="462" spans="1:12" x14ac:dyDescent="0.25">
      <c r="A462" s="12"/>
      <c r="B462" s="12"/>
      <c r="C462" s="12"/>
      <c r="D462" s="12"/>
      <c r="E462" s="12"/>
      <c r="F462" s="12"/>
      <c r="G462" s="12"/>
      <c r="H462" s="12"/>
      <c r="I462" s="12"/>
      <c r="J462" s="12"/>
    </row>
    <row r="463" spans="1:12" ht="30" x14ac:dyDescent="0.25">
      <c r="A463" s="2" t="s">
        <v>6</v>
      </c>
      <c r="B463" s="2" t="s">
        <v>7</v>
      </c>
      <c r="C463" s="2" t="s">
        <v>8</v>
      </c>
      <c r="D463" s="2" t="s">
        <v>9</v>
      </c>
      <c r="E463" s="2" t="s">
        <v>10</v>
      </c>
      <c r="F463" s="2" t="s">
        <v>11</v>
      </c>
      <c r="G463" s="2" t="s">
        <v>12</v>
      </c>
      <c r="H463" s="2" t="s">
        <v>13</v>
      </c>
      <c r="I463" s="2" t="s">
        <v>14</v>
      </c>
      <c r="J463" s="2" t="s">
        <v>15</v>
      </c>
      <c r="K463" s="2" t="s">
        <v>16</v>
      </c>
      <c r="L463" s="2" t="s">
        <v>17</v>
      </c>
    </row>
    <row r="464" spans="1:12" x14ac:dyDescent="0.25">
      <c r="A464" s="3">
        <v>45700.292025462964</v>
      </c>
      <c r="B464" t="s">
        <v>32</v>
      </c>
      <c r="C464" s="3">
        <v>45700.303194444445</v>
      </c>
      <c r="D464" t="s">
        <v>234</v>
      </c>
      <c r="E464" s="4">
        <v>4.1849999999999996</v>
      </c>
      <c r="F464" s="4">
        <v>567764.071</v>
      </c>
      <c r="G464" s="4">
        <v>567768.25600000005</v>
      </c>
      <c r="H464" s="5">
        <f>398 / 86400</f>
        <v>4.6064814814814814E-3</v>
      </c>
      <c r="I464" t="s">
        <v>97</v>
      </c>
      <c r="J464" t="s">
        <v>34</v>
      </c>
      <c r="K464" s="5">
        <f>965 / 86400</f>
        <v>1.1168981481481481E-2</v>
      </c>
      <c r="L464" s="5">
        <f>25754 / 86400</f>
        <v>0.29807870370370371</v>
      </c>
    </row>
    <row r="465" spans="1:12" x14ac:dyDescent="0.25">
      <c r="A465" s="3">
        <v>45700.309247685189</v>
      </c>
      <c r="B465" t="s">
        <v>235</v>
      </c>
      <c r="C465" s="3">
        <v>45700.401921296296</v>
      </c>
      <c r="D465" t="s">
        <v>236</v>
      </c>
      <c r="E465" s="4">
        <v>49.484000000000002</v>
      </c>
      <c r="F465" s="4">
        <v>567768.25600000005</v>
      </c>
      <c r="G465" s="4">
        <v>567817.74</v>
      </c>
      <c r="H465" s="5">
        <f>2319 / 86400</f>
        <v>2.6840277777777779E-2</v>
      </c>
      <c r="I465" t="s">
        <v>74</v>
      </c>
      <c r="J465" t="s">
        <v>134</v>
      </c>
      <c r="K465" s="5">
        <f>8007 / 86400</f>
        <v>9.2673611111111109E-2</v>
      </c>
      <c r="L465" s="5">
        <f>114 / 86400</f>
        <v>1.3194444444444445E-3</v>
      </c>
    </row>
    <row r="466" spans="1:12" x14ac:dyDescent="0.25">
      <c r="A466" s="3">
        <v>45700.403240740736</v>
      </c>
      <c r="B466" t="s">
        <v>236</v>
      </c>
      <c r="C466" s="3">
        <v>45700.405451388884</v>
      </c>
      <c r="D466" t="s">
        <v>215</v>
      </c>
      <c r="E466" s="4">
        <v>0.45500000000000002</v>
      </c>
      <c r="F466" s="4">
        <v>567817.74</v>
      </c>
      <c r="G466" s="4">
        <v>567818.19499999995</v>
      </c>
      <c r="H466" s="5">
        <f>80 / 86400</f>
        <v>9.2592592592592596E-4</v>
      </c>
      <c r="I466" t="s">
        <v>142</v>
      </c>
      <c r="J466" t="s">
        <v>137</v>
      </c>
      <c r="K466" s="5">
        <f>191 / 86400</f>
        <v>2.2106481481481482E-3</v>
      </c>
      <c r="L466" s="5">
        <f>201 / 86400</f>
        <v>2.3263888888888887E-3</v>
      </c>
    </row>
    <row r="467" spans="1:12" x14ac:dyDescent="0.25">
      <c r="A467" s="3">
        <v>45700.407777777778</v>
      </c>
      <c r="B467" t="s">
        <v>215</v>
      </c>
      <c r="C467" s="3">
        <v>45700.486793981487</v>
      </c>
      <c r="D467" t="s">
        <v>107</v>
      </c>
      <c r="E467" s="4">
        <v>34.533999999999999</v>
      </c>
      <c r="F467" s="4">
        <v>567818.19499999995</v>
      </c>
      <c r="G467" s="4">
        <v>567852.72900000005</v>
      </c>
      <c r="H467" s="5">
        <f>2020 / 86400</f>
        <v>2.3379629629629629E-2</v>
      </c>
      <c r="I467" t="s">
        <v>159</v>
      </c>
      <c r="J467" t="s">
        <v>31</v>
      </c>
      <c r="K467" s="5">
        <f>6827 / 86400</f>
        <v>7.90162037037037E-2</v>
      </c>
      <c r="L467" s="5">
        <f>605 / 86400</f>
        <v>7.0023148148148145E-3</v>
      </c>
    </row>
    <row r="468" spans="1:12" x14ac:dyDescent="0.25">
      <c r="A468" s="3">
        <v>45700.493796296301</v>
      </c>
      <c r="B468" t="s">
        <v>107</v>
      </c>
      <c r="C468" s="3">
        <v>45700.497118055559</v>
      </c>
      <c r="D468" t="s">
        <v>92</v>
      </c>
      <c r="E468" s="4">
        <v>0.79200000000000004</v>
      </c>
      <c r="F468" s="4">
        <v>567852.72900000005</v>
      </c>
      <c r="G468" s="4">
        <v>567853.52099999995</v>
      </c>
      <c r="H468" s="5">
        <f>99 / 86400</f>
        <v>1.1458333333333333E-3</v>
      </c>
      <c r="I468" t="s">
        <v>189</v>
      </c>
      <c r="J468" t="s">
        <v>164</v>
      </c>
      <c r="K468" s="5">
        <f>287 / 86400</f>
        <v>3.3217592592592591E-3</v>
      </c>
      <c r="L468" s="5">
        <f>59 / 86400</f>
        <v>6.8287037037037036E-4</v>
      </c>
    </row>
    <row r="469" spans="1:12" x14ac:dyDescent="0.25">
      <c r="A469" s="3">
        <v>45700.497800925921</v>
      </c>
      <c r="B469" t="s">
        <v>92</v>
      </c>
      <c r="C469" s="3">
        <v>45700.498078703706</v>
      </c>
      <c r="D469" t="s">
        <v>92</v>
      </c>
      <c r="E469" s="4">
        <v>1.2E-2</v>
      </c>
      <c r="F469" s="4">
        <v>567853.52099999995</v>
      </c>
      <c r="G469" s="4">
        <v>567853.53300000005</v>
      </c>
      <c r="H469" s="5">
        <f>0 / 86400</f>
        <v>0</v>
      </c>
      <c r="I469" t="s">
        <v>131</v>
      </c>
      <c r="J469" t="s">
        <v>128</v>
      </c>
      <c r="K469" s="5">
        <f>24 / 86400</f>
        <v>2.7777777777777778E-4</v>
      </c>
      <c r="L469" s="5">
        <f>164 / 86400</f>
        <v>1.8981481481481482E-3</v>
      </c>
    </row>
    <row r="470" spans="1:12" x14ac:dyDescent="0.25">
      <c r="A470" s="3">
        <v>45700.499976851846</v>
      </c>
      <c r="B470" t="s">
        <v>92</v>
      </c>
      <c r="C470" s="3">
        <v>45700.500150462962</v>
      </c>
      <c r="D470" t="s">
        <v>92</v>
      </c>
      <c r="E470" s="4">
        <v>0</v>
      </c>
      <c r="F470" s="4">
        <v>567853.53300000005</v>
      </c>
      <c r="G470" s="4">
        <v>567853.53300000005</v>
      </c>
      <c r="H470" s="5">
        <f>0 / 86400</f>
        <v>0</v>
      </c>
      <c r="I470" t="s">
        <v>42</v>
      </c>
      <c r="J470" t="s">
        <v>42</v>
      </c>
      <c r="K470" s="5">
        <f>15 / 86400</f>
        <v>1.7361111111111112E-4</v>
      </c>
      <c r="L470" s="5">
        <f>5721 / 86400</f>
        <v>6.6215277777777776E-2</v>
      </c>
    </row>
    <row r="471" spans="1:12" x14ac:dyDescent="0.25">
      <c r="A471" s="3">
        <v>45700.566365740742</v>
      </c>
      <c r="B471" t="s">
        <v>92</v>
      </c>
      <c r="C471" s="3">
        <v>45700.64061342593</v>
      </c>
      <c r="D471" t="s">
        <v>236</v>
      </c>
      <c r="E471" s="4">
        <v>35.326000000000001</v>
      </c>
      <c r="F471" s="4">
        <v>567853.53300000005</v>
      </c>
      <c r="G471" s="4">
        <v>567888.85900000005</v>
      </c>
      <c r="H471" s="5">
        <f>1499 / 86400</f>
        <v>1.7349537037037038E-2</v>
      </c>
      <c r="I471" t="s">
        <v>41</v>
      </c>
      <c r="J471" t="s">
        <v>70</v>
      </c>
      <c r="K471" s="5">
        <f>6415 / 86400</f>
        <v>7.424768518518518E-2</v>
      </c>
      <c r="L471" s="5">
        <f>476 / 86400</f>
        <v>5.5092592592592589E-3</v>
      </c>
    </row>
    <row r="472" spans="1:12" x14ac:dyDescent="0.25">
      <c r="A472" s="3">
        <v>45700.646122685182</v>
      </c>
      <c r="B472" t="s">
        <v>236</v>
      </c>
      <c r="C472" s="3">
        <v>45700.646469907406</v>
      </c>
      <c r="D472" t="s">
        <v>215</v>
      </c>
      <c r="E472" s="4">
        <v>9.5000000000000001E-2</v>
      </c>
      <c r="F472" s="4">
        <v>567888.85900000005</v>
      </c>
      <c r="G472" s="4">
        <v>567888.95400000003</v>
      </c>
      <c r="H472" s="5">
        <f>0 / 86400</f>
        <v>0</v>
      </c>
      <c r="I472" t="s">
        <v>31</v>
      </c>
      <c r="J472" t="s">
        <v>55</v>
      </c>
      <c r="K472" s="5">
        <f>29 / 86400</f>
        <v>3.3564814814814812E-4</v>
      </c>
      <c r="L472" s="5">
        <f>180 / 86400</f>
        <v>2.0833333333333333E-3</v>
      </c>
    </row>
    <row r="473" spans="1:12" x14ac:dyDescent="0.25">
      <c r="A473" s="3">
        <v>45700.648553240739</v>
      </c>
      <c r="B473" t="s">
        <v>215</v>
      </c>
      <c r="C473" s="3">
        <v>45700.648935185185</v>
      </c>
      <c r="D473" t="s">
        <v>215</v>
      </c>
      <c r="E473" s="4">
        <v>1.7000000000000001E-2</v>
      </c>
      <c r="F473" s="4">
        <v>567888.95400000003</v>
      </c>
      <c r="G473" s="4">
        <v>567888.97100000002</v>
      </c>
      <c r="H473" s="5">
        <f>20 / 86400</f>
        <v>2.3148148148148149E-4</v>
      </c>
      <c r="I473" t="s">
        <v>131</v>
      </c>
      <c r="J473" t="s">
        <v>128</v>
      </c>
      <c r="K473" s="5">
        <f>32 / 86400</f>
        <v>3.7037037037037035E-4</v>
      </c>
      <c r="L473" s="5">
        <f>356 / 86400</f>
        <v>4.1203703703703706E-3</v>
      </c>
    </row>
    <row r="474" spans="1:12" x14ac:dyDescent="0.25">
      <c r="A474" s="3">
        <v>45700.653055555551</v>
      </c>
      <c r="B474" t="s">
        <v>215</v>
      </c>
      <c r="C474" s="3">
        <v>45700.729467592595</v>
      </c>
      <c r="D474" t="s">
        <v>151</v>
      </c>
      <c r="E474" s="4">
        <v>29.577000000000002</v>
      </c>
      <c r="F474" s="4">
        <v>567888.97100000002</v>
      </c>
      <c r="G474" s="4">
        <v>567918.54799999995</v>
      </c>
      <c r="H474" s="5">
        <f>2499 / 86400</f>
        <v>2.8923611111111112E-2</v>
      </c>
      <c r="I474" t="s">
        <v>159</v>
      </c>
      <c r="J474" t="s">
        <v>34</v>
      </c>
      <c r="K474" s="5">
        <f>6602 / 86400</f>
        <v>7.6412037037037042E-2</v>
      </c>
      <c r="L474" s="5">
        <f>14 / 86400</f>
        <v>1.6203703703703703E-4</v>
      </c>
    </row>
    <row r="475" spans="1:12" x14ac:dyDescent="0.25">
      <c r="A475" s="3">
        <v>45700.729629629626</v>
      </c>
      <c r="B475" t="s">
        <v>151</v>
      </c>
      <c r="C475" s="3">
        <v>45700.770914351851</v>
      </c>
      <c r="D475" t="s">
        <v>154</v>
      </c>
      <c r="E475" s="4">
        <v>18.562000000000001</v>
      </c>
      <c r="F475" s="4">
        <v>567918.54799999995</v>
      </c>
      <c r="G475" s="4">
        <v>567937.11</v>
      </c>
      <c r="H475" s="5">
        <f>1240 / 86400</f>
        <v>1.4351851851851852E-2</v>
      </c>
      <c r="I475" t="s">
        <v>65</v>
      </c>
      <c r="J475" t="s">
        <v>23</v>
      </c>
      <c r="K475" s="5">
        <f>3567 / 86400</f>
        <v>4.1284722222222223E-2</v>
      </c>
      <c r="L475" s="5">
        <f>456 / 86400</f>
        <v>5.2777777777777779E-3</v>
      </c>
    </row>
    <row r="476" spans="1:12" x14ac:dyDescent="0.25">
      <c r="A476" s="3">
        <v>45700.776192129633</v>
      </c>
      <c r="B476" t="s">
        <v>154</v>
      </c>
      <c r="C476" s="3">
        <v>45700.781388888892</v>
      </c>
      <c r="D476" t="s">
        <v>32</v>
      </c>
      <c r="E476" s="4">
        <v>2.3969999999999998</v>
      </c>
      <c r="F476" s="4">
        <v>567937.11</v>
      </c>
      <c r="G476" s="4">
        <v>567939.50699999998</v>
      </c>
      <c r="H476" s="5">
        <f>121 / 86400</f>
        <v>1.4004629629629629E-3</v>
      </c>
      <c r="I476" t="s">
        <v>237</v>
      </c>
      <c r="J476" t="s">
        <v>23</v>
      </c>
      <c r="K476" s="5">
        <f>448 / 86400</f>
        <v>5.185185185185185E-3</v>
      </c>
      <c r="L476" s="5">
        <f>1492 / 86400</f>
        <v>1.726851851851852E-2</v>
      </c>
    </row>
    <row r="477" spans="1:12" x14ac:dyDescent="0.25">
      <c r="A477" s="3">
        <v>45700.798657407402</v>
      </c>
      <c r="B477" t="s">
        <v>32</v>
      </c>
      <c r="C477" s="3">
        <v>45700.799675925926</v>
      </c>
      <c r="D477" t="s">
        <v>32</v>
      </c>
      <c r="E477" s="4">
        <v>5.3999999999999999E-2</v>
      </c>
      <c r="F477" s="4">
        <v>567939.50699999998</v>
      </c>
      <c r="G477" s="4">
        <v>567939.56099999999</v>
      </c>
      <c r="H477" s="5">
        <f>19 / 86400</f>
        <v>2.199074074074074E-4</v>
      </c>
      <c r="I477" t="s">
        <v>131</v>
      </c>
      <c r="J477" t="s">
        <v>128</v>
      </c>
      <c r="K477" s="5">
        <f>87 / 86400</f>
        <v>1.0069444444444444E-3</v>
      </c>
      <c r="L477" s="5">
        <f>17307 / 86400</f>
        <v>0.2003125</v>
      </c>
    </row>
    <row r="478" spans="1:12" x14ac:dyDescent="0.25">
      <c r="A478" s="12"/>
      <c r="B478" s="12"/>
      <c r="C478" s="12"/>
      <c r="D478" s="12"/>
      <c r="E478" s="12"/>
      <c r="F478" s="12"/>
      <c r="G478" s="12"/>
      <c r="H478" s="12"/>
      <c r="I478" s="12"/>
      <c r="J478" s="12"/>
    </row>
    <row r="479" spans="1:12" x14ac:dyDescent="0.25">
      <c r="A479" s="12"/>
      <c r="B479" s="12"/>
      <c r="C479" s="12"/>
      <c r="D479" s="12"/>
      <c r="E479" s="12"/>
      <c r="F479" s="12"/>
      <c r="G479" s="12"/>
      <c r="H479" s="12"/>
      <c r="I479" s="12"/>
      <c r="J479" s="12"/>
    </row>
    <row r="480" spans="1:12" s="10" customFormat="1" ht="20.100000000000001" customHeight="1" x14ac:dyDescent="0.35">
      <c r="A480" s="15" t="s">
        <v>329</v>
      </c>
      <c r="B480" s="15"/>
      <c r="C480" s="15"/>
      <c r="D480" s="15"/>
      <c r="E480" s="15"/>
      <c r="F480" s="15"/>
      <c r="G480" s="15"/>
      <c r="H480" s="15"/>
      <c r="I480" s="15"/>
      <c r="J480" s="15"/>
    </row>
    <row r="481" spans="1:12" x14ac:dyDescent="0.25">
      <c r="A481" s="12"/>
      <c r="B481" s="12"/>
      <c r="C481" s="12"/>
      <c r="D481" s="12"/>
      <c r="E481" s="12"/>
      <c r="F481" s="12"/>
      <c r="G481" s="12"/>
      <c r="H481" s="12"/>
      <c r="I481" s="12"/>
      <c r="J481" s="12"/>
    </row>
    <row r="482" spans="1:12" ht="30" x14ac:dyDescent="0.25">
      <c r="A482" s="2" t="s">
        <v>6</v>
      </c>
      <c r="B482" s="2" t="s">
        <v>7</v>
      </c>
      <c r="C482" s="2" t="s">
        <v>8</v>
      </c>
      <c r="D482" s="2" t="s">
        <v>9</v>
      </c>
      <c r="E482" s="2" t="s">
        <v>10</v>
      </c>
      <c r="F482" s="2" t="s">
        <v>11</v>
      </c>
      <c r="G482" s="2" t="s">
        <v>12</v>
      </c>
      <c r="H482" s="2" t="s">
        <v>13</v>
      </c>
      <c r="I482" s="2" t="s">
        <v>14</v>
      </c>
      <c r="J482" s="2" t="s">
        <v>15</v>
      </c>
      <c r="K482" s="2" t="s">
        <v>16</v>
      </c>
      <c r="L482" s="2" t="s">
        <v>17</v>
      </c>
    </row>
    <row r="483" spans="1:12" x14ac:dyDescent="0.25">
      <c r="A483" s="3">
        <v>45700.39230324074</v>
      </c>
      <c r="B483" t="s">
        <v>75</v>
      </c>
      <c r="C483" s="3">
        <v>45700.394085648149</v>
      </c>
      <c r="D483" t="s">
        <v>75</v>
      </c>
      <c r="E483" s="4">
        <v>4.5999999999999999E-2</v>
      </c>
      <c r="F483" s="4">
        <v>435315.527</v>
      </c>
      <c r="G483" s="4">
        <v>435315.57299999997</v>
      </c>
      <c r="H483" s="5">
        <f>99 / 86400</f>
        <v>1.1458333333333333E-3</v>
      </c>
      <c r="I483" t="s">
        <v>149</v>
      </c>
      <c r="J483" t="s">
        <v>150</v>
      </c>
      <c r="K483" s="5">
        <f>153 / 86400</f>
        <v>1.7708333333333332E-3</v>
      </c>
      <c r="L483" s="5">
        <f>35366 / 86400</f>
        <v>0.40932870370370372</v>
      </c>
    </row>
    <row r="484" spans="1:12" x14ac:dyDescent="0.25">
      <c r="A484" s="3">
        <v>45700.411111111112</v>
      </c>
      <c r="B484" t="s">
        <v>238</v>
      </c>
      <c r="C484" s="3">
        <v>45700.416631944448</v>
      </c>
      <c r="D484" t="s">
        <v>75</v>
      </c>
      <c r="E484" s="4">
        <v>0</v>
      </c>
      <c r="F484" s="4">
        <v>435315.57299999997</v>
      </c>
      <c r="G484" s="4">
        <v>435315.57299999997</v>
      </c>
      <c r="H484" s="5">
        <f>459 / 86400</f>
        <v>5.3125000000000004E-3</v>
      </c>
      <c r="I484" t="s">
        <v>42</v>
      </c>
      <c r="J484" t="s">
        <v>42</v>
      </c>
      <c r="K484" s="5">
        <f>476 / 86400</f>
        <v>5.5092592592592589E-3</v>
      </c>
      <c r="L484" s="5">
        <f>3 / 86400</f>
        <v>3.4722222222222222E-5</v>
      </c>
    </row>
    <row r="485" spans="1:12" x14ac:dyDescent="0.25">
      <c r="A485" s="3">
        <v>45700.416666666672</v>
      </c>
      <c r="B485" t="s">
        <v>75</v>
      </c>
      <c r="C485" s="3">
        <v>45700.417858796296</v>
      </c>
      <c r="D485" t="s">
        <v>75</v>
      </c>
      <c r="E485" s="4">
        <v>0</v>
      </c>
      <c r="F485" s="4">
        <v>435315.57299999997</v>
      </c>
      <c r="G485" s="4">
        <v>435315.57299999997</v>
      </c>
      <c r="H485" s="5">
        <f>99 / 86400</f>
        <v>1.1458333333333333E-3</v>
      </c>
      <c r="I485" t="s">
        <v>42</v>
      </c>
      <c r="J485" t="s">
        <v>42</v>
      </c>
      <c r="K485" s="5">
        <f>102 / 86400</f>
        <v>1.1805555555555556E-3</v>
      </c>
      <c r="L485" s="5">
        <f>59 / 86400</f>
        <v>6.8287037037037036E-4</v>
      </c>
    </row>
    <row r="486" spans="1:12" x14ac:dyDescent="0.25">
      <c r="A486" s="3">
        <v>45700.418541666666</v>
      </c>
      <c r="B486" t="s">
        <v>75</v>
      </c>
      <c r="C486" s="3">
        <v>45700.418680555551</v>
      </c>
      <c r="D486" t="s">
        <v>75</v>
      </c>
      <c r="E486" s="4">
        <v>0</v>
      </c>
      <c r="F486" s="4">
        <v>435315.57299999997</v>
      </c>
      <c r="G486" s="4">
        <v>435315.57299999997</v>
      </c>
      <c r="H486" s="5">
        <f>0 / 86400</f>
        <v>0</v>
      </c>
      <c r="I486" t="s">
        <v>42</v>
      </c>
      <c r="J486" t="s">
        <v>42</v>
      </c>
      <c r="K486" s="5">
        <f>12 / 86400</f>
        <v>1.3888888888888889E-4</v>
      </c>
      <c r="L486" s="5">
        <f>25 / 86400</f>
        <v>2.8935185185185184E-4</v>
      </c>
    </row>
    <row r="487" spans="1:12" x14ac:dyDescent="0.25">
      <c r="A487" s="3">
        <v>45700.418969907405</v>
      </c>
      <c r="B487" t="s">
        <v>75</v>
      </c>
      <c r="C487" s="3">
        <v>45700.419039351851</v>
      </c>
      <c r="D487" t="s">
        <v>75</v>
      </c>
      <c r="E487" s="4">
        <v>0</v>
      </c>
      <c r="F487" s="4">
        <v>435315.57299999997</v>
      </c>
      <c r="G487" s="4">
        <v>435315.57299999997</v>
      </c>
      <c r="H487" s="5">
        <f>0 / 86400</f>
        <v>0</v>
      </c>
      <c r="I487" t="s">
        <v>42</v>
      </c>
      <c r="J487" t="s">
        <v>42</v>
      </c>
      <c r="K487" s="5">
        <f>5 / 86400</f>
        <v>5.7870370370370373E-5</v>
      </c>
      <c r="L487" s="5">
        <f>149 / 86400</f>
        <v>1.724537037037037E-3</v>
      </c>
    </row>
    <row r="488" spans="1:12" x14ac:dyDescent="0.25">
      <c r="A488" s="3">
        <v>45700.420763888891</v>
      </c>
      <c r="B488" t="s">
        <v>75</v>
      </c>
      <c r="C488" s="3">
        <v>45700.421006944445</v>
      </c>
      <c r="D488" t="s">
        <v>75</v>
      </c>
      <c r="E488" s="4">
        <v>0</v>
      </c>
      <c r="F488" s="4">
        <v>435315.57299999997</v>
      </c>
      <c r="G488" s="4">
        <v>435315.57299999997</v>
      </c>
      <c r="H488" s="5">
        <f>19 / 86400</f>
        <v>2.199074074074074E-4</v>
      </c>
      <c r="I488" t="s">
        <v>42</v>
      </c>
      <c r="J488" t="s">
        <v>42</v>
      </c>
      <c r="K488" s="5">
        <f>21 / 86400</f>
        <v>2.4305555555555555E-4</v>
      </c>
      <c r="L488" s="5">
        <f>2 / 86400</f>
        <v>2.3148148148148147E-5</v>
      </c>
    </row>
    <row r="489" spans="1:12" x14ac:dyDescent="0.25">
      <c r="A489" s="3">
        <v>45700.421030092592</v>
      </c>
      <c r="B489" t="s">
        <v>75</v>
      </c>
      <c r="C489" s="3">
        <v>45700.421064814815</v>
      </c>
      <c r="D489" t="s">
        <v>75</v>
      </c>
      <c r="E489" s="4">
        <v>0</v>
      </c>
      <c r="F489" s="4">
        <v>435315.57299999997</v>
      </c>
      <c r="G489" s="4">
        <v>435315.57299999997</v>
      </c>
      <c r="H489" s="5">
        <f>0 / 86400</f>
        <v>0</v>
      </c>
      <c r="I489" t="s">
        <v>42</v>
      </c>
      <c r="J489" t="s">
        <v>42</v>
      </c>
      <c r="K489" s="5">
        <f>3 / 86400</f>
        <v>3.4722222222222222E-5</v>
      </c>
      <c r="L489" s="5">
        <f>14 / 86400</f>
        <v>1.6203703703703703E-4</v>
      </c>
    </row>
    <row r="490" spans="1:12" x14ac:dyDescent="0.25">
      <c r="A490" s="3">
        <v>45700.421226851853</v>
      </c>
      <c r="B490" t="s">
        <v>75</v>
      </c>
      <c r="C490" s="3">
        <v>45700.42123842593</v>
      </c>
      <c r="D490" t="s">
        <v>75</v>
      </c>
      <c r="E490" s="4">
        <v>0</v>
      </c>
      <c r="F490" s="4">
        <v>435315.57299999997</v>
      </c>
      <c r="G490" s="4">
        <v>435315.57299999997</v>
      </c>
      <c r="H490" s="5">
        <f>0 / 86400</f>
        <v>0</v>
      </c>
      <c r="I490" t="s">
        <v>42</v>
      </c>
      <c r="J490" t="s">
        <v>42</v>
      </c>
      <c r="K490" s="5">
        <f>0 / 86400</f>
        <v>0</v>
      </c>
      <c r="L490" s="5">
        <f>2 / 86400</f>
        <v>2.3148148148148147E-5</v>
      </c>
    </row>
    <row r="491" spans="1:12" x14ac:dyDescent="0.25">
      <c r="A491" s="3">
        <v>45700.421261574069</v>
      </c>
      <c r="B491" t="s">
        <v>75</v>
      </c>
      <c r="C491" s="3">
        <v>45700.421307870369</v>
      </c>
      <c r="D491" t="s">
        <v>75</v>
      </c>
      <c r="E491" s="4">
        <v>0</v>
      </c>
      <c r="F491" s="4">
        <v>435315.57299999997</v>
      </c>
      <c r="G491" s="4">
        <v>435315.57299999997</v>
      </c>
      <c r="H491" s="5">
        <f>0 / 86400</f>
        <v>0</v>
      </c>
      <c r="I491" t="s">
        <v>42</v>
      </c>
      <c r="J491" t="s">
        <v>42</v>
      </c>
      <c r="K491" s="5">
        <f>4 / 86400</f>
        <v>4.6296296296296294E-5</v>
      </c>
      <c r="L491" s="5">
        <f>9 / 86400</f>
        <v>1.0416666666666667E-4</v>
      </c>
    </row>
    <row r="492" spans="1:12" x14ac:dyDescent="0.25">
      <c r="A492" s="3">
        <v>45700.421412037038</v>
      </c>
      <c r="B492" t="s">
        <v>75</v>
      </c>
      <c r="C492" s="3">
        <v>45700.421678240746</v>
      </c>
      <c r="D492" t="s">
        <v>75</v>
      </c>
      <c r="E492" s="4">
        <v>0</v>
      </c>
      <c r="F492" s="4">
        <v>435315.57299999997</v>
      </c>
      <c r="G492" s="4">
        <v>435315.57299999997</v>
      </c>
      <c r="H492" s="5">
        <f>4 / 86400</f>
        <v>4.6296296296296294E-5</v>
      </c>
      <c r="I492" t="s">
        <v>42</v>
      </c>
      <c r="J492" t="s">
        <v>42</v>
      </c>
      <c r="K492" s="5">
        <f>23 / 86400</f>
        <v>2.6620370370370372E-4</v>
      </c>
      <c r="L492" s="5">
        <f>6 / 86400</f>
        <v>6.9444444444444444E-5</v>
      </c>
    </row>
    <row r="493" spans="1:12" x14ac:dyDescent="0.25">
      <c r="A493" s="3">
        <v>45700.421747685185</v>
      </c>
      <c r="B493" t="s">
        <v>75</v>
      </c>
      <c r="C493" s="3">
        <v>45700.428148148145</v>
      </c>
      <c r="D493" t="s">
        <v>75</v>
      </c>
      <c r="E493" s="4">
        <v>0</v>
      </c>
      <c r="F493" s="4">
        <v>435315.57299999997</v>
      </c>
      <c r="G493" s="4">
        <v>435315.57299999997</v>
      </c>
      <c r="H493" s="5">
        <f>539 / 86400</f>
        <v>6.2384259259259259E-3</v>
      </c>
      <c r="I493" t="s">
        <v>42</v>
      </c>
      <c r="J493" t="s">
        <v>42</v>
      </c>
      <c r="K493" s="5">
        <f>553 / 86400</f>
        <v>6.4004629629629628E-3</v>
      </c>
      <c r="L493" s="5">
        <f>265 / 86400</f>
        <v>3.0671296296296297E-3</v>
      </c>
    </row>
    <row r="494" spans="1:12" x14ac:dyDescent="0.25">
      <c r="A494" s="3">
        <v>45700.431215277778</v>
      </c>
      <c r="B494" t="s">
        <v>75</v>
      </c>
      <c r="C494" s="3">
        <v>45700.437280092592</v>
      </c>
      <c r="D494" t="s">
        <v>238</v>
      </c>
      <c r="E494" s="4">
        <v>0</v>
      </c>
      <c r="F494" s="4">
        <v>435315.57299999997</v>
      </c>
      <c r="G494" s="4">
        <v>435315.57299999997</v>
      </c>
      <c r="H494" s="5">
        <f>519 / 86400</f>
        <v>6.0069444444444441E-3</v>
      </c>
      <c r="I494" t="s">
        <v>42</v>
      </c>
      <c r="J494" t="s">
        <v>42</v>
      </c>
      <c r="K494" s="5">
        <f>524 / 86400</f>
        <v>6.0648148148148145E-3</v>
      </c>
      <c r="L494" s="5">
        <f>2 / 86400</f>
        <v>2.3148148148148147E-5</v>
      </c>
    </row>
    <row r="495" spans="1:12" x14ac:dyDescent="0.25">
      <c r="A495" s="3">
        <v>45700.437303240746</v>
      </c>
      <c r="B495" t="s">
        <v>238</v>
      </c>
      <c r="C495" s="3">
        <v>45700.439618055556</v>
      </c>
      <c r="D495" t="s">
        <v>238</v>
      </c>
      <c r="E495" s="4">
        <v>0</v>
      </c>
      <c r="F495" s="4">
        <v>435315.57299999997</v>
      </c>
      <c r="G495" s="4">
        <v>435315.57299999997</v>
      </c>
      <c r="H495" s="5">
        <f>193 / 86400</f>
        <v>2.2337962962962962E-3</v>
      </c>
      <c r="I495" t="s">
        <v>42</v>
      </c>
      <c r="J495" t="s">
        <v>42</v>
      </c>
      <c r="K495" s="5">
        <f>200 / 86400</f>
        <v>2.3148148148148147E-3</v>
      </c>
      <c r="L495" s="5">
        <f>252 / 86400</f>
        <v>2.9166666666666668E-3</v>
      </c>
    </row>
    <row r="496" spans="1:12" x14ac:dyDescent="0.25">
      <c r="A496" s="3">
        <v>45700.44253472222</v>
      </c>
      <c r="B496" t="s">
        <v>238</v>
      </c>
      <c r="C496" s="3">
        <v>45700.446875000001</v>
      </c>
      <c r="D496" t="s">
        <v>238</v>
      </c>
      <c r="E496" s="4">
        <v>0</v>
      </c>
      <c r="F496" s="4">
        <v>435315.57299999997</v>
      </c>
      <c r="G496" s="4">
        <v>435315.57299999997</v>
      </c>
      <c r="H496" s="5">
        <f>359 / 86400</f>
        <v>4.1550925925925922E-3</v>
      </c>
      <c r="I496" t="s">
        <v>42</v>
      </c>
      <c r="J496" t="s">
        <v>42</v>
      </c>
      <c r="K496" s="5">
        <f>375 / 86400</f>
        <v>4.340277777777778E-3</v>
      </c>
      <c r="L496" s="5">
        <f>1545 / 86400</f>
        <v>1.7881944444444443E-2</v>
      </c>
    </row>
    <row r="497" spans="1:12" x14ac:dyDescent="0.25">
      <c r="A497" s="3">
        <v>45700.46475694445</v>
      </c>
      <c r="B497" t="s">
        <v>238</v>
      </c>
      <c r="C497" s="3">
        <v>45700.465462962966</v>
      </c>
      <c r="D497" t="s">
        <v>238</v>
      </c>
      <c r="E497" s="4">
        <v>0</v>
      </c>
      <c r="F497" s="4">
        <v>435315.57299999997</v>
      </c>
      <c r="G497" s="4">
        <v>435315.57299999997</v>
      </c>
      <c r="H497" s="5">
        <f>39 / 86400</f>
        <v>4.5138888888888887E-4</v>
      </c>
      <c r="I497" t="s">
        <v>42</v>
      </c>
      <c r="J497" t="s">
        <v>42</v>
      </c>
      <c r="K497" s="5">
        <f>60 / 86400</f>
        <v>6.9444444444444447E-4</v>
      </c>
      <c r="L497" s="5">
        <f>823 / 86400</f>
        <v>9.525462962962963E-3</v>
      </c>
    </row>
    <row r="498" spans="1:12" x14ac:dyDescent="0.25">
      <c r="A498" s="3">
        <v>45700.474988425922</v>
      </c>
      <c r="B498" t="s">
        <v>238</v>
      </c>
      <c r="C498" s="3">
        <v>45700.482314814813</v>
      </c>
      <c r="D498" t="s">
        <v>238</v>
      </c>
      <c r="E498" s="4">
        <v>0</v>
      </c>
      <c r="F498" s="4">
        <v>435315.57299999997</v>
      </c>
      <c r="G498" s="4">
        <v>435315.57299999997</v>
      </c>
      <c r="H498" s="5">
        <f>619 / 86400</f>
        <v>7.1643518518518514E-3</v>
      </c>
      <c r="I498" t="s">
        <v>42</v>
      </c>
      <c r="J498" t="s">
        <v>42</v>
      </c>
      <c r="K498" s="5">
        <f>633 / 86400</f>
        <v>7.3263888888888892E-3</v>
      </c>
      <c r="L498" s="5">
        <f>1550 / 86400</f>
        <v>1.7939814814814815E-2</v>
      </c>
    </row>
    <row r="499" spans="1:12" x14ac:dyDescent="0.25">
      <c r="A499" s="3">
        <v>45700.500254629631</v>
      </c>
      <c r="B499" t="s">
        <v>238</v>
      </c>
      <c r="C499" s="3">
        <v>45700.501828703702</v>
      </c>
      <c r="D499" t="s">
        <v>75</v>
      </c>
      <c r="E499" s="4">
        <v>1.0999999999999999E-2</v>
      </c>
      <c r="F499" s="4">
        <v>435315.57299999997</v>
      </c>
      <c r="G499" s="4">
        <v>435315.58399999997</v>
      </c>
      <c r="H499" s="5">
        <f>78 / 86400</f>
        <v>9.0277777777777774E-4</v>
      </c>
      <c r="I499" t="s">
        <v>149</v>
      </c>
      <c r="J499" t="s">
        <v>42</v>
      </c>
      <c r="K499" s="5">
        <f>135 / 86400</f>
        <v>1.5625000000000001E-3</v>
      </c>
      <c r="L499" s="5">
        <f>17330 / 86400</f>
        <v>0.2005787037037037</v>
      </c>
    </row>
    <row r="500" spans="1:12" x14ac:dyDescent="0.25">
      <c r="A500" s="3">
        <v>45700.702407407407</v>
      </c>
      <c r="B500" t="s">
        <v>238</v>
      </c>
      <c r="C500" s="3">
        <v>45700.702835648146</v>
      </c>
      <c r="D500" t="s">
        <v>75</v>
      </c>
      <c r="E500" s="4">
        <v>0</v>
      </c>
      <c r="F500" s="4">
        <v>435315.58399999997</v>
      </c>
      <c r="G500" s="4">
        <v>435315.58399999997</v>
      </c>
      <c r="H500" s="5">
        <f>19 / 86400</f>
        <v>2.199074074074074E-4</v>
      </c>
      <c r="I500" t="s">
        <v>42</v>
      </c>
      <c r="J500" t="s">
        <v>42</v>
      </c>
      <c r="K500" s="5">
        <f>36 / 86400</f>
        <v>4.1666666666666669E-4</v>
      </c>
      <c r="L500" s="5">
        <f>209 / 86400</f>
        <v>2.4189814814814816E-3</v>
      </c>
    </row>
    <row r="501" spans="1:12" x14ac:dyDescent="0.25">
      <c r="A501" s="3">
        <v>45700.705254629633</v>
      </c>
      <c r="B501" t="s">
        <v>75</v>
      </c>
      <c r="C501" s="3">
        <v>45700.714803240742</v>
      </c>
      <c r="D501" t="s">
        <v>239</v>
      </c>
      <c r="E501" s="4">
        <v>4.1970000000000001</v>
      </c>
      <c r="F501" s="4">
        <v>435315.58399999997</v>
      </c>
      <c r="G501" s="4">
        <v>435319.78100000002</v>
      </c>
      <c r="H501" s="5">
        <f>20 / 86400</f>
        <v>2.3148148148148149E-4</v>
      </c>
      <c r="I501" t="s">
        <v>76</v>
      </c>
      <c r="J501" t="s">
        <v>31</v>
      </c>
      <c r="K501" s="5">
        <f>825 / 86400</f>
        <v>9.5486111111111119E-3</v>
      </c>
      <c r="L501" s="5">
        <f>437 / 86400</f>
        <v>5.0578703703703706E-3</v>
      </c>
    </row>
    <row r="502" spans="1:12" x14ac:dyDescent="0.25">
      <c r="A502" s="3">
        <v>45700.719861111109</v>
      </c>
      <c r="B502" t="s">
        <v>239</v>
      </c>
      <c r="C502" s="3">
        <v>45700.720231481479</v>
      </c>
      <c r="D502" t="s">
        <v>239</v>
      </c>
      <c r="E502" s="4">
        <v>4.0000000000000001E-3</v>
      </c>
      <c r="F502" s="4">
        <v>435319.78100000002</v>
      </c>
      <c r="G502" s="4">
        <v>435319.78499999997</v>
      </c>
      <c r="H502" s="5">
        <f>19 / 86400</f>
        <v>2.199074074074074E-4</v>
      </c>
      <c r="I502" t="s">
        <v>42</v>
      </c>
      <c r="J502" t="s">
        <v>42</v>
      </c>
      <c r="K502" s="5">
        <f>32 / 86400</f>
        <v>3.7037037037037035E-4</v>
      </c>
      <c r="L502" s="5">
        <f>364 / 86400</f>
        <v>4.2129629629629626E-3</v>
      </c>
    </row>
    <row r="503" spans="1:12" x14ac:dyDescent="0.25">
      <c r="A503" s="3">
        <v>45700.724444444444</v>
      </c>
      <c r="B503" t="s">
        <v>239</v>
      </c>
      <c r="C503" s="3">
        <v>45700.725300925929</v>
      </c>
      <c r="D503" t="s">
        <v>240</v>
      </c>
      <c r="E503" s="4">
        <v>0.03</v>
      </c>
      <c r="F503" s="4">
        <v>435319.78499999997</v>
      </c>
      <c r="G503" s="4">
        <v>435319.815</v>
      </c>
      <c r="H503" s="5">
        <f>39 / 86400</f>
        <v>4.5138888888888887E-4</v>
      </c>
      <c r="I503" t="s">
        <v>150</v>
      </c>
      <c r="J503" t="s">
        <v>150</v>
      </c>
      <c r="K503" s="5">
        <f>74 / 86400</f>
        <v>8.564814814814815E-4</v>
      </c>
      <c r="L503" s="5">
        <f>5 / 86400</f>
        <v>5.7870370370370373E-5</v>
      </c>
    </row>
    <row r="504" spans="1:12" x14ac:dyDescent="0.25">
      <c r="A504" s="3">
        <v>45700.725358796291</v>
      </c>
      <c r="B504" t="s">
        <v>240</v>
      </c>
      <c r="C504" s="3">
        <v>45700.795416666668</v>
      </c>
      <c r="D504" t="s">
        <v>241</v>
      </c>
      <c r="E504" s="4">
        <v>2.7639999999999998</v>
      </c>
      <c r="F504" s="4">
        <v>435319.815</v>
      </c>
      <c r="G504" s="4">
        <v>435322.57900000003</v>
      </c>
      <c r="H504" s="5">
        <f>5279 / 86400</f>
        <v>6.1099537037037036E-2</v>
      </c>
      <c r="I504" t="s">
        <v>173</v>
      </c>
      <c r="J504" t="s">
        <v>128</v>
      </c>
      <c r="K504" s="5">
        <f>6053 / 86400</f>
        <v>7.0057870370370368E-2</v>
      </c>
      <c r="L504" s="5">
        <f>1256 / 86400</f>
        <v>1.4537037037037038E-2</v>
      </c>
    </row>
    <row r="505" spans="1:12" x14ac:dyDescent="0.25">
      <c r="A505" s="3">
        <v>45700.809953703705</v>
      </c>
      <c r="B505" t="s">
        <v>241</v>
      </c>
      <c r="C505" s="3">
        <v>45700.855081018519</v>
      </c>
      <c r="D505" t="s">
        <v>152</v>
      </c>
      <c r="E505" s="4">
        <v>0.153</v>
      </c>
      <c r="F505" s="4">
        <v>435322.57900000003</v>
      </c>
      <c r="G505" s="4">
        <v>435322.73200000002</v>
      </c>
      <c r="H505" s="5">
        <f>3779 / 86400</f>
        <v>4.3738425925925924E-2</v>
      </c>
      <c r="I505" t="s">
        <v>137</v>
      </c>
      <c r="J505" t="s">
        <v>42</v>
      </c>
      <c r="K505" s="5">
        <f>3898 / 86400</f>
        <v>4.5115740740740741E-2</v>
      </c>
      <c r="L505" s="5">
        <f>348 / 86400</f>
        <v>4.0277777777777777E-3</v>
      </c>
    </row>
    <row r="506" spans="1:12" x14ac:dyDescent="0.25">
      <c r="A506" s="3">
        <v>45700.8591087963</v>
      </c>
      <c r="B506" t="s">
        <v>152</v>
      </c>
      <c r="C506" s="3">
        <v>45700.874351851853</v>
      </c>
      <c r="D506" t="s">
        <v>242</v>
      </c>
      <c r="E506" s="4">
        <v>5.65</v>
      </c>
      <c r="F506" s="4">
        <v>435322.73200000002</v>
      </c>
      <c r="G506" s="4">
        <v>435328.38199999998</v>
      </c>
      <c r="H506" s="5">
        <f>140 / 86400</f>
        <v>1.6203703703703703E-3</v>
      </c>
      <c r="I506" t="s">
        <v>76</v>
      </c>
      <c r="J506" t="s">
        <v>20</v>
      </c>
      <c r="K506" s="5">
        <f>1317 / 86400</f>
        <v>1.5243055555555555E-2</v>
      </c>
      <c r="L506" s="5">
        <f>249 / 86400</f>
        <v>2.8819444444444444E-3</v>
      </c>
    </row>
    <row r="507" spans="1:12" x14ac:dyDescent="0.25">
      <c r="A507" s="3">
        <v>45700.877233796295</v>
      </c>
      <c r="B507" t="s">
        <v>242</v>
      </c>
      <c r="C507" s="3">
        <v>45700.880474537036</v>
      </c>
      <c r="D507" t="s">
        <v>75</v>
      </c>
      <c r="E507" s="4">
        <v>0.83199999999999996</v>
      </c>
      <c r="F507" s="4">
        <v>435328.38199999998</v>
      </c>
      <c r="G507" s="4">
        <v>435329.21399999998</v>
      </c>
      <c r="H507" s="5">
        <f>60 / 86400</f>
        <v>6.9444444444444447E-4</v>
      </c>
      <c r="I507" t="s">
        <v>140</v>
      </c>
      <c r="J507" t="s">
        <v>126</v>
      </c>
      <c r="K507" s="5">
        <f>280 / 86400</f>
        <v>3.2407407407407406E-3</v>
      </c>
      <c r="L507" s="5">
        <f>98 / 86400</f>
        <v>1.1342592592592593E-3</v>
      </c>
    </row>
    <row r="508" spans="1:12" x14ac:dyDescent="0.25">
      <c r="A508" s="3">
        <v>45700.881608796291</v>
      </c>
      <c r="B508" t="s">
        <v>75</v>
      </c>
      <c r="C508" s="3">
        <v>45700.883368055554</v>
      </c>
      <c r="D508" t="s">
        <v>75</v>
      </c>
      <c r="E508" s="4">
        <v>3.4000000000000002E-2</v>
      </c>
      <c r="F508" s="4">
        <v>435329.21399999998</v>
      </c>
      <c r="G508" s="4">
        <v>435329.24800000002</v>
      </c>
      <c r="H508" s="5">
        <f>119 / 86400</f>
        <v>1.3773148148148147E-3</v>
      </c>
      <c r="I508" t="s">
        <v>133</v>
      </c>
      <c r="J508" t="s">
        <v>150</v>
      </c>
      <c r="K508" s="5">
        <f>151 / 86400</f>
        <v>1.7476851851851852E-3</v>
      </c>
      <c r="L508" s="5">
        <f>10076 / 86400</f>
        <v>0.11662037037037037</v>
      </c>
    </row>
    <row r="509" spans="1:12" x14ac:dyDescent="0.25">
      <c r="A509" s="12"/>
      <c r="B509" s="12"/>
      <c r="C509" s="12"/>
      <c r="D509" s="12"/>
      <c r="E509" s="12"/>
      <c r="F509" s="12"/>
      <c r="G509" s="12"/>
      <c r="H509" s="12"/>
      <c r="I509" s="12"/>
      <c r="J509" s="12"/>
    </row>
    <row r="510" spans="1:12" x14ac:dyDescent="0.25">
      <c r="A510" s="12"/>
      <c r="B510" s="12"/>
      <c r="C510" s="12"/>
      <c r="D510" s="12"/>
      <c r="E510" s="12"/>
      <c r="F510" s="12"/>
      <c r="G510" s="12"/>
      <c r="H510" s="12"/>
      <c r="I510" s="12"/>
      <c r="J510" s="12"/>
    </row>
    <row r="511" spans="1:12" s="10" customFormat="1" ht="20.100000000000001" customHeight="1" x14ac:dyDescent="0.35">
      <c r="A511" s="15" t="s">
        <v>330</v>
      </c>
      <c r="B511" s="15"/>
      <c r="C511" s="15"/>
      <c r="D511" s="15"/>
      <c r="E511" s="15"/>
      <c r="F511" s="15"/>
      <c r="G511" s="15"/>
      <c r="H511" s="15"/>
      <c r="I511" s="15"/>
      <c r="J511" s="15"/>
    </row>
    <row r="512" spans="1:12" x14ac:dyDescent="0.25">
      <c r="A512" s="12"/>
      <c r="B512" s="12"/>
      <c r="C512" s="12"/>
      <c r="D512" s="12"/>
      <c r="E512" s="12"/>
      <c r="F512" s="12"/>
      <c r="G512" s="12"/>
      <c r="H512" s="12"/>
      <c r="I512" s="12"/>
      <c r="J512" s="12"/>
    </row>
    <row r="513" spans="1:12" ht="30" x14ac:dyDescent="0.25">
      <c r="A513" s="2" t="s">
        <v>6</v>
      </c>
      <c r="B513" s="2" t="s">
        <v>7</v>
      </c>
      <c r="C513" s="2" t="s">
        <v>8</v>
      </c>
      <c r="D513" s="2" t="s">
        <v>9</v>
      </c>
      <c r="E513" s="2" t="s">
        <v>10</v>
      </c>
      <c r="F513" s="2" t="s">
        <v>11</v>
      </c>
      <c r="G513" s="2" t="s">
        <v>12</v>
      </c>
      <c r="H513" s="2" t="s">
        <v>13</v>
      </c>
      <c r="I513" s="2" t="s">
        <v>14</v>
      </c>
      <c r="J513" s="2" t="s">
        <v>15</v>
      </c>
      <c r="K513" s="2" t="s">
        <v>16</v>
      </c>
      <c r="L513" s="2" t="s">
        <v>17</v>
      </c>
    </row>
    <row r="514" spans="1:12" x14ac:dyDescent="0.25">
      <c r="A514" s="3">
        <v>45700.237453703703</v>
      </c>
      <c r="B514" t="s">
        <v>43</v>
      </c>
      <c r="C514" s="3">
        <v>45700.261608796296</v>
      </c>
      <c r="D514" t="s">
        <v>243</v>
      </c>
      <c r="E514" s="4">
        <v>13.401</v>
      </c>
      <c r="F514" s="4">
        <v>515212.99099999998</v>
      </c>
      <c r="G514" s="4">
        <v>515226.39199999999</v>
      </c>
      <c r="H514" s="5">
        <f>210 / 86400</f>
        <v>2.4305555555555556E-3</v>
      </c>
      <c r="I514" t="s">
        <v>184</v>
      </c>
      <c r="J514" t="s">
        <v>116</v>
      </c>
      <c r="K514" s="5">
        <f>2087 / 86400</f>
        <v>2.4155092592592593E-2</v>
      </c>
      <c r="L514" s="5">
        <f>20521 / 86400</f>
        <v>0.23751157407407408</v>
      </c>
    </row>
    <row r="515" spans="1:12" x14ac:dyDescent="0.25">
      <c r="A515" s="3">
        <v>45700.261666666665</v>
      </c>
      <c r="B515" t="s">
        <v>244</v>
      </c>
      <c r="C515" s="3">
        <v>45700.331747685181</v>
      </c>
      <c r="D515" t="s">
        <v>245</v>
      </c>
      <c r="E515" s="4">
        <v>29.452999999999999</v>
      </c>
      <c r="F515" s="4">
        <v>515226.41800000001</v>
      </c>
      <c r="G515" s="4">
        <v>515255.87099999998</v>
      </c>
      <c r="H515" s="5">
        <f>1889 / 86400</f>
        <v>2.1863425925925925E-2</v>
      </c>
      <c r="I515" t="s">
        <v>33</v>
      </c>
      <c r="J515" t="s">
        <v>31</v>
      </c>
      <c r="K515" s="5">
        <f>6055 / 86400</f>
        <v>7.0081018518518515E-2</v>
      </c>
      <c r="L515" s="5">
        <f>12 / 86400</f>
        <v>1.3888888888888889E-4</v>
      </c>
    </row>
    <row r="516" spans="1:12" x14ac:dyDescent="0.25">
      <c r="A516" s="3">
        <v>45700.331886574073</v>
      </c>
      <c r="B516" t="s">
        <v>245</v>
      </c>
      <c r="C516" s="3">
        <v>45700.405775462961</v>
      </c>
      <c r="D516" t="s">
        <v>246</v>
      </c>
      <c r="E516" s="4">
        <v>17.141999999999999</v>
      </c>
      <c r="F516" s="4">
        <v>515255.87300000002</v>
      </c>
      <c r="G516" s="4">
        <v>515273.01500000001</v>
      </c>
      <c r="H516" s="5">
        <f>3179 / 86400</f>
        <v>3.6793981481481483E-2</v>
      </c>
      <c r="I516" t="s">
        <v>54</v>
      </c>
      <c r="J516" t="s">
        <v>164</v>
      </c>
      <c r="K516" s="5">
        <f>6384 / 86400</f>
        <v>7.3888888888888893E-2</v>
      </c>
      <c r="L516" s="5">
        <f>1 / 86400</f>
        <v>1.1574074074074073E-5</v>
      </c>
    </row>
    <row r="517" spans="1:12" x14ac:dyDescent="0.25">
      <c r="A517" s="3">
        <v>45700.405787037038</v>
      </c>
      <c r="B517" t="s">
        <v>246</v>
      </c>
      <c r="C517" s="3">
        <v>45700.498425925922</v>
      </c>
      <c r="D517" t="s">
        <v>214</v>
      </c>
      <c r="E517" s="4">
        <v>42.755000000000003</v>
      </c>
      <c r="F517" s="4">
        <v>515273.02600000001</v>
      </c>
      <c r="G517" s="4">
        <v>515315.78100000002</v>
      </c>
      <c r="H517" s="5">
        <f>1949 / 86400</f>
        <v>2.255787037037037E-2</v>
      </c>
      <c r="I517" t="s">
        <v>155</v>
      </c>
      <c r="J517" t="s">
        <v>23</v>
      </c>
      <c r="K517" s="5">
        <f>8004 / 86400</f>
        <v>9.2638888888888896E-2</v>
      </c>
      <c r="L517" s="5">
        <f>1969 / 86400</f>
        <v>2.2789351851851852E-2</v>
      </c>
    </row>
    <row r="518" spans="1:12" x14ac:dyDescent="0.25">
      <c r="A518" s="3">
        <v>45700.521215277782</v>
      </c>
      <c r="B518" t="s">
        <v>43</v>
      </c>
      <c r="C518" s="3">
        <v>45700.525347222225</v>
      </c>
      <c r="D518" t="s">
        <v>247</v>
      </c>
      <c r="E518" s="4">
        <v>0.95199999999999996</v>
      </c>
      <c r="F518" s="4">
        <v>515315.78100000002</v>
      </c>
      <c r="G518" s="4">
        <v>515316.73300000001</v>
      </c>
      <c r="H518" s="5">
        <f>31 / 86400</f>
        <v>3.5879629629629629E-4</v>
      </c>
      <c r="I518" t="s">
        <v>70</v>
      </c>
      <c r="J518" t="s">
        <v>164</v>
      </c>
      <c r="K518" s="5">
        <f>357 / 86400</f>
        <v>4.1319444444444442E-3</v>
      </c>
      <c r="L518" s="5">
        <f>11 / 86400</f>
        <v>1.273148148148148E-4</v>
      </c>
    </row>
    <row r="519" spans="1:12" x14ac:dyDescent="0.25">
      <c r="A519" s="3">
        <v>45700.525474537033</v>
      </c>
      <c r="B519" t="s">
        <v>248</v>
      </c>
      <c r="C519" s="3">
        <v>45700.526724537034</v>
      </c>
      <c r="D519" t="s">
        <v>138</v>
      </c>
      <c r="E519" s="4">
        <v>0.17499999999999999</v>
      </c>
      <c r="F519" s="4">
        <v>515316.80800000002</v>
      </c>
      <c r="G519" s="4">
        <v>515316.98300000001</v>
      </c>
      <c r="H519" s="5">
        <f>0 / 86400</f>
        <v>0</v>
      </c>
      <c r="I519" t="s">
        <v>136</v>
      </c>
      <c r="J519" t="s">
        <v>131</v>
      </c>
      <c r="K519" s="5">
        <f>108 / 86400</f>
        <v>1.25E-3</v>
      </c>
      <c r="L519" s="5">
        <f>1093 / 86400</f>
        <v>1.2650462962962962E-2</v>
      </c>
    </row>
    <row r="520" spans="1:12" x14ac:dyDescent="0.25">
      <c r="A520" s="3">
        <v>45700.539375</v>
      </c>
      <c r="B520" t="s">
        <v>138</v>
      </c>
      <c r="C520" s="3">
        <v>45700.547777777778</v>
      </c>
      <c r="D520" t="s">
        <v>249</v>
      </c>
      <c r="E520" s="4">
        <v>2.952</v>
      </c>
      <c r="F520" s="4">
        <v>515316.98300000001</v>
      </c>
      <c r="G520" s="4">
        <v>515319.935</v>
      </c>
      <c r="H520" s="5">
        <f>119 / 86400</f>
        <v>1.3773148148148147E-3</v>
      </c>
      <c r="I520" t="s">
        <v>208</v>
      </c>
      <c r="J520" t="s">
        <v>20</v>
      </c>
      <c r="K520" s="5">
        <f>726 / 86400</f>
        <v>8.4027777777777781E-3</v>
      </c>
      <c r="L520" s="5">
        <f>3 / 86400</f>
        <v>3.4722222222222222E-5</v>
      </c>
    </row>
    <row r="521" spans="1:12" x14ac:dyDescent="0.25">
      <c r="A521" s="3">
        <v>45700.547812500001</v>
      </c>
      <c r="B521" t="s">
        <v>249</v>
      </c>
      <c r="C521" s="3">
        <v>45700.548576388886</v>
      </c>
      <c r="D521" t="s">
        <v>250</v>
      </c>
      <c r="E521" s="4">
        <v>0.52600000000000002</v>
      </c>
      <c r="F521" s="4">
        <v>515319.94699999999</v>
      </c>
      <c r="G521" s="4">
        <v>515320.473</v>
      </c>
      <c r="H521" s="5">
        <f>0 / 86400</f>
        <v>0</v>
      </c>
      <c r="I521" t="s">
        <v>226</v>
      </c>
      <c r="J521" t="s">
        <v>136</v>
      </c>
      <c r="K521" s="5">
        <f>66 / 86400</f>
        <v>7.6388888888888893E-4</v>
      </c>
      <c r="L521" s="5">
        <f>3 / 86400</f>
        <v>3.4722222222222222E-5</v>
      </c>
    </row>
    <row r="522" spans="1:12" x14ac:dyDescent="0.25">
      <c r="A522" s="3">
        <v>45700.548611111109</v>
      </c>
      <c r="B522" t="s">
        <v>250</v>
      </c>
      <c r="C522" s="3">
        <v>45700.54996527778</v>
      </c>
      <c r="D522" t="s">
        <v>250</v>
      </c>
      <c r="E522" s="4">
        <v>7.8E-2</v>
      </c>
      <c r="F522" s="4">
        <v>515320.473</v>
      </c>
      <c r="G522" s="4">
        <v>515320.55099999998</v>
      </c>
      <c r="H522" s="5">
        <f>78 / 86400</f>
        <v>9.0277777777777774E-4</v>
      </c>
      <c r="I522" t="s">
        <v>46</v>
      </c>
      <c r="J522" t="s">
        <v>128</v>
      </c>
      <c r="K522" s="5">
        <f>117 / 86400</f>
        <v>1.3541666666666667E-3</v>
      </c>
      <c r="L522" s="5">
        <f>1 / 86400</f>
        <v>1.1574074074074073E-5</v>
      </c>
    </row>
    <row r="523" spans="1:12" x14ac:dyDescent="0.25">
      <c r="A523" s="3">
        <v>45700.549976851849</v>
      </c>
      <c r="B523" t="s">
        <v>250</v>
      </c>
      <c r="C523" s="3">
        <v>45700.556944444441</v>
      </c>
      <c r="D523" t="s">
        <v>81</v>
      </c>
      <c r="E523" s="4">
        <v>1.1859999999999999</v>
      </c>
      <c r="F523" s="4">
        <v>515320.55099999998</v>
      </c>
      <c r="G523" s="4">
        <v>515321.73700000002</v>
      </c>
      <c r="H523" s="5">
        <f>170 / 86400</f>
        <v>1.9675925925925924E-3</v>
      </c>
      <c r="I523" t="s">
        <v>146</v>
      </c>
      <c r="J523" t="s">
        <v>143</v>
      </c>
      <c r="K523" s="5">
        <f>602 / 86400</f>
        <v>6.9675925925925929E-3</v>
      </c>
      <c r="L523" s="5">
        <f>2 / 86400</f>
        <v>2.3148148148148147E-5</v>
      </c>
    </row>
    <row r="524" spans="1:12" x14ac:dyDescent="0.25">
      <c r="A524" s="3">
        <v>45700.556967592594</v>
      </c>
      <c r="B524" t="s">
        <v>81</v>
      </c>
      <c r="C524" s="3">
        <v>45700.560208333336</v>
      </c>
      <c r="D524" t="s">
        <v>251</v>
      </c>
      <c r="E524" s="4">
        <v>0.81699999999999995</v>
      </c>
      <c r="F524" s="4">
        <v>515321.74</v>
      </c>
      <c r="G524" s="4">
        <v>515322.55699999997</v>
      </c>
      <c r="H524" s="5">
        <f>59 / 86400</f>
        <v>6.8287037037037036E-4</v>
      </c>
      <c r="I524" t="s">
        <v>124</v>
      </c>
      <c r="J524" t="s">
        <v>126</v>
      </c>
      <c r="K524" s="5">
        <f>280 / 86400</f>
        <v>3.2407407407407406E-3</v>
      </c>
      <c r="L524" s="5">
        <f>1 / 86400</f>
        <v>1.1574074074074073E-5</v>
      </c>
    </row>
    <row r="525" spans="1:12" x14ac:dyDescent="0.25">
      <c r="A525" s="3">
        <v>45700.560219907406</v>
      </c>
      <c r="B525" t="s">
        <v>251</v>
      </c>
      <c r="C525" s="3">
        <v>45700.561805555553</v>
      </c>
      <c r="D525" t="s">
        <v>252</v>
      </c>
      <c r="E525" s="4">
        <v>0.26600000000000001</v>
      </c>
      <c r="F525" s="4">
        <v>515322.56</v>
      </c>
      <c r="G525" s="4">
        <v>515322.826</v>
      </c>
      <c r="H525" s="5">
        <f>42 / 86400</f>
        <v>4.861111111111111E-4</v>
      </c>
      <c r="I525" t="s">
        <v>31</v>
      </c>
      <c r="J525" t="s">
        <v>143</v>
      </c>
      <c r="K525" s="5">
        <f>137 / 86400</f>
        <v>1.5856481481481481E-3</v>
      </c>
      <c r="L525" s="5">
        <f>4 / 86400</f>
        <v>4.6296296296296294E-5</v>
      </c>
    </row>
    <row r="526" spans="1:12" x14ac:dyDescent="0.25">
      <c r="A526" s="3">
        <v>45700.561851851853</v>
      </c>
      <c r="B526" t="s">
        <v>252</v>
      </c>
      <c r="C526" s="3">
        <v>45700.566296296296</v>
      </c>
      <c r="D526" t="s">
        <v>253</v>
      </c>
      <c r="E526" s="4">
        <v>1.9</v>
      </c>
      <c r="F526" s="4">
        <v>515322.82699999999</v>
      </c>
      <c r="G526" s="4">
        <v>515324.72700000001</v>
      </c>
      <c r="H526" s="5">
        <f>113 / 86400</f>
        <v>1.3078703703703703E-3</v>
      </c>
      <c r="I526" t="s">
        <v>254</v>
      </c>
      <c r="J526" t="s">
        <v>31</v>
      </c>
      <c r="K526" s="5">
        <f>384 / 86400</f>
        <v>4.4444444444444444E-3</v>
      </c>
      <c r="L526" s="5">
        <f>30 / 86400</f>
        <v>3.4722222222222224E-4</v>
      </c>
    </row>
    <row r="527" spans="1:12" x14ac:dyDescent="0.25">
      <c r="A527" s="3">
        <v>45700.566643518519</v>
      </c>
      <c r="B527" t="s">
        <v>253</v>
      </c>
      <c r="C527" s="3">
        <v>45700.772488425922</v>
      </c>
      <c r="D527" t="s">
        <v>190</v>
      </c>
      <c r="E527" s="4">
        <v>76.716999999999999</v>
      </c>
      <c r="F527" s="4">
        <v>515324.98100000003</v>
      </c>
      <c r="G527" s="4">
        <v>515401.69799999997</v>
      </c>
      <c r="H527" s="5">
        <f>6182 / 86400</f>
        <v>7.1550925925925921E-2</v>
      </c>
      <c r="I527" t="s">
        <v>33</v>
      </c>
      <c r="J527" t="s">
        <v>34</v>
      </c>
      <c r="K527" s="5">
        <f>17785 / 86400</f>
        <v>0.20584490740740741</v>
      </c>
      <c r="L527" s="5">
        <f>1 / 86400</f>
        <v>1.1574074074074073E-5</v>
      </c>
    </row>
    <row r="528" spans="1:12" x14ac:dyDescent="0.25">
      <c r="A528" s="3">
        <v>45700.772499999999</v>
      </c>
      <c r="B528" t="s">
        <v>190</v>
      </c>
      <c r="C528" s="3">
        <v>45700.78460648148</v>
      </c>
      <c r="D528" t="s">
        <v>253</v>
      </c>
      <c r="E528" s="4">
        <v>7.6269999999999998</v>
      </c>
      <c r="F528" s="4">
        <v>515401.69799999997</v>
      </c>
      <c r="G528" s="4">
        <v>515409.32500000001</v>
      </c>
      <c r="H528" s="5">
        <f>139 / 86400</f>
        <v>1.6087962962962963E-3</v>
      </c>
      <c r="I528" t="s">
        <v>184</v>
      </c>
      <c r="J528" t="s">
        <v>140</v>
      </c>
      <c r="K528" s="5">
        <f>1046 / 86400</f>
        <v>1.2106481481481482E-2</v>
      </c>
      <c r="L528" s="5">
        <f>30 / 86400</f>
        <v>3.4722222222222224E-4</v>
      </c>
    </row>
    <row r="529" spans="1:12" x14ac:dyDescent="0.25">
      <c r="A529" s="3">
        <v>45700.784953703704</v>
      </c>
      <c r="B529" t="s">
        <v>253</v>
      </c>
      <c r="C529" s="3">
        <v>45700.808321759258</v>
      </c>
      <c r="D529" t="s">
        <v>62</v>
      </c>
      <c r="E529" s="4">
        <v>8.3710000000000004</v>
      </c>
      <c r="F529" s="4">
        <v>515409.56</v>
      </c>
      <c r="G529" s="4">
        <v>515417.93099999998</v>
      </c>
      <c r="H529" s="5">
        <f>570 / 86400</f>
        <v>6.5972222222222222E-3</v>
      </c>
      <c r="I529" t="s">
        <v>174</v>
      </c>
      <c r="J529" t="s">
        <v>20</v>
      </c>
      <c r="K529" s="5">
        <f>2019 / 86400</f>
        <v>2.3368055555555555E-2</v>
      </c>
      <c r="L529" s="5">
        <f>749 / 86400</f>
        <v>8.6689814814814806E-3</v>
      </c>
    </row>
    <row r="530" spans="1:12" x14ac:dyDescent="0.25">
      <c r="A530" s="3">
        <v>45700.816990740743</v>
      </c>
      <c r="B530" t="s">
        <v>62</v>
      </c>
      <c r="C530" s="3">
        <v>45700.822997685187</v>
      </c>
      <c r="D530" t="s">
        <v>43</v>
      </c>
      <c r="E530" s="4">
        <v>0.90800000000000003</v>
      </c>
      <c r="F530" s="4">
        <v>515417.93099999998</v>
      </c>
      <c r="G530" s="4">
        <v>515418.83899999998</v>
      </c>
      <c r="H530" s="5">
        <f>210 / 86400</f>
        <v>2.4305555555555556E-3</v>
      </c>
      <c r="I530" t="s">
        <v>134</v>
      </c>
      <c r="J530" t="s">
        <v>131</v>
      </c>
      <c r="K530" s="5">
        <f>519 / 86400</f>
        <v>6.0069444444444441E-3</v>
      </c>
      <c r="L530" s="5">
        <f>15292 / 86400</f>
        <v>0.17699074074074075</v>
      </c>
    </row>
    <row r="531" spans="1:12" x14ac:dyDescent="0.25">
      <c r="A531" s="12"/>
      <c r="B531" s="12"/>
      <c r="C531" s="12"/>
      <c r="D531" s="12"/>
      <c r="E531" s="12"/>
      <c r="F531" s="12"/>
      <c r="G531" s="12"/>
      <c r="H531" s="12"/>
      <c r="I531" s="12"/>
      <c r="J531" s="12"/>
    </row>
    <row r="532" spans="1:12" x14ac:dyDescent="0.25">
      <c r="A532" s="12"/>
      <c r="B532" s="12"/>
      <c r="C532" s="12"/>
      <c r="D532" s="12"/>
      <c r="E532" s="12"/>
      <c r="F532" s="12"/>
      <c r="G532" s="12"/>
      <c r="H532" s="12"/>
      <c r="I532" s="12"/>
      <c r="J532" s="12"/>
    </row>
    <row r="533" spans="1:12" s="10" customFormat="1" ht="20.100000000000001" customHeight="1" x14ac:dyDescent="0.35">
      <c r="A533" s="15" t="s">
        <v>331</v>
      </c>
      <c r="B533" s="15"/>
      <c r="C533" s="15"/>
      <c r="D533" s="15"/>
      <c r="E533" s="15"/>
      <c r="F533" s="15"/>
      <c r="G533" s="15"/>
      <c r="H533" s="15"/>
      <c r="I533" s="15"/>
      <c r="J533" s="15"/>
    </row>
    <row r="534" spans="1:12" x14ac:dyDescent="0.25">
      <c r="A534" s="12"/>
      <c r="B534" s="12"/>
      <c r="C534" s="12"/>
      <c r="D534" s="12"/>
      <c r="E534" s="12"/>
      <c r="F534" s="12"/>
      <c r="G534" s="12"/>
      <c r="H534" s="12"/>
      <c r="I534" s="12"/>
      <c r="J534" s="12"/>
    </row>
    <row r="535" spans="1:12" ht="30" x14ac:dyDescent="0.25">
      <c r="A535" s="2" t="s">
        <v>6</v>
      </c>
      <c r="B535" s="2" t="s">
        <v>7</v>
      </c>
      <c r="C535" s="2" t="s">
        <v>8</v>
      </c>
      <c r="D535" s="2" t="s">
        <v>9</v>
      </c>
      <c r="E535" s="2" t="s">
        <v>10</v>
      </c>
      <c r="F535" s="2" t="s">
        <v>11</v>
      </c>
      <c r="G535" s="2" t="s">
        <v>12</v>
      </c>
      <c r="H535" s="2" t="s">
        <v>13</v>
      </c>
      <c r="I535" s="2" t="s">
        <v>14</v>
      </c>
      <c r="J535" s="2" t="s">
        <v>15</v>
      </c>
      <c r="K535" s="2" t="s">
        <v>16</v>
      </c>
      <c r="L535" s="2" t="s">
        <v>17</v>
      </c>
    </row>
    <row r="536" spans="1:12" x14ac:dyDescent="0.25">
      <c r="A536" s="3">
        <v>45700.226157407407</v>
      </c>
      <c r="B536" t="s">
        <v>78</v>
      </c>
      <c r="C536" s="3">
        <v>45700.811377314814</v>
      </c>
      <c r="D536" t="s">
        <v>79</v>
      </c>
      <c r="E536" s="4">
        <v>204.86600000000001</v>
      </c>
      <c r="F536" s="4">
        <v>505071.47100000002</v>
      </c>
      <c r="G536" s="4">
        <v>505276.337</v>
      </c>
      <c r="H536" s="5">
        <f>20473 / 86400</f>
        <v>0.23695601851851852</v>
      </c>
      <c r="I536" t="s">
        <v>30</v>
      </c>
      <c r="J536" t="s">
        <v>20</v>
      </c>
      <c r="K536" s="5">
        <f>50563 / 86400</f>
        <v>0.58521990740740737</v>
      </c>
      <c r="L536" s="5">
        <f>35836 / 86400</f>
        <v>0.41476851851851854</v>
      </c>
    </row>
    <row r="537" spans="1:12" x14ac:dyDescent="0.25">
      <c r="A537" s="12"/>
      <c r="B537" s="12"/>
      <c r="C537" s="12"/>
      <c r="D537" s="12"/>
      <c r="E537" s="12"/>
      <c r="F537" s="12"/>
      <c r="G537" s="12"/>
      <c r="H537" s="12"/>
      <c r="I537" s="12"/>
      <c r="J537" s="12"/>
    </row>
    <row r="538" spans="1:12" x14ac:dyDescent="0.25">
      <c r="A538" s="12"/>
      <c r="B538" s="12"/>
      <c r="C538" s="12"/>
      <c r="D538" s="12"/>
      <c r="E538" s="12"/>
      <c r="F538" s="12"/>
      <c r="G538" s="12"/>
      <c r="H538" s="12"/>
      <c r="I538" s="12"/>
      <c r="J538" s="12"/>
    </row>
    <row r="539" spans="1:12" s="10" customFormat="1" ht="20.100000000000001" customHeight="1" x14ac:dyDescent="0.35">
      <c r="A539" s="15" t="s">
        <v>332</v>
      </c>
      <c r="B539" s="15"/>
      <c r="C539" s="15"/>
      <c r="D539" s="15"/>
      <c r="E539" s="15"/>
      <c r="F539" s="15"/>
      <c r="G539" s="15"/>
      <c r="H539" s="15"/>
      <c r="I539" s="15"/>
      <c r="J539" s="15"/>
    </row>
    <row r="540" spans="1:12" x14ac:dyDescent="0.25">
      <c r="A540" s="12"/>
      <c r="B540" s="12"/>
      <c r="C540" s="12"/>
      <c r="D540" s="12"/>
      <c r="E540" s="12"/>
      <c r="F540" s="12"/>
      <c r="G540" s="12"/>
      <c r="H540" s="12"/>
      <c r="I540" s="12"/>
      <c r="J540" s="12"/>
    </row>
    <row r="541" spans="1:12" ht="30" x14ac:dyDescent="0.25">
      <c r="A541" s="2" t="s">
        <v>6</v>
      </c>
      <c r="B541" s="2" t="s">
        <v>7</v>
      </c>
      <c r="C541" s="2" t="s">
        <v>8</v>
      </c>
      <c r="D541" s="2" t="s">
        <v>9</v>
      </c>
      <c r="E541" s="2" t="s">
        <v>10</v>
      </c>
      <c r="F541" s="2" t="s">
        <v>11</v>
      </c>
      <c r="G541" s="2" t="s">
        <v>12</v>
      </c>
      <c r="H541" s="2" t="s">
        <v>13</v>
      </c>
      <c r="I541" s="2" t="s">
        <v>14</v>
      </c>
      <c r="J541" s="2" t="s">
        <v>15</v>
      </c>
      <c r="K541" s="2" t="s">
        <v>16</v>
      </c>
      <c r="L541" s="2" t="s">
        <v>17</v>
      </c>
    </row>
    <row r="542" spans="1:12" x14ac:dyDescent="0.25">
      <c r="A542" s="3">
        <v>45700.296527777777</v>
      </c>
      <c r="B542" t="s">
        <v>80</v>
      </c>
      <c r="C542" s="3">
        <v>45700.309444444443</v>
      </c>
      <c r="D542" t="s">
        <v>138</v>
      </c>
      <c r="E542" s="4">
        <v>5.5609999999999999</v>
      </c>
      <c r="F542" s="4">
        <v>352040.15600000002</v>
      </c>
      <c r="G542" s="4">
        <v>352045.717</v>
      </c>
      <c r="H542" s="5">
        <f>180 / 86400</f>
        <v>2.0833333333333333E-3</v>
      </c>
      <c r="I542" t="s">
        <v>156</v>
      </c>
      <c r="J542" t="s">
        <v>31</v>
      </c>
      <c r="K542" s="5">
        <f>1116 / 86400</f>
        <v>1.2916666666666667E-2</v>
      </c>
      <c r="L542" s="5">
        <f>26196 / 86400</f>
        <v>0.30319444444444443</v>
      </c>
    </row>
    <row r="543" spans="1:12" x14ac:dyDescent="0.25">
      <c r="A543" s="3">
        <v>45700.316111111111</v>
      </c>
      <c r="B543" t="s">
        <v>138</v>
      </c>
      <c r="C543" s="3">
        <v>45700.316342592589</v>
      </c>
      <c r="D543" t="s">
        <v>138</v>
      </c>
      <c r="E543" s="4">
        <v>0.03</v>
      </c>
      <c r="F543" s="4">
        <v>352045.717</v>
      </c>
      <c r="G543" s="4">
        <v>352045.74699999997</v>
      </c>
      <c r="H543" s="5">
        <f>0 / 86400</f>
        <v>0</v>
      </c>
      <c r="I543" t="s">
        <v>148</v>
      </c>
      <c r="J543" t="s">
        <v>131</v>
      </c>
      <c r="K543" s="5">
        <f>19 / 86400</f>
        <v>2.199074074074074E-4</v>
      </c>
      <c r="L543" s="5">
        <f>354 / 86400</f>
        <v>4.0972222222222226E-3</v>
      </c>
    </row>
    <row r="544" spans="1:12" x14ac:dyDescent="0.25">
      <c r="A544" s="3">
        <v>45700.320439814815</v>
      </c>
      <c r="B544" t="s">
        <v>138</v>
      </c>
      <c r="C544" s="3">
        <v>45700.322662037041</v>
      </c>
      <c r="D544" t="s">
        <v>193</v>
      </c>
      <c r="E544" s="4">
        <v>0.748</v>
      </c>
      <c r="F544" s="4">
        <v>352045.74699999997</v>
      </c>
      <c r="G544" s="4">
        <v>352046.495</v>
      </c>
      <c r="H544" s="5">
        <f>0 / 86400</f>
        <v>0</v>
      </c>
      <c r="I544" t="s">
        <v>23</v>
      </c>
      <c r="J544" t="s">
        <v>39</v>
      </c>
      <c r="K544" s="5">
        <f>192 / 86400</f>
        <v>2.2222222222222222E-3</v>
      </c>
      <c r="L544" s="5">
        <f>310 / 86400</f>
        <v>3.5879629629629629E-3</v>
      </c>
    </row>
    <row r="545" spans="1:12" x14ac:dyDescent="0.25">
      <c r="A545" s="3">
        <v>45700.326249999998</v>
      </c>
      <c r="B545" t="s">
        <v>193</v>
      </c>
      <c r="C545" s="3">
        <v>45700.46329861111</v>
      </c>
      <c r="D545" t="s">
        <v>188</v>
      </c>
      <c r="E545" s="4">
        <v>50.185000000000002</v>
      </c>
      <c r="F545" s="4">
        <v>352046.495</v>
      </c>
      <c r="G545" s="4">
        <v>352096.68</v>
      </c>
      <c r="H545" s="5">
        <f>4417 / 86400</f>
        <v>5.1122685185185188E-2</v>
      </c>
      <c r="I545" t="s">
        <v>30</v>
      </c>
      <c r="J545" t="s">
        <v>20</v>
      </c>
      <c r="K545" s="5">
        <f>11840 / 86400</f>
        <v>0.13703703703703704</v>
      </c>
      <c r="L545" s="5">
        <f>53 / 86400</f>
        <v>6.134259259259259E-4</v>
      </c>
    </row>
    <row r="546" spans="1:12" x14ac:dyDescent="0.25">
      <c r="A546" s="3">
        <v>45700.463912037041</v>
      </c>
      <c r="B546" t="s">
        <v>188</v>
      </c>
      <c r="C546" s="3">
        <v>45700.464108796295</v>
      </c>
      <c r="D546" t="s">
        <v>188</v>
      </c>
      <c r="E546" s="4">
        <v>6.0000000000000001E-3</v>
      </c>
      <c r="F546" s="4">
        <v>352096.68</v>
      </c>
      <c r="G546" s="4">
        <v>352096.68599999999</v>
      </c>
      <c r="H546" s="5">
        <f>0 / 86400</f>
        <v>0</v>
      </c>
      <c r="I546" t="s">
        <v>42</v>
      </c>
      <c r="J546" t="s">
        <v>150</v>
      </c>
      <c r="K546" s="5">
        <f>17 / 86400</f>
        <v>1.9675925925925926E-4</v>
      </c>
      <c r="L546" s="5">
        <f>36 / 86400</f>
        <v>4.1666666666666669E-4</v>
      </c>
    </row>
    <row r="547" spans="1:12" x14ac:dyDescent="0.25">
      <c r="A547" s="3">
        <v>45700.464525462958</v>
      </c>
      <c r="B547" t="s">
        <v>188</v>
      </c>
      <c r="C547" s="3">
        <v>45700.46471064815</v>
      </c>
      <c r="D547" t="s">
        <v>188</v>
      </c>
      <c r="E547" s="4">
        <v>5.0000000000000001E-3</v>
      </c>
      <c r="F547" s="4">
        <v>352096.68599999999</v>
      </c>
      <c r="G547" s="4">
        <v>352096.69099999999</v>
      </c>
      <c r="H547" s="5">
        <f>0 / 86400</f>
        <v>0</v>
      </c>
      <c r="I547" t="s">
        <v>42</v>
      </c>
      <c r="J547" t="s">
        <v>150</v>
      </c>
      <c r="K547" s="5">
        <f>16 / 86400</f>
        <v>1.8518518518518518E-4</v>
      </c>
      <c r="L547" s="5">
        <f>89 / 86400</f>
        <v>1.0300925925925926E-3</v>
      </c>
    </row>
    <row r="548" spans="1:12" x14ac:dyDescent="0.25">
      <c r="A548" s="3">
        <v>45700.465740740736</v>
      </c>
      <c r="B548" t="s">
        <v>188</v>
      </c>
      <c r="C548" s="3">
        <v>45700.646666666667</v>
      </c>
      <c r="D548" t="s">
        <v>62</v>
      </c>
      <c r="E548" s="4">
        <v>58.252000000000002</v>
      </c>
      <c r="F548" s="4">
        <v>352096.69099999999</v>
      </c>
      <c r="G548" s="4">
        <v>352154.94300000003</v>
      </c>
      <c r="H548" s="5">
        <f>5897 / 86400</f>
        <v>6.8252314814814821E-2</v>
      </c>
      <c r="I548" t="s">
        <v>157</v>
      </c>
      <c r="J548" t="s">
        <v>46</v>
      </c>
      <c r="K548" s="5">
        <f>15632 / 86400</f>
        <v>0.18092592592592593</v>
      </c>
      <c r="L548" s="5">
        <f>284 / 86400</f>
        <v>3.2870370370370371E-3</v>
      </c>
    </row>
    <row r="549" spans="1:12" x14ac:dyDescent="0.25">
      <c r="A549" s="3">
        <v>45700.649953703702</v>
      </c>
      <c r="B549" t="s">
        <v>62</v>
      </c>
      <c r="C549" s="3">
        <v>45700.652604166666</v>
      </c>
      <c r="D549" t="s">
        <v>197</v>
      </c>
      <c r="E549" s="4">
        <v>0.69399999999999995</v>
      </c>
      <c r="F549" s="4">
        <v>352154.94300000003</v>
      </c>
      <c r="G549" s="4">
        <v>352155.63699999999</v>
      </c>
      <c r="H549" s="5">
        <f>60 / 86400</f>
        <v>6.9444444444444447E-4</v>
      </c>
      <c r="I549" t="s">
        <v>134</v>
      </c>
      <c r="J549" t="s">
        <v>126</v>
      </c>
      <c r="K549" s="5">
        <f>228 / 86400</f>
        <v>2.638888888888889E-3</v>
      </c>
      <c r="L549" s="5">
        <f>267 / 86400</f>
        <v>3.0902777777777777E-3</v>
      </c>
    </row>
    <row r="550" spans="1:12" x14ac:dyDescent="0.25">
      <c r="A550" s="3">
        <v>45700.655694444446</v>
      </c>
      <c r="B550" t="s">
        <v>197</v>
      </c>
      <c r="C550" s="3">
        <v>45700.658032407402</v>
      </c>
      <c r="D550" t="s">
        <v>187</v>
      </c>
      <c r="E550" s="4">
        <v>7.1999999999999995E-2</v>
      </c>
      <c r="F550" s="4">
        <v>352155.63699999999</v>
      </c>
      <c r="G550" s="4">
        <v>352155.70899999997</v>
      </c>
      <c r="H550" s="5">
        <f>119 / 86400</f>
        <v>1.3773148148148147E-3</v>
      </c>
      <c r="I550" t="s">
        <v>143</v>
      </c>
      <c r="J550" t="s">
        <v>150</v>
      </c>
      <c r="K550" s="5">
        <f>201 / 86400</f>
        <v>2.3263888888888887E-3</v>
      </c>
      <c r="L550" s="5">
        <f>617 / 86400</f>
        <v>7.1412037037037034E-3</v>
      </c>
    </row>
    <row r="551" spans="1:12" x14ac:dyDescent="0.25">
      <c r="A551" s="3">
        <v>45700.665173611109</v>
      </c>
      <c r="B551" t="s">
        <v>187</v>
      </c>
      <c r="C551" s="3">
        <v>45700.792719907404</v>
      </c>
      <c r="D551" t="s">
        <v>255</v>
      </c>
      <c r="E551" s="4">
        <v>49.314</v>
      </c>
      <c r="F551" s="4">
        <v>352155.70899999997</v>
      </c>
      <c r="G551" s="4">
        <v>352205.02299999999</v>
      </c>
      <c r="H551" s="5">
        <f>3397 / 86400</f>
        <v>3.9317129629629632E-2</v>
      </c>
      <c r="I551" t="s">
        <v>54</v>
      </c>
      <c r="J551" t="s">
        <v>34</v>
      </c>
      <c r="K551" s="5">
        <f>11020 / 86400</f>
        <v>0.1275462962962963</v>
      </c>
      <c r="L551" s="5">
        <f>1302 / 86400</f>
        <v>1.5069444444444444E-2</v>
      </c>
    </row>
    <row r="552" spans="1:12" x14ac:dyDescent="0.25">
      <c r="A552" s="3">
        <v>45700.807789351849</v>
      </c>
      <c r="B552" t="s">
        <v>255</v>
      </c>
      <c r="C552" s="3">
        <v>45700.926203703704</v>
      </c>
      <c r="D552" t="s">
        <v>256</v>
      </c>
      <c r="E552" s="4">
        <v>43.203000000000003</v>
      </c>
      <c r="F552" s="4">
        <v>352205.02299999999</v>
      </c>
      <c r="G552" s="4">
        <v>352248.22600000002</v>
      </c>
      <c r="H552" s="5">
        <f>3599 / 86400</f>
        <v>4.1655092592592591E-2</v>
      </c>
      <c r="I552" t="s">
        <v>153</v>
      </c>
      <c r="J552" t="s">
        <v>20</v>
      </c>
      <c r="K552" s="5">
        <f>10230 / 86400</f>
        <v>0.11840277777777777</v>
      </c>
      <c r="L552" s="5">
        <f>31 / 86400</f>
        <v>3.5879629629629629E-4</v>
      </c>
    </row>
    <row r="553" spans="1:12" x14ac:dyDescent="0.25">
      <c r="A553" s="3">
        <v>45700.926562499997</v>
      </c>
      <c r="B553" t="s">
        <v>256</v>
      </c>
      <c r="C553" s="3">
        <v>45700.932800925926</v>
      </c>
      <c r="D553" t="s">
        <v>232</v>
      </c>
      <c r="E553" s="4">
        <v>0.36499999999999999</v>
      </c>
      <c r="F553" s="4">
        <v>352248.22600000002</v>
      </c>
      <c r="G553" s="4">
        <v>352248.59100000001</v>
      </c>
      <c r="H553" s="5">
        <f>419 / 86400</f>
        <v>4.8495370370370368E-3</v>
      </c>
      <c r="I553" t="s">
        <v>20</v>
      </c>
      <c r="J553" t="s">
        <v>128</v>
      </c>
      <c r="K553" s="5">
        <f>538 / 86400</f>
        <v>6.2268518518518515E-3</v>
      </c>
      <c r="L553" s="5">
        <f>227 / 86400</f>
        <v>2.627314814814815E-3</v>
      </c>
    </row>
    <row r="554" spans="1:12" x14ac:dyDescent="0.25">
      <c r="A554" s="3">
        <v>45700.935428240744</v>
      </c>
      <c r="B554" t="s">
        <v>232</v>
      </c>
      <c r="C554" s="3">
        <v>45700.940011574072</v>
      </c>
      <c r="D554" t="s">
        <v>81</v>
      </c>
      <c r="E554" s="4">
        <v>0.79500000000000004</v>
      </c>
      <c r="F554" s="4">
        <v>352248.59100000001</v>
      </c>
      <c r="G554" s="4">
        <v>352249.386</v>
      </c>
      <c r="H554" s="5">
        <f>100 / 86400</f>
        <v>1.1574074074074073E-3</v>
      </c>
      <c r="I554" t="s">
        <v>144</v>
      </c>
      <c r="J554" t="s">
        <v>143</v>
      </c>
      <c r="K554" s="5">
        <f>395 / 86400</f>
        <v>4.5717592592592589E-3</v>
      </c>
      <c r="L554" s="5">
        <f>5182 / 86400</f>
        <v>5.9976851851851851E-2</v>
      </c>
    </row>
    <row r="555" spans="1:12" x14ac:dyDescent="0.25">
      <c r="A555" s="12"/>
      <c r="B555" s="12"/>
      <c r="C555" s="12"/>
      <c r="D555" s="12"/>
      <c r="E555" s="12"/>
      <c r="F555" s="12"/>
      <c r="G555" s="12"/>
      <c r="H555" s="12"/>
      <c r="I555" s="12"/>
      <c r="J555" s="12"/>
    </row>
    <row r="556" spans="1:12" x14ac:dyDescent="0.25">
      <c r="A556" s="12"/>
      <c r="B556" s="12"/>
      <c r="C556" s="12"/>
      <c r="D556" s="12"/>
      <c r="E556" s="12"/>
      <c r="F556" s="12"/>
      <c r="G556" s="12"/>
      <c r="H556" s="12"/>
      <c r="I556" s="12"/>
      <c r="J556" s="12"/>
    </row>
    <row r="557" spans="1:12" s="10" customFormat="1" ht="20.100000000000001" customHeight="1" x14ac:dyDescent="0.35">
      <c r="A557" s="15" t="s">
        <v>333</v>
      </c>
      <c r="B557" s="15"/>
      <c r="C557" s="15"/>
      <c r="D557" s="15"/>
      <c r="E557" s="15"/>
      <c r="F557" s="15"/>
      <c r="G557" s="15"/>
      <c r="H557" s="15"/>
      <c r="I557" s="15"/>
      <c r="J557" s="15"/>
    </row>
    <row r="558" spans="1:12" x14ac:dyDescent="0.25">
      <c r="A558" s="12"/>
      <c r="B558" s="12"/>
      <c r="C558" s="12"/>
      <c r="D558" s="12"/>
      <c r="E558" s="12"/>
      <c r="F558" s="12"/>
      <c r="G558" s="12"/>
      <c r="H558" s="12"/>
      <c r="I558" s="12"/>
      <c r="J558" s="12"/>
    </row>
    <row r="559" spans="1:12" ht="30" x14ac:dyDescent="0.25">
      <c r="A559" s="2" t="s">
        <v>6</v>
      </c>
      <c r="B559" s="2" t="s">
        <v>7</v>
      </c>
      <c r="C559" s="2" t="s">
        <v>8</v>
      </c>
      <c r="D559" s="2" t="s">
        <v>9</v>
      </c>
      <c r="E559" s="2" t="s">
        <v>10</v>
      </c>
      <c r="F559" s="2" t="s">
        <v>11</v>
      </c>
      <c r="G559" s="2" t="s">
        <v>12</v>
      </c>
      <c r="H559" s="2" t="s">
        <v>13</v>
      </c>
      <c r="I559" s="2" t="s">
        <v>14</v>
      </c>
      <c r="J559" s="2" t="s">
        <v>15</v>
      </c>
      <c r="K559" s="2" t="s">
        <v>16</v>
      </c>
      <c r="L559" s="2" t="s">
        <v>17</v>
      </c>
    </row>
    <row r="560" spans="1:12" x14ac:dyDescent="0.25">
      <c r="A560" s="3">
        <v>45700.221701388888</v>
      </c>
      <c r="B560" t="s">
        <v>82</v>
      </c>
      <c r="C560" s="3">
        <v>45700.221990740742</v>
      </c>
      <c r="D560" t="s">
        <v>82</v>
      </c>
      <c r="E560" s="4">
        <v>0</v>
      </c>
      <c r="F560" s="4">
        <v>410636.93900000001</v>
      </c>
      <c r="G560" s="4">
        <v>410636.93900000001</v>
      </c>
      <c r="H560" s="5">
        <f>19 / 86400</f>
        <v>2.199074074074074E-4</v>
      </c>
      <c r="I560" t="s">
        <v>42</v>
      </c>
      <c r="J560" t="s">
        <v>42</v>
      </c>
      <c r="K560" s="5">
        <f>25 / 86400</f>
        <v>2.8935185185185184E-4</v>
      </c>
      <c r="L560" s="5">
        <f>19224 / 86400</f>
        <v>0.2225</v>
      </c>
    </row>
    <row r="561" spans="1:12" x14ac:dyDescent="0.25">
      <c r="A561" s="3">
        <v>45700.22278935185</v>
      </c>
      <c r="B561" t="s">
        <v>82</v>
      </c>
      <c r="C561" s="3">
        <v>45700.470520833333</v>
      </c>
      <c r="D561" t="s">
        <v>62</v>
      </c>
      <c r="E561" s="4">
        <v>96.228999999999999</v>
      </c>
      <c r="F561" s="4">
        <v>410636.93900000001</v>
      </c>
      <c r="G561" s="4">
        <v>410733.16800000001</v>
      </c>
      <c r="H561" s="5">
        <f>7496 / 86400</f>
        <v>8.6759259259259258E-2</v>
      </c>
      <c r="I561" t="s">
        <v>51</v>
      </c>
      <c r="J561" t="s">
        <v>34</v>
      </c>
      <c r="K561" s="5">
        <f>21404 / 86400</f>
        <v>0.24773148148148147</v>
      </c>
      <c r="L561" s="5">
        <f>421 / 86400</f>
        <v>4.8726851851851848E-3</v>
      </c>
    </row>
    <row r="562" spans="1:12" x14ac:dyDescent="0.25">
      <c r="A562" s="3">
        <v>45700.475393518514</v>
      </c>
      <c r="B562" t="s">
        <v>62</v>
      </c>
      <c r="C562" s="3">
        <v>45700.47719907407</v>
      </c>
      <c r="D562" t="s">
        <v>183</v>
      </c>
      <c r="E562" s="4">
        <v>0.59799999999999998</v>
      </c>
      <c r="F562" s="4">
        <v>410733.16800000001</v>
      </c>
      <c r="G562" s="4">
        <v>410733.766</v>
      </c>
      <c r="H562" s="5">
        <f>20 / 86400</f>
        <v>2.3148148148148149E-4</v>
      </c>
      <c r="I562" t="s">
        <v>200</v>
      </c>
      <c r="J562" t="s">
        <v>39</v>
      </c>
      <c r="K562" s="5">
        <f>156 / 86400</f>
        <v>1.8055555555555555E-3</v>
      </c>
      <c r="L562" s="5">
        <f>2445 / 86400</f>
        <v>2.8298611111111111E-2</v>
      </c>
    </row>
    <row r="563" spans="1:12" x14ac:dyDescent="0.25">
      <c r="A563" s="3">
        <v>45700.505497685182</v>
      </c>
      <c r="B563" t="s">
        <v>183</v>
      </c>
      <c r="C563" s="3">
        <v>45700.508379629631</v>
      </c>
      <c r="D563" t="s">
        <v>138</v>
      </c>
      <c r="E563" s="4">
        <v>0.65700000000000003</v>
      </c>
      <c r="F563" s="4">
        <v>410733.766</v>
      </c>
      <c r="G563" s="4">
        <v>410734.42300000001</v>
      </c>
      <c r="H563" s="5">
        <f>60 / 86400</f>
        <v>6.9444444444444447E-4</v>
      </c>
      <c r="I563" t="s">
        <v>31</v>
      </c>
      <c r="J563" t="s">
        <v>137</v>
      </c>
      <c r="K563" s="5">
        <f>249 / 86400</f>
        <v>2.8819444444444444E-3</v>
      </c>
      <c r="L563" s="5">
        <f>952 / 86400</f>
        <v>1.1018518518518518E-2</v>
      </c>
    </row>
    <row r="564" spans="1:12" x14ac:dyDescent="0.25">
      <c r="A564" s="3">
        <v>45700.51939814815</v>
      </c>
      <c r="B564" t="s">
        <v>138</v>
      </c>
      <c r="C564" s="3">
        <v>45700.714016203703</v>
      </c>
      <c r="D564" t="s">
        <v>123</v>
      </c>
      <c r="E564" s="4">
        <v>79.980999999999995</v>
      </c>
      <c r="F564" s="4">
        <v>410734.42300000001</v>
      </c>
      <c r="G564" s="4">
        <v>410814.40399999998</v>
      </c>
      <c r="H564" s="5">
        <f>5161 / 86400</f>
        <v>5.9733796296296299E-2</v>
      </c>
      <c r="I564" t="s">
        <v>56</v>
      </c>
      <c r="J564" t="s">
        <v>28</v>
      </c>
      <c r="K564" s="5">
        <f>16815 / 86400</f>
        <v>0.19461805555555556</v>
      </c>
      <c r="L564" s="5">
        <f>433 / 86400</f>
        <v>5.0115740740740737E-3</v>
      </c>
    </row>
    <row r="565" spans="1:12" x14ac:dyDescent="0.25">
      <c r="A565" s="3">
        <v>45700.719027777777</v>
      </c>
      <c r="B565" t="s">
        <v>123</v>
      </c>
      <c r="C565" s="3">
        <v>45700.738715277781</v>
      </c>
      <c r="D565" t="s">
        <v>82</v>
      </c>
      <c r="E565" s="4">
        <v>10.411</v>
      </c>
      <c r="F565" s="4">
        <v>410814.40399999998</v>
      </c>
      <c r="G565" s="4">
        <v>410824.815</v>
      </c>
      <c r="H565" s="5">
        <f>340 / 86400</f>
        <v>3.9351851851851848E-3</v>
      </c>
      <c r="I565" t="s">
        <v>174</v>
      </c>
      <c r="J565" t="s">
        <v>134</v>
      </c>
      <c r="K565" s="5">
        <f>1701 / 86400</f>
        <v>1.96875E-2</v>
      </c>
      <c r="L565" s="5">
        <f>22574 / 86400</f>
        <v>0.26127314814814817</v>
      </c>
    </row>
    <row r="566" spans="1:12" x14ac:dyDescent="0.25">
      <c r="A566" s="12"/>
      <c r="B566" s="12"/>
      <c r="C566" s="12"/>
      <c r="D566" s="12"/>
      <c r="E566" s="12"/>
      <c r="F566" s="12"/>
      <c r="G566" s="12"/>
      <c r="H566" s="12"/>
      <c r="I566" s="12"/>
      <c r="J566" s="12"/>
    </row>
    <row r="567" spans="1:12" x14ac:dyDescent="0.25">
      <c r="A567" s="12"/>
      <c r="B567" s="12"/>
      <c r="C567" s="12"/>
      <c r="D567" s="12"/>
      <c r="E567" s="12"/>
      <c r="F567" s="12"/>
      <c r="G567" s="12"/>
      <c r="H567" s="12"/>
      <c r="I567" s="12"/>
      <c r="J567" s="12"/>
    </row>
    <row r="568" spans="1:12" s="10" customFormat="1" ht="20.100000000000001" customHeight="1" x14ac:dyDescent="0.35">
      <c r="A568" s="15" t="s">
        <v>334</v>
      </c>
      <c r="B568" s="15"/>
      <c r="C568" s="15"/>
      <c r="D568" s="15"/>
      <c r="E568" s="15"/>
      <c r="F568" s="15"/>
      <c r="G568" s="15"/>
      <c r="H568" s="15"/>
      <c r="I568" s="15"/>
      <c r="J568" s="15"/>
    </row>
    <row r="569" spans="1:12" x14ac:dyDescent="0.25">
      <c r="A569" s="12"/>
      <c r="B569" s="12"/>
      <c r="C569" s="12"/>
      <c r="D569" s="12"/>
      <c r="E569" s="12"/>
      <c r="F569" s="12"/>
      <c r="G569" s="12"/>
      <c r="H569" s="12"/>
      <c r="I569" s="12"/>
      <c r="J569" s="12"/>
    </row>
    <row r="570" spans="1:12" ht="30" x14ac:dyDescent="0.25">
      <c r="A570" s="2" t="s">
        <v>6</v>
      </c>
      <c r="B570" s="2" t="s">
        <v>7</v>
      </c>
      <c r="C570" s="2" t="s">
        <v>8</v>
      </c>
      <c r="D570" s="2" t="s">
        <v>9</v>
      </c>
      <c r="E570" s="2" t="s">
        <v>10</v>
      </c>
      <c r="F570" s="2" t="s">
        <v>11</v>
      </c>
      <c r="G570" s="2" t="s">
        <v>12</v>
      </c>
      <c r="H570" s="2" t="s">
        <v>13</v>
      </c>
      <c r="I570" s="2" t="s">
        <v>14</v>
      </c>
      <c r="J570" s="2" t="s">
        <v>15</v>
      </c>
      <c r="K570" s="2" t="s">
        <v>16</v>
      </c>
      <c r="L570" s="2" t="s">
        <v>17</v>
      </c>
    </row>
    <row r="571" spans="1:12" x14ac:dyDescent="0.25">
      <c r="A571" s="3">
        <v>45700.149675925924</v>
      </c>
      <c r="B571" t="s">
        <v>29</v>
      </c>
      <c r="C571" s="3">
        <v>45700.215694444443</v>
      </c>
      <c r="D571" t="s">
        <v>188</v>
      </c>
      <c r="E571" s="4">
        <v>34.546999999999997</v>
      </c>
      <c r="F571" s="4">
        <v>441580.44400000002</v>
      </c>
      <c r="G571" s="4">
        <v>441614.99099999998</v>
      </c>
      <c r="H571" s="5">
        <f>900 / 86400</f>
        <v>1.0416666666666666E-2</v>
      </c>
      <c r="I571" t="s">
        <v>83</v>
      </c>
      <c r="J571" t="s">
        <v>134</v>
      </c>
      <c r="K571" s="5">
        <f>5704 / 86400</f>
        <v>6.6018518518518518E-2</v>
      </c>
      <c r="L571" s="5">
        <f>13755 / 86400</f>
        <v>0.15920138888888888</v>
      </c>
    </row>
    <row r="572" spans="1:12" x14ac:dyDescent="0.25">
      <c r="A572" s="3">
        <v>45700.225219907406</v>
      </c>
      <c r="B572" t="s">
        <v>188</v>
      </c>
      <c r="C572" s="3">
        <v>45700.320891203708</v>
      </c>
      <c r="D572" t="s">
        <v>138</v>
      </c>
      <c r="E572" s="4">
        <v>50.604999999999997</v>
      </c>
      <c r="F572" s="4">
        <v>441614.99099999998</v>
      </c>
      <c r="G572" s="4">
        <v>441665.59600000002</v>
      </c>
      <c r="H572" s="5">
        <f>1760 / 86400</f>
        <v>2.0370370370370372E-2</v>
      </c>
      <c r="I572" t="s">
        <v>56</v>
      </c>
      <c r="J572" t="s">
        <v>134</v>
      </c>
      <c r="K572" s="5">
        <f>8266 / 86400</f>
        <v>9.5671296296296296E-2</v>
      </c>
      <c r="L572" s="5">
        <f>1267 / 86400</f>
        <v>1.4664351851851852E-2</v>
      </c>
    </row>
    <row r="573" spans="1:12" x14ac:dyDescent="0.25">
      <c r="A573" s="3">
        <v>45700.335555555561</v>
      </c>
      <c r="B573" t="s">
        <v>138</v>
      </c>
      <c r="C573" s="3">
        <v>45700.343576388885</v>
      </c>
      <c r="D573" t="s">
        <v>107</v>
      </c>
      <c r="E573" s="4">
        <v>1.46</v>
      </c>
      <c r="F573" s="4">
        <v>441665.59600000002</v>
      </c>
      <c r="G573" s="4">
        <v>441667.05599999998</v>
      </c>
      <c r="H573" s="5">
        <f>280 / 86400</f>
        <v>3.2407407407407406E-3</v>
      </c>
      <c r="I573" t="s">
        <v>200</v>
      </c>
      <c r="J573" t="s">
        <v>148</v>
      </c>
      <c r="K573" s="5">
        <f>693 / 86400</f>
        <v>8.0208333333333329E-3</v>
      </c>
      <c r="L573" s="5">
        <f>137 / 86400</f>
        <v>1.5856481481481481E-3</v>
      </c>
    </row>
    <row r="574" spans="1:12" x14ac:dyDescent="0.25">
      <c r="A574" s="3">
        <v>45700.345162037032</v>
      </c>
      <c r="B574" t="s">
        <v>107</v>
      </c>
      <c r="C574" s="3">
        <v>45700.464907407411</v>
      </c>
      <c r="D574" t="s">
        <v>169</v>
      </c>
      <c r="E574" s="4">
        <v>49.680999999999997</v>
      </c>
      <c r="F574" s="4">
        <v>441667.05599999998</v>
      </c>
      <c r="G574" s="4">
        <v>441716.73700000002</v>
      </c>
      <c r="H574" s="5">
        <f>3196 / 86400</f>
        <v>3.6990740740740741E-2</v>
      </c>
      <c r="I574" t="s">
        <v>51</v>
      </c>
      <c r="J574" t="s">
        <v>28</v>
      </c>
      <c r="K574" s="5">
        <f>10346 / 86400</f>
        <v>0.11974537037037038</v>
      </c>
      <c r="L574" s="5">
        <f>3937 / 86400</f>
        <v>4.5567129629629631E-2</v>
      </c>
    </row>
    <row r="575" spans="1:12" x14ac:dyDescent="0.25">
      <c r="A575" s="3">
        <v>45700.510474537034</v>
      </c>
      <c r="B575" t="s">
        <v>169</v>
      </c>
      <c r="C575" s="3">
        <v>45700.619756944448</v>
      </c>
      <c r="D575" t="s">
        <v>123</v>
      </c>
      <c r="E575" s="4">
        <v>38.207999999999998</v>
      </c>
      <c r="F575" s="4">
        <v>441716.73700000002</v>
      </c>
      <c r="G575" s="4">
        <v>441754.94500000001</v>
      </c>
      <c r="H575" s="5">
        <f>3142 / 86400</f>
        <v>3.636574074074074E-2</v>
      </c>
      <c r="I575" t="s">
        <v>159</v>
      </c>
      <c r="J575" t="s">
        <v>20</v>
      </c>
      <c r="K575" s="5">
        <f>9441 / 86400</f>
        <v>0.10927083333333333</v>
      </c>
      <c r="L575" s="5">
        <f>1048 / 86400</f>
        <v>1.2129629629629629E-2</v>
      </c>
    </row>
    <row r="576" spans="1:12" x14ac:dyDescent="0.25">
      <c r="A576" s="3">
        <v>45700.631886574076</v>
      </c>
      <c r="B576" t="s">
        <v>123</v>
      </c>
      <c r="C576" s="3">
        <v>45700.656828703708</v>
      </c>
      <c r="D576" t="s">
        <v>29</v>
      </c>
      <c r="E576" s="4">
        <v>11.382</v>
      </c>
      <c r="F576" s="4">
        <v>441754.94500000001</v>
      </c>
      <c r="G576" s="4">
        <v>441766.32699999999</v>
      </c>
      <c r="H576" s="5">
        <f>579 / 86400</f>
        <v>6.7013888888888887E-3</v>
      </c>
      <c r="I576" t="s">
        <v>207</v>
      </c>
      <c r="J576" t="s">
        <v>23</v>
      </c>
      <c r="K576" s="5">
        <f>2155 / 86400</f>
        <v>2.494212962962963E-2</v>
      </c>
      <c r="L576" s="5">
        <f>777 / 86400</f>
        <v>8.9930555555555562E-3</v>
      </c>
    </row>
    <row r="577" spans="1:12" x14ac:dyDescent="0.25">
      <c r="A577" s="3">
        <v>45700.665821759263</v>
      </c>
      <c r="B577" t="s">
        <v>29</v>
      </c>
      <c r="C577" s="3">
        <v>45700.673888888894</v>
      </c>
      <c r="D577" t="s">
        <v>89</v>
      </c>
      <c r="E577" s="4">
        <v>1.798</v>
      </c>
      <c r="F577" s="4">
        <v>441766.32699999999</v>
      </c>
      <c r="G577" s="4">
        <v>441768.125</v>
      </c>
      <c r="H577" s="5">
        <f>279 / 86400</f>
        <v>3.2291666666666666E-3</v>
      </c>
      <c r="I577" t="s">
        <v>181</v>
      </c>
      <c r="J577" t="s">
        <v>137</v>
      </c>
      <c r="K577" s="5">
        <f>696 / 86400</f>
        <v>8.0555555555555554E-3</v>
      </c>
      <c r="L577" s="5">
        <f>532 / 86400</f>
        <v>6.1574074074074074E-3</v>
      </c>
    </row>
    <row r="578" spans="1:12" x14ac:dyDescent="0.25">
      <c r="A578" s="3">
        <v>45700.6800462963</v>
      </c>
      <c r="B578" t="s">
        <v>89</v>
      </c>
      <c r="C578" s="3">
        <v>45700.682881944449</v>
      </c>
      <c r="D578" t="s">
        <v>29</v>
      </c>
      <c r="E578" s="4">
        <v>0.63500000000000001</v>
      </c>
      <c r="F578" s="4">
        <v>441768.125</v>
      </c>
      <c r="G578" s="4">
        <v>441768.76</v>
      </c>
      <c r="H578" s="5">
        <f>20 / 86400</f>
        <v>2.3148148148148149E-4</v>
      </c>
      <c r="I578" t="s">
        <v>46</v>
      </c>
      <c r="J578" t="s">
        <v>137</v>
      </c>
      <c r="K578" s="5">
        <f>244 / 86400</f>
        <v>2.8240740740740739E-3</v>
      </c>
      <c r="L578" s="5">
        <f>27398 / 86400</f>
        <v>0.31710648148148146</v>
      </c>
    </row>
    <row r="579" spans="1:12" x14ac:dyDescent="0.25">
      <c r="A579" s="12"/>
      <c r="B579" s="12"/>
      <c r="C579" s="12"/>
      <c r="D579" s="12"/>
      <c r="E579" s="12"/>
      <c r="F579" s="12"/>
      <c r="G579" s="12"/>
      <c r="H579" s="12"/>
      <c r="I579" s="12"/>
      <c r="J579" s="12"/>
    </row>
    <row r="580" spans="1:12" x14ac:dyDescent="0.25">
      <c r="A580" s="12"/>
      <c r="B580" s="12"/>
      <c r="C580" s="12"/>
      <c r="D580" s="12"/>
      <c r="E580" s="12"/>
      <c r="F580" s="12"/>
      <c r="G580" s="12"/>
      <c r="H580" s="12"/>
      <c r="I580" s="12"/>
      <c r="J580" s="12"/>
    </row>
    <row r="581" spans="1:12" s="10" customFormat="1" ht="20.100000000000001" customHeight="1" x14ac:dyDescent="0.35">
      <c r="A581" s="15" t="s">
        <v>335</v>
      </c>
      <c r="B581" s="15"/>
      <c r="C581" s="15"/>
      <c r="D581" s="15"/>
      <c r="E581" s="15"/>
      <c r="F581" s="15"/>
      <c r="G581" s="15"/>
      <c r="H581" s="15"/>
      <c r="I581" s="15"/>
      <c r="J581" s="15"/>
    </row>
    <row r="582" spans="1:12" x14ac:dyDescent="0.25">
      <c r="A582" s="12"/>
      <c r="B582" s="12"/>
      <c r="C582" s="12"/>
      <c r="D582" s="12"/>
      <c r="E582" s="12"/>
      <c r="F582" s="12"/>
      <c r="G582" s="12"/>
      <c r="H582" s="12"/>
      <c r="I582" s="12"/>
      <c r="J582" s="12"/>
    </row>
    <row r="583" spans="1:12" ht="30" x14ac:dyDescent="0.25">
      <c r="A583" s="2" t="s">
        <v>6</v>
      </c>
      <c r="B583" s="2" t="s">
        <v>7</v>
      </c>
      <c r="C583" s="2" t="s">
        <v>8</v>
      </c>
      <c r="D583" s="2" t="s">
        <v>9</v>
      </c>
      <c r="E583" s="2" t="s">
        <v>10</v>
      </c>
      <c r="F583" s="2" t="s">
        <v>11</v>
      </c>
      <c r="G583" s="2" t="s">
        <v>12</v>
      </c>
      <c r="H583" s="2" t="s">
        <v>13</v>
      </c>
      <c r="I583" s="2" t="s">
        <v>14</v>
      </c>
      <c r="J583" s="2" t="s">
        <v>15</v>
      </c>
      <c r="K583" s="2" t="s">
        <v>16</v>
      </c>
      <c r="L583" s="2" t="s">
        <v>17</v>
      </c>
    </row>
    <row r="584" spans="1:12" x14ac:dyDescent="0.25">
      <c r="A584" s="3">
        <v>45700.266273148147</v>
      </c>
      <c r="B584" t="s">
        <v>84</v>
      </c>
      <c r="C584" s="3">
        <v>45700.385798611111</v>
      </c>
      <c r="D584" t="s">
        <v>169</v>
      </c>
      <c r="E584" s="4">
        <v>46.183</v>
      </c>
      <c r="F584" s="4">
        <v>474001.16600000003</v>
      </c>
      <c r="G584" s="4">
        <v>474047.34899999999</v>
      </c>
      <c r="H584" s="5">
        <f>3478 / 86400</f>
        <v>4.0254629629629626E-2</v>
      </c>
      <c r="I584" t="s">
        <v>85</v>
      </c>
      <c r="J584" t="s">
        <v>34</v>
      </c>
      <c r="K584" s="5">
        <f>10327 / 86400</f>
        <v>0.11952546296296296</v>
      </c>
      <c r="L584" s="5">
        <f>23092 / 86400</f>
        <v>0.26726851851851852</v>
      </c>
    </row>
    <row r="585" spans="1:12" x14ac:dyDescent="0.25">
      <c r="A585" s="3">
        <v>45700.386793981481</v>
      </c>
      <c r="B585" t="s">
        <v>169</v>
      </c>
      <c r="C585" s="3">
        <v>45700.549687499995</v>
      </c>
      <c r="D585" t="s">
        <v>138</v>
      </c>
      <c r="E585" s="4">
        <v>50.978000000000002</v>
      </c>
      <c r="F585" s="4">
        <v>474047.34899999999</v>
      </c>
      <c r="G585" s="4">
        <v>474098.32699999999</v>
      </c>
      <c r="H585" s="5">
        <f>5639 / 86400</f>
        <v>6.5266203703703701E-2</v>
      </c>
      <c r="I585" t="s">
        <v>65</v>
      </c>
      <c r="J585" t="s">
        <v>46</v>
      </c>
      <c r="K585" s="5">
        <f>14074 / 86400</f>
        <v>0.16289351851851852</v>
      </c>
      <c r="L585" s="5">
        <f>224 / 86400</f>
        <v>2.5925925925925925E-3</v>
      </c>
    </row>
    <row r="586" spans="1:12" x14ac:dyDescent="0.25">
      <c r="A586" s="3">
        <v>45700.552280092597</v>
      </c>
      <c r="B586" t="s">
        <v>138</v>
      </c>
      <c r="C586" s="3">
        <v>45700.556157407409</v>
      </c>
      <c r="D586" t="s">
        <v>92</v>
      </c>
      <c r="E586" s="4">
        <v>0.90400000000000003</v>
      </c>
      <c r="F586" s="4">
        <v>474098.32699999999</v>
      </c>
      <c r="G586" s="4">
        <v>474099.23100000003</v>
      </c>
      <c r="H586" s="5">
        <f>79 / 86400</f>
        <v>9.1435185185185185E-4</v>
      </c>
      <c r="I586" t="s">
        <v>134</v>
      </c>
      <c r="J586" t="s">
        <v>164</v>
      </c>
      <c r="K586" s="5">
        <f>335 / 86400</f>
        <v>3.8773148148148148E-3</v>
      </c>
      <c r="L586" s="5">
        <f>1197 / 86400</f>
        <v>1.3854166666666667E-2</v>
      </c>
    </row>
    <row r="587" spans="1:12" x14ac:dyDescent="0.25">
      <c r="A587" s="3">
        <v>45700.570011574076</v>
      </c>
      <c r="B587" t="s">
        <v>92</v>
      </c>
      <c r="C587" s="3">
        <v>45700.570474537039</v>
      </c>
      <c r="D587" t="s">
        <v>92</v>
      </c>
      <c r="E587" s="4">
        <v>3.1E-2</v>
      </c>
      <c r="F587" s="4">
        <v>474099.23100000003</v>
      </c>
      <c r="G587" s="4">
        <v>474099.26199999999</v>
      </c>
      <c r="H587" s="5">
        <f>0 / 86400</f>
        <v>0</v>
      </c>
      <c r="I587" t="s">
        <v>143</v>
      </c>
      <c r="J587" t="s">
        <v>77</v>
      </c>
      <c r="K587" s="5">
        <f>39 / 86400</f>
        <v>4.5138888888888887E-4</v>
      </c>
      <c r="L587" s="5">
        <f>108 / 86400</f>
        <v>1.25E-3</v>
      </c>
    </row>
    <row r="588" spans="1:12" x14ac:dyDescent="0.25">
      <c r="A588" s="3">
        <v>45700.571724537032</v>
      </c>
      <c r="B588" t="s">
        <v>92</v>
      </c>
      <c r="C588" s="3">
        <v>45700.576238425929</v>
      </c>
      <c r="D588" t="s">
        <v>107</v>
      </c>
      <c r="E588" s="4">
        <v>0.90100000000000002</v>
      </c>
      <c r="F588" s="4">
        <v>474099.26199999999</v>
      </c>
      <c r="G588" s="4">
        <v>474100.163</v>
      </c>
      <c r="H588" s="5">
        <f>159 / 86400</f>
        <v>1.8402777777777777E-3</v>
      </c>
      <c r="I588" t="s">
        <v>189</v>
      </c>
      <c r="J588" t="s">
        <v>148</v>
      </c>
      <c r="K588" s="5">
        <f>389 / 86400</f>
        <v>4.5023148148148149E-3</v>
      </c>
      <c r="L588" s="5">
        <f>150 / 86400</f>
        <v>1.736111111111111E-3</v>
      </c>
    </row>
    <row r="589" spans="1:12" x14ac:dyDescent="0.25">
      <c r="A589" s="3">
        <v>45700.577974537038</v>
      </c>
      <c r="B589" t="s">
        <v>107</v>
      </c>
      <c r="C589" s="3">
        <v>45700.578981481478</v>
      </c>
      <c r="D589" t="s">
        <v>62</v>
      </c>
      <c r="E589" s="4">
        <v>8.2000000000000003E-2</v>
      </c>
      <c r="F589" s="4">
        <v>474100.163</v>
      </c>
      <c r="G589" s="4">
        <v>474100.245</v>
      </c>
      <c r="H589" s="5">
        <f>0 / 86400</f>
        <v>0</v>
      </c>
      <c r="I589" t="s">
        <v>137</v>
      </c>
      <c r="J589" t="s">
        <v>77</v>
      </c>
      <c r="K589" s="5">
        <f>87 / 86400</f>
        <v>1.0069444444444444E-3</v>
      </c>
      <c r="L589" s="5">
        <f>134 / 86400</f>
        <v>1.5509259259259259E-3</v>
      </c>
    </row>
    <row r="590" spans="1:12" x14ac:dyDescent="0.25">
      <c r="A590" s="3">
        <v>45700.580532407403</v>
      </c>
      <c r="B590" t="s">
        <v>62</v>
      </c>
      <c r="C590" s="3">
        <v>45700.581863425927</v>
      </c>
      <c r="D590" t="s">
        <v>139</v>
      </c>
      <c r="E590" s="4">
        <v>0.246</v>
      </c>
      <c r="F590" s="4">
        <v>474100.245</v>
      </c>
      <c r="G590" s="4">
        <v>474100.49099999998</v>
      </c>
      <c r="H590" s="5">
        <f>20 / 86400</f>
        <v>2.3148148148148149E-4</v>
      </c>
      <c r="I590" t="s">
        <v>70</v>
      </c>
      <c r="J590" t="s">
        <v>148</v>
      </c>
      <c r="K590" s="5">
        <f>114 / 86400</f>
        <v>1.3194444444444445E-3</v>
      </c>
      <c r="L590" s="5">
        <f>505 / 86400</f>
        <v>5.8449074074074072E-3</v>
      </c>
    </row>
    <row r="591" spans="1:12" x14ac:dyDescent="0.25">
      <c r="A591" s="3">
        <v>45700.587708333333</v>
      </c>
      <c r="B591" t="s">
        <v>139</v>
      </c>
      <c r="C591" s="3">
        <v>45700.588067129633</v>
      </c>
      <c r="D591" t="s">
        <v>139</v>
      </c>
      <c r="E591" s="4">
        <v>6.0000000000000001E-3</v>
      </c>
      <c r="F591" s="4">
        <v>474100.49099999998</v>
      </c>
      <c r="G591" s="4">
        <v>474100.49699999997</v>
      </c>
      <c r="H591" s="5">
        <f>0 / 86400</f>
        <v>0</v>
      </c>
      <c r="I591" t="s">
        <v>150</v>
      </c>
      <c r="J591" t="s">
        <v>150</v>
      </c>
      <c r="K591" s="5">
        <f>31 / 86400</f>
        <v>3.5879629629629629E-4</v>
      </c>
      <c r="L591" s="5">
        <f>267 / 86400</f>
        <v>3.0902777777777777E-3</v>
      </c>
    </row>
    <row r="592" spans="1:12" x14ac:dyDescent="0.25">
      <c r="A592" s="3">
        <v>45700.591157407413</v>
      </c>
      <c r="B592" t="s">
        <v>139</v>
      </c>
      <c r="C592" s="3">
        <v>45700.593263888892</v>
      </c>
      <c r="D592" t="s">
        <v>115</v>
      </c>
      <c r="E592" s="4">
        <v>0.19600000000000001</v>
      </c>
      <c r="F592" s="4">
        <v>474100.49699999997</v>
      </c>
      <c r="G592" s="4">
        <v>474100.69300000003</v>
      </c>
      <c r="H592" s="5">
        <f>40 / 86400</f>
        <v>4.6296296296296298E-4</v>
      </c>
      <c r="I592" t="s">
        <v>39</v>
      </c>
      <c r="J592" t="s">
        <v>133</v>
      </c>
      <c r="K592" s="5">
        <f>182 / 86400</f>
        <v>2.1064814814814813E-3</v>
      </c>
      <c r="L592" s="5">
        <f>668 / 86400</f>
        <v>7.7314814814814815E-3</v>
      </c>
    </row>
    <row r="593" spans="1:12" x14ac:dyDescent="0.25">
      <c r="A593" s="3">
        <v>45700.600995370369</v>
      </c>
      <c r="B593" t="s">
        <v>115</v>
      </c>
      <c r="C593" s="3">
        <v>45700.602326388893</v>
      </c>
      <c r="D593" t="s">
        <v>257</v>
      </c>
      <c r="E593" s="4">
        <v>3.3000000000000002E-2</v>
      </c>
      <c r="F593" s="4">
        <v>474100.69300000003</v>
      </c>
      <c r="G593" s="4">
        <v>474100.72600000002</v>
      </c>
      <c r="H593" s="5">
        <f>40 / 86400</f>
        <v>4.6296296296296298E-4</v>
      </c>
      <c r="I593" t="s">
        <v>149</v>
      </c>
      <c r="J593" t="s">
        <v>150</v>
      </c>
      <c r="K593" s="5">
        <f>114 / 86400</f>
        <v>1.3194444444444445E-3</v>
      </c>
      <c r="L593" s="5">
        <f>2896 / 86400</f>
        <v>3.3518518518518517E-2</v>
      </c>
    </row>
    <row r="594" spans="1:12" x14ac:dyDescent="0.25">
      <c r="A594" s="3">
        <v>45700.635844907403</v>
      </c>
      <c r="B594" t="s">
        <v>62</v>
      </c>
      <c r="C594" s="3">
        <v>45700.824386574073</v>
      </c>
      <c r="D594" t="s">
        <v>188</v>
      </c>
      <c r="E594" s="4">
        <v>49.768000000000001</v>
      </c>
      <c r="F594" s="4">
        <v>474100.72600000002</v>
      </c>
      <c r="G594" s="4">
        <v>474150.49400000001</v>
      </c>
      <c r="H594" s="5">
        <f>7819 / 86400</f>
        <v>9.0497685185185181E-2</v>
      </c>
      <c r="I594" t="s">
        <v>258</v>
      </c>
      <c r="J594" t="s">
        <v>126</v>
      </c>
      <c r="K594" s="5">
        <f>16290 / 86400</f>
        <v>0.18854166666666666</v>
      </c>
      <c r="L594" s="5">
        <f>89 / 86400</f>
        <v>1.0300925925925926E-3</v>
      </c>
    </row>
    <row r="595" spans="1:12" x14ac:dyDescent="0.25">
      <c r="A595" s="3">
        <v>45700.825416666667</v>
      </c>
      <c r="B595" t="s">
        <v>188</v>
      </c>
      <c r="C595" s="3">
        <v>45700.966967592598</v>
      </c>
      <c r="D595" t="s">
        <v>232</v>
      </c>
      <c r="E595" s="4">
        <v>45.886000000000003</v>
      </c>
      <c r="F595" s="4">
        <v>474150.49400000001</v>
      </c>
      <c r="G595" s="4">
        <v>474196.38</v>
      </c>
      <c r="H595" s="5">
        <f>4598 / 86400</f>
        <v>5.3217592592592594E-2</v>
      </c>
      <c r="I595" t="s">
        <v>205</v>
      </c>
      <c r="J595" t="s">
        <v>39</v>
      </c>
      <c r="K595" s="5">
        <f>12230 / 86400</f>
        <v>0.14155092592592591</v>
      </c>
      <c r="L595" s="5">
        <f>935 / 86400</f>
        <v>1.0821759259259258E-2</v>
      </c>
    </row>
    <row r="596" spans="1:12" x14ac:dyDescent="0.25">
      <c r="A596" s="3">
        <v>45700.977789351848</v>
      </c>
      <c r="B596" t="s">
        <v>232</v>
      </c>
      <c r="C596" s="3">
        <v>45700.981967592597</v>
      </c>
      <c r="D596" t="s">
        <v>84</v>
      </c>
      <c r="E596" s="4">
        <v>0.82799999999999996</v>
      </c>
      <c r="F596" s="4">
        <v>474196.38</v>
      </c>
      <c r="G596" s="4">
        <v>474197.20799999998</v>
      </c>
      <c r="H596" s="5">
        <f>119 / 86400</f>
        <v>1.3773148148148147E-3</v>
      </c>
      <c r="I596" t="s">
        <v>176</v>
      </c>
      <c r="J596" t="s">
        <v>148</v>
      </c>
      <c r="K596" s="5">
        <f>360 / 86400</f>
        <v>4.1666666666666666E-3</v>
      </c>
      <c r="L596" s="5">
        <f>1557 / 86400</f>
        <v>1.8020833333333333E-2</v>
      </c>
    </row>
    <row r="597" spans="1:12" x14ac:dyDescent="0.25">
      <c r="A597" s="12"/>
      <c r="B597" s="12"/>
      <c r="C597" s="12"/>
      <c r="D597" s="12"/>
      <c r="E597" s="12"/>
      <c r="F597" s="12"/>
      <c r="G597" s="12"/>
      <c r="H597" s="12"/>
      <c r="I597" s="12"/>
      <c r="J597" s="12"/>
    </row>
    <row r="598" spans="1:12" x14ac:dyDescent="0.25">
      <c r="A598" s="12"/>
      <c r="B598" s="12"/>
      <c r="C598" s="12"/>
      <c r="D598" s="12"/>
      <c r="E598" s="12"/>
      <c r="F598" s="12"/>
      <c r="G598" s="12"/>
      <c r="H598" s="12"/>
      <c r="I598" s="12"/>
      <c r="J598" s="12"/>
    </row>
    <row r="599" spans="1:12" s="10" customFormat="1" ht="20.100000000000001" customHeight="1" x14ac:dyDescent="0.35">
      <c r="A599" s="15" t="s">
        <v>336</v>
      </c>
      <c r="B599" s="15"/>
      <c r="C599" s="15"/>
      <c r="D599" s="15"/>
      <c r="E599" s="15"/>
      <c r="F599" s="15"/>
      <c r="G599" s="15"/>
      <c r="H599" s="15"/>
      <c r="I599" s="15"/>
      <c r="J599" s="15"/>
    </row>
    <row r="600" spans="1:12" x14ac:dyDescent="0.25">
      <c r="A600" s="12"/>
      <c r="B600" s="12"/>
      <c r="C600" s="12"/>
      <c r="D600" s="12"/>
      <c r="E600" s="12"/>
      <c r="F600" s="12"/>
      <c r="G600" s="12"/>
      <c r="H600" s="12"/>
      <c r="I600" s="12"/>
      <c r="J600" s="12"/>
    </row>
    <row r="601" spans="1:12" ht="30" x14ac:dyDescent="0.25">
      <c r="A601" s="2" t="s">
        <v>6</v>
      </c>
      <c r="B601" s="2" t="s">
        <v>7</v>
      </c>
      <c r="C601" s="2" t="s">
        <v>8</v>
      </c>
      <c r="D601" s="2" t="s">
        <v>9</v>
      </c>
      <c r="E601" s="2" t="s">
        <v>10</v>
      </c>
      <c r="F601" s="2" t="s">
        <v>11</v>
      </c>
      <c r="G601" s="2" t="s">
        <v>12</v>
      </c>
      <c r="H601" s="2" t="s">
        <v>13</v>
      </c>
      <c r="I601" s="2" t="s">
        <v>14</v>
      </c>
      <c r="J601" s="2" t="s">
        <v>15</v>
      </c>
      <c r="K601" s="2" t="s">
        <v>16</v>
      </c>
      <c r="L601" s="2" t="s">
        <v>17</v>
      </c>
    </row>
    <row r="602" spans="1:12" x14ac:dyDescent="0.25">
      <c r="A602" s="3">
        <v>45700</v>
      </c>
      <c r="B602" t="s">
        <v>86</v>
      </c>
      <c r="C602" s="3">
        <v>45700.01226851852</v>
      </c>
      <c r="D602" t="s">
        <v>154</v>
      </c>
      <c r="E602" s="4">
        <v>9.1010000000000009</v>
      </c>
      <c r="F602" s="4">
        <v>413461.48200000002</v>
      </c>
      <c r="G602" s="4">
        <v>413470.58299999998</v>
      </c>
      <c r="H602" s="5">
        <f>220 / 86400</f>
        <v>2.5462962962962965E-3</v>
      </c>
      <c r="I602" t="s">
        <v>155</v>
      </c>
      <c r="J602" t="s">
        <v>189</v>
      </c>
      <c r="K602" s="5">
        <f>1060 / 86400</f>
        <v>1.2268518518518519E-2</v>
      </c>
      <c r="L602" s="5">
        <f>375 / 86400</f>
        <v>4.340277777777778E-3</v>
      </c>
    </row>
    <row r="603" spans="1:12" x14ac:dyDescent="0.25">
      <c r="A603" s="3">
        <v>45700.016608796301</v>
      </c>
      <c r="B603" t="s">
        <v>154</v>
      </c>
      <c r="C603" s="3">
        <v>45700.016886574071</v>
      </c>
      <c r="D603" t="s">
        <v>154</v>
      </c>
      <c r="E603" s="4">
        <v>2.9000000000000001E-2</v>
      </c>
      <c r="F603" s="4">
        <v>413470.58299999998</v>
      </c>
      <c r="G603" s="4">
        <v>413470.61200000002</v>
      </c>
      <c r="H603" s="5">
        <f>0 / 86400</f>
        <v>0</v>
      </c>
      <c r="I603" t="s">
        <v>148</v>
      </c>
      <c r="J603" t="s">
        <v>149</v>
      </c>
      <c r="K603" s="5">
        <f>23 / 86400</f>
        <v>2.6620370370370372E-4</v>
      </c>
      <c r="L603" s="5">
        <f>1126 / 86400</f>
        <v>1.3032407407407407E-2</v>
      </c>
    </row>
    <row r="604" spans="1:12" x14ac:dyDescent="0.25">
      <c r="A604" s="3">
        <v>45700.029918981483</v>
      </c>
      <c r="B604" t="s">
        <v>154</v>
      </c>
      <c r="C604" s="3">
        <v>45700.033645833333</v>
      </c>
      <c r="D604" t="s">
        <v>79</v>
      </c>
      <c r="E604" s="4">
        <v>1.4910000000000001</v>
      </c>
      <c r="F604" s="4">
        <v>413470.61200000002</v>
      </c>
      <c r="G604" s="4">
        <v>413472.103</v>
      </c>
      <c r="H604" s="5">
        <f>39 / 86400</f>
        <v>4.5138888888888887E-4</v>
      </c>
      <c r="I604" t="s">
        <v>174</v>
      </c>
      <c r="J604" t="s">
        <v>28</v>
      </c>
      <c r="K604" s="5">
        <f>322 / 86400</f>
        <v>3.7268518518518519E-3</v>
      </c>
      <c r="L604" s="5">
        <f>6597 / 86400</f>
        <v>7.6354166666666667E-2</v>
      </c>
    </row>
    <row r="605" spans="1:12" x14ac:dyDescent="0.25">
      <c r="A605" s="3">
        <v>45700.11</v>
      </c>
      <c r="B605" t="s">
        <v>79</v>
      </c>
      <c r="C605" s="3">
        <v>45700.112256944441</v>
      </c>
      <c r="D605" t="s">
        <v>79</v>
      </c>
      <c r="E605" s="4">
        <v>3.5999999999999997E-2</v>
      </c>
      <c r="F605" s="4">
        <v>413472.103</v>
      </c>
      <c r="G605" s="4">
        <v>413472.13900000002</v>
      </c>
      <c r="H605" s="5">
        <f>119 / 86400</f>
        <v>1.3773148148148147E-3</v>
      </c>
      <c r="I605" t="s">
        <v>131</v>
      </c>
      <c r="J605" t="s">
        <v>150</v>
      </c>
      <c r="K605" s="5">
        <f>195 / 86400</f>
        <v>2.2569444444444442E-3</v>
      </c>
      <c r="L605" s="5">
        <f>4 / 86400</f>
        <v>4.6296296296296294E-5</v>
      </c>
    </row>
    <row r="606" spans="1:12" x14ac:dyDescent="0.25">
      <c r="A606" s="3">
        <v>45700.112303240741</v>
      </c>
      <c r="B606" t="s">
        <v>79</v>
      </c>
      <c r="C606" s="3">
        <v>45700.112395833334</v>
      </c>
      <c r="D606" t="s">
        <v>79</v>
      </c>
      <c r="E606" s="4">
        <v>0</v>
      </c>
      <c r="F606" s="4">
        <v>413472.13900000002</v>
      </c>
      <c r="G606" s="4">
        <v>413472.13900000002</v>
      </c>
      <c r="H606" s="5">
        <f>0 / 86400</f>
        <v>0</v>
      </c>
      <c r="I606" t="s">
        <v>42</v>
      </c>
      <c r="J606" t="s">
        <v>42</v>
      </c>
      <c r="K606" s="5">
        <f>8 / 86400</f>
        <v>9.2592592592592588E-5</v>
      </c>
      <c r="L606" s="5">
        <f>584 / 86400</f>
        <v>6.7592592592592591E-3</v>
      </c>
    </row>
    <row r="607" spans="1:12" x14ac:dyDescent="0.25">
      <c r="A607" s="3">
        <v>45700.119155092594</v>
      </c>
      <c r="B607" t="s">
        <v>79</v>
      </c>
      <c r="C607" s="3">
        <v>45700.351898148147</v>
      </c>
      <c r="D607" t="s">
        <v>94</v>
      </c>
      <c r="E607" s="4">
        <v>118.815</v>
      </c>
      <c r="F607" s="4">
        <v>413472.13900000002</v>
      </c>
      <c r="G607" s="4">
        <v>413590.95400000003</v>
      </c>
      <c r="H607" s="5">
        <f>5769 / 86400</f>
        <v>6.6770833333333335E-2</v>
      </c>
      <c r="I607" t="s">
        <v>88</v>
      </c>
      <c r="J607" t="s">
        <v>124</v>
      </c>
      <c r="K607" s="5">
        <f>20109 / 86400</f>
        <v>0.23274305555555555</v>
      </c>
      <c r="L607" s="5">
        <f>54 / 86400</f>
        <v>6.2500000000000001E-4</v>
      </c>
    </row>
    <row r="608" spans="1:12" x14ac:dyDescent="0.25">
      <c r="A608" s="3">
        <v>45700.352523148147</v>
      </c>
      <c r="B608" t="s">
        <v>94</v>
      </c>
      <c r="C608" s="3">
        <v>45700.370509259257</v>
      </c>
      <c r="D608" t="s">
        <v>79</v>
      </c>
      <c r="E608" s="4">
        <v>7.3540000000000001</v>
      </c>
      <c r="F608" s="4">
        <v>413590.95400000003</v>
      </c>
      <c r="G608" s="4">
        <v>413598.30800000002</v>
      </c>
      <c r="H608" s="5">
        <f>599 / 86400</f>
        <v>6.9328703703703705E-3</v>
      </c>
      <c r="I608" t="s">
        <v>258</v>
      </c>
      <c r="J608" t="s">
        <v>28</v>
      </c>
      <c r="K608" s="5">
        <f>1554 / 86400</f>
        <v>1.7986111111111112E-2</v>
      </c>
      <c r="L608" s="5">
        <f>12225 / 86400</f>
        <v>0.14149305555555555</v>
      </c>
    </row>
    <row r="609" spans="1:12" x14ac:dyDescent="0.25">
      <c r="A609" s="3">
        <v>45700.512002314819</v>
      </c>
      <c r="B609" t="s">
        <v>79</v>
      </c>
      <c r="C609" s="3">
        <v>45700.513194444444</v>
      </c>
      <c r="D609" t="s">
        <v>79</v>
      </c>
      <c r="E609" s="4">
        <v>3.3000000000000002E-2</v>
      </c>
      <c r="F609" s="4">
        <v>413598.30800000002</v>
      </c>
      <c r="G609" s="4">
        <v>413598.34100000001</v>
      </c>
      <c r="H609" s="5">
        <f>39 / 86400</f>
        <v>4.5138888888888887E-4</v>
      </c>
      <c r="I609" t="s">
        <v>143</v>
      </c>
      <c r="J609" t="s">
        <v>150</v>
      </c>
      <c r="K609" s="5">
        <f>103 / 86400</f>
        <v>1.1921296296296296E-3</v>
      </c>
      <c r="L609" s="5">
        <f>202 / 86400</f>
        <v>2.3379629629629631E-3</v>
      </c>
    </row>
    <row r="610" spans="1:12" x14ac:dyDescent="0.25">
      <c r="A610" s="3">
        <v>45700.515532407408</v>
      </c>
      <c r="B610" t="s">
        <v>79</v>
      </c>
      <c r="C610" s="3">
        <v>45700.524340277778</v>
      </c>
      <c r="D610" t="s">
        <v>259</v>
      </c>
      <c r="E610" s="4">
        <v>2.843</v>
      </c>
      <c r="F610" s="4">
        <v>413598.34100000001</v>
      </c>
      <c r="G610" s="4">
        <v>413601.18400000001</v>
      </c>
      <c r="H610" s="5">
        <f>119 / 86400</f>
        <v>1.3773148148148147E-3</v>
      </c>
      <c r="I610" t="s">
        <v>156</v>
      </c>
      <c r="J610" t="s">
        <v>46</v>
      </c>
      <c r="K610" s="5">
        <f>760 / 86400</f>
        <v>8.7962962962962968E-3</v>
      </c>
      <c r="L610" s="5">
        <f>1491 / 86400</f>
        <v>1.7256944444444443E-2</v>
      </c>
    </row>
    <row r="611" spans="1:12" x14ac:dyDescent="0.25">
      <c r="A611" s="3">
        <v>45700.541597222225</v>
      </c>
      <c r="B611" t="s">
        <v>259</v>
      </c>
      <c r="C611" s="3">
        <v>45700.550486111111</v>
      </c>
      <c r="D611" t="s">
        <v>79</v>
      </c>
      <c r="E611" s="4">
        <v>2.6440000000000001</v>
      </c>
      <c r="F611" s="4">
        <v>413601.18400000001</v>
      </c>
      <c r="G611" s="4">
        <v>413603.82799999998</v>
      </c>
      <c r="H611" s="5">
        <f>140 / 86400</f>
        <v>1.6203703703703703E-3</v>
      </c>
      <c r="I611" t="s">
        <v>156</v>
      </c>
      <c r="J611" t="s">
        <v>55</v>
      </c>
      <c r="K611" s="5">
        <f>767 / 86400</f>
        <v>8.8773148148148153E-3</v>
      </c>
      <c r="L611" s="5">
        <f>71 / 86400</f>
        <v>8.2175925925925927E-4</v>
      </c>
    </row>
    <row r="612" spans="1:12" x14ac:dyDescent="0.25">
      <c r="A612" s="3">
        <v>45700.551307870366</v>
      </c>
      <c r="B612" t="s">
        <v>79</v>
      </c>
      <c r="C612" s="3">
        <v>45700.551446759258</v>
      </c>
      <c r="D612" t="s">
        <v>79</v>
      </c>
      <c r="E612" s="4">
        <v>1.2999999999999999E-2</v>
      </c>
      <c r="F612" s="4">
        <v>413603.82799999998</v>
      </c>
      <c r="G612" s="4">
        <v>413603.84100000001</v>
      </c>
      <c r="H612" s="5">
        <f>0 / 86400</f>
        <v>0</v>
      </c>
      <c r="I612" t="s">
        <v>42</v>
      </c>
      <c r="J612" t="s">
        <v>133</v>
      </c>
      <c r="K612" s="5">
        <f>11 / 86400</f>
        <v>1.273148148148148E-4</v>
      </c>
      <c r="L612" s="5">
        <f>8035 / 86400</f>
        <v>9.2997685185185183E-2</v>
      </c>
    </row>
    <row r="613" spans="1:12" x14ac:dyDescent="0.25">
      <c r="A613" s="3">
        <v>45700.64444444445</v>
      </c>
      <c r="B613" t="s">
        <v>79</v>
      </c>
      <c r="C613" s="3">
        <v>45700.753460648149</v>
      </c>
      <c r="D613" t="s">
        <v>215</v>
      </c>
      <c r="E613" s="4">
        <v>49.789000000000001</v>
      </c>
      <c r="F613" s="4">
        <v>413603.84100000001</v>
      </c>
      <c r="G613" s="4">
        <v>413653.63</v>
      </c>
      <c r="H613" s="5">
        <f>3199 / 86400</f>
        <v>3.7025462962962961E-2</v>
      </c>
      <c r="I613" t="s">
        <v>159</v>
      </c>
      <c r="J613" t="s">
        <v>23</v>
      </c>
      <c r="K613" s="5">
        <f>9418 / 86400</f>
        <v>0.10900462962962963</v>
      </c>
      <c r="L613" s="5">
        <f>130 / 86400</f>
        <v>1.5046296296296296E-3</v>
      </c>
    </row>
    <row r="614" spans="1:12" x14ac:dyDescent="0.25">
      <c r="A614" s="3">
        <v>45700.754965277782</v>
      </c>
      <c r="B614" t="s">
        <v>215</v>
      </c>
      <c r="C614" s="3">
        <v>45700.99998842593</v>
      </c>
      <c r="D614" t="s">
        <v>87</v>
      </c>
      <c r="E614" s="4">
        <v>101.38800000000001</v>
      </c>
      <c r="F614" s="4">
        <v>413653.63</v>
      </c>
      <c r="G614" s="4">
        <v>413755.01799999998</v>
      </c>
      <c r="H614" s="5">
        <f>7020 / 86400</f>
        <v>8.1250000000000003E-2</v>
      </c>
      <c r="I614" t="s">
        <v>41</v>
      </c>
      <c r="J614" t="s">
        <v>28</v>
      </c>
      <c r="K614" s="5">
        <f>21170 / 86400</f>
        <v>0.24502314814814816</v>
      </c>
      <c r="L614" s="5">
        <f>0 / 86400</f>
        <v>0</v>
      </c>
    </row>
    <row r="615" spans="1:12" x14ac:dyDescent="0.25">
      <c r="A615" s="12"/>
      <c r="B615" s="12"/>
      <c r="C615" s="12"/>
      <c r="D615" s="12"/>
      <c r="E615" s="12"/>
      <c r="F615" s="12"/>
      <c r="G615" s="12"/>
      <c r="H615" s="12"/>
      <c r="I615" s="12"/>
      <c r="J615" s="12"/>
    </row>
    <row r="616" spans="1:12" x14ac:dyDescent="0.25">
      <c r="A616" s="12"/>
      <c r="B616" s="12"/>
      <c r="C616" s="12"/>
      <c r="D616" s="12"/>
      <c r="E616" s="12"/>
      <c r="F616" s="12"/>
      <c r="G616" s="12"/>
      <c r="H616" s="12"/>
      <c r="I616" s="12"/>
      <c r="J616" s="12"/>
    </row>
    <row r="617" spans="1:12" s="10" customFormat="1" ht="20.100000000000001" customHeight="1" x14ac:dyDescent="0.35">
      <c r="A617" s="15" t="s">
        <v>337</v>
      </c>
      <c r="B617" s="15"/>
      <c r="C617" s="15"/>
      <c r="D617" s="15"/>
      <c r="E617" s="15"/>
      <c r="F617" s="15"/>
      <c r="G617" s="15"/>
      <c r="H617" s="15"/>
      <c r="I617" s="15"/>
      <c r="J617" s="15"/>
    </row>
    <row r="618" spans="1:12" x14ac:dyDescent="0.25">
      <c r="A618" s="12"/>
      <c r="B618" s="12"/>
      <c r="C618" s="12"/>
      <c r="D618" s="12"/>
      <c r="E618" s="12"/>
      <c r="F618" s="12"/>
      <c r="G618" s="12"/>
      <c r="H618" s="12"/>
      <c r="I618" s="12"/>
      <c r="J618" s="12"/>
    </row>
    <row r="619" spans="1:12" ht="30" x14ac:dyDescent="0.25">
      <c r="A619" s="2" t="s">
        <v>6</v>
      </c>
      <c r="B619" s="2" t="s">
        <v>7</v>
      </c>
      <c r="C619" s="2" t="s">
        <v>8</v>
      </c>
      <c r="D619" s="2" t="s">
        <v>9</v>
      </c>
      <c r="E619" s="2" t="s">
        <v>10</v>
      </c>
      <c r="F619" s="2" t="s">
        <v>11</v>
      </c>
      <c r="G619" s="2" t="s">
        <v>12</v>
      </c>
      <c r="H619" s="2" t="s">
        <v>13</v>
      </c>
      <c r="I619" s="2" t="s">
        <v>14</v>
      </c>
      <c r="J619" s="2" t="s">
        <v>15</v>
      </c>
      <c r="K619" s="2" t="s">
        <v>16</v>
      </c>
      <c r="L619" s="2" t="s">
        <v>17</v>
      </c>
    </row>
    <row r="620" spans="1:12" x14ac:dyDescent="0.25">
      <c r="A620" s="3">
        <v>45700</v>
      </c>
      <c r="B620" t="s">
        <v>89</v>
      </c>
      <c r="C620" s="3">
        <v>45700.004398148143</v>
      </c>
      <c r="D620" t="s">
        <v>29</v>
      </c>
      <c r="E620" s="4">
        <v>0.79800000000000004</v>
      </c>
      <c r="F620" s="4">
        <v>327710.99400000001</v>
      </c>
      <c r="G620" s="4">
        <v>327711.79200000002</v>
      </c>
      <c r="H620" s="5">
        <f>180 / 86400</f>
        <v>2.0833333333333333E-3</v>
      </c>
      <c r="I620" t="s">
        <v>181</v>
      </c>
      <c r="J620" t="s">
        <v>148</v>
      </c>
      <c r="K620" s="5">
        <f>380 / 86400</f>
        <v>4.3981481481481484E-3</v>
      </c>
      <c r="L620" s="5">
        <f>21332 / 86400</f>
        <v>0.24689814814814814</v>
      </c>
    </row>
    <row r="621" spans="1:12" x14ac:dyDescent="0.25">
      <c r="A621" s="3">
        <v>45700.251296296294</v>
      </c>
      <c r="B621" t="s">
        <v>29</v>
      </c>
      <c r="C621" s="3">
        <v>45700.251840277779</v>
      </c>
      <c r="D621" t="s">
        <v>29</v>
      </c>
      <c r="E621" s="4">
        <v>1.7000000000000001E-2</v>
      </c>
      <c r="F621" s="4">
        <v>327711.79200000002</v>
      </c>
      <c r="G621" s="4">
        <v>327711.80900000001</v>
      </c>
      <c r="H621" s="5">
        <f>0 / 86400</f>
        <v>0</v>
      </c>
      <c r="I621" t="s">
        <v>150</v>
      </c>
      <c r="J621" t="s">
        <v>150</v>
      </c>
      <c r="K621" s="5">
        <f>46 / 86400</f>
        <v>5.3240740740740744E-4</v>
      </c>
      <c r="L621" s="5">
        <f>13820 / 86400</f>
        <v>0.15995370370370371</v>
      </c>
    </row>
    <row r="622" spans="1:12" x14ac:dyDescent="0.25">
      <c r="A622" s="3">
        <v>45700.411793981482</v>
      </c>
      <c r="B622" t="s">
        <v>29</v>
      </c>
      <c r="C622" s="3">
        <v>45700.512824074074</v>
      </c>
      <c r="D622" t="s">
        <v>260</v>
      </c>
      <c r="E622" s="4">
        <v>42.53</v>
      </c>
      <c r="F622" s="4">
        <v>327711.80900000001</v>
      </c>
      <c r="G622" s="4">
        <v>327754.33899999998</v>
      </c>
      <c r="H622" s="5">
        <f>3180 / 86400</f>
        <v>3.6805555555555557E-2</v>
      </c>
      <c r="I622" t="s">
        <v>65</v>
      </c>
      <c r="J622" t="s">
        <v>31</v>
      </c>
      <c r="K622" s="5">
        <f>8729 / 86400</f>
        <v>0.10103009259259259</v>
      </c>
      <c r="L622" s="5">
        <f>334 / 86400</f>
        <v>3.8657407407407408E-3</v>
      </c>
    </row>
    <row r="623" spans="1:12" x14ac:dyDescent="0.25">
      <c r="A623" s="3">
        <v>45700.516689814816</v>
      </c>
      <c r="B623" t="s">
        <v>261</v>
      </c>
      <c r="C623" s="3">
        <v>45700.590555555551</v>
      </c>
      <c r="D623" t="s">
        <v>228</v>
      </c>
      <c r="E623" s="4">
        <v>29.393999999999998</v>
      </c>
      <c r="F623" s="4">
        <v>327754.33899999998</v>
      </c>
      <c r="G623" s="4">
        <v>327783.73300000001</v>
      </c>
      <c r="H623" s="5">
        <f>2139 / 86400</f>
        <v>2.4756944444444446E-2</v>
      </c>
      <c r="I623" t="s">
        <v>180</v>
      </c>
      <c r="J623" t="s">
        <v>28</v>
      </c>
      <c r="K623" s="5">
        <f>6381 / 86400</f>
        <v>7.3854166666666665E-2</v>
      </c>
      <c r="L623" s="5">
        <f>35 / 86400</f>
        <v>4.0509259259259258E-4</v>
      </c>
    </row>
    <row r="624" spans="1:12" x14ac:dyDescent="0.25">
      <c r="A624" s="3">
        <v>45700.590960648144</v>
      </c>
      <c r="B624" t="s">
        <v>228</v>
      </c>
      <c r="C624" s="3">
        <v>45700.591041666667</v>
      </c>
      <c r="D624" t="s">
        <v>228</v>
      </c>
      <c r="E624" s="4">
        <v>0</v>
      </c>
      <c r="F624" s="4">
        <v>327783.73300000001</v>
      </c>
      <c r="G624" s="4">
        <v>327783.73300000001</v>
      </c>
      <c r="H624" s="5">
        <f>0 / 86400</f>
        <v>0</v>
      </c>
      <c r="I624" t="s">
        <v>42</v>
      </c>
      <c r="J624" t="s">
        <v>42</v>
      </c>
      <c r="K624" s="5">
        <f>7 / 86400</f>
        <v>8.1018518518518516E-5</v>
      </c>
      <c r="L624" s="5">
        <f>2035 / 86400</f>
        <v>2.3553240740740739E-2</v>
      </c>
    </row>
    <row r="625" spans="1:12" x14ac:dyDescent="0.25">
      <c r="A625" s="3">
        <v>45700.614594907413</v>
      </c>
      <c r="B625" t="s">
        <v>229</v>
      </c>
      <c r="C625" s="3">
        <v>45700.706041666665</v>
      </c>
      <c r="D625" t="s">
        <v>262</v>
      </c>
      <c r="E625" s="4">
        <v>40.243000000000002</v>
      </c>
      <c r="F625" s="4">
        <v>327783.73300000001</v>
      </c>
      <c r="G625" s="4">
        <v>327823.97600000002</v>
      </c>
      <c r="H625" s="5">
        <f>2639 / 86400</f>
        <v>3.0543981481481481E-2</v>
      </c>
      <c r="I625" t="s">
        <v>19</v>
      </c>
      <c r="J625" t="s">
        <v>31</v>
      </c>
      <c r="K625" s="5">
        <f>7900 / 86400</f>
        <v>9.1435185185185189E-2</v>
      </c>
      <c r="L625" s="5">
        <f>429 / 86400</f>
        <v>4.9652777777777777E-3</v>
      </c>
    </row>
    <row r="626" spans="1:12" x14ac:dyDescent="0.25">
      <c r="A626" s="3">
        <v>45700.711006944446</v>
      </c>
      <c r="B626" t="s">
        <v>263</v>
      </c>
      <c r="C626" s="3">
        <v>45700.818599537037</v>
      </c>
      <c r="D626" t="s">
        <v>263</v>
      </c>
      <c r="E626" s="4">
        <v>32.868000000000002</v>
      </c>
      <c r="F626" s="4">
        <v>327823.97600000002</v>
      </c>
      <c r="G626" s="4">
        <v>327856.84399999998</v>
      </c>
      <c r="H626" s="5">
        <f>3781 / 86400</f>
        <v>4.3761574074074071E-2</v>
      </c>
      <c r="I626" t="s">
        <v>180</v>
      </c>
      <c r="J626" t="s">
        <v>46</v>
      </c>
      <c r="K626" s="5">
        <f>9296 / 86400</f>
        <v>0.10759259259259259</v>
      </c>
      <c r="L626" s="5">
        <f>141 / 86400</f>
        <v>1.6319444444444445E-3</v>
      </c>
    </row>
    <row r="627" spans="1:12" x14ac:dyDescent="0.25">
      <c r="A627" s="3">
        <v>45700.820231481484</v>
      </c>
      <c r="B627" t="s">
        <v>263</v>
      </c>
      <c r="C627" s="3">
        <v>45700.908935185187</v>
      </c>
      <c r="D627" t="s">
        <v>24</v>
      </c>
      <c r="E627" s="4">
        <v>33.164999999999999</v>
      </c>
      <c r="F627" s="4">
        <v>327856.84399999998</v>
      </c>
      <c r="G627" s="4">
        <v>327890.00900000002</v>
      </c>
      <c r="H627" s="5">
        <f>2322 / 86400</f>
        <v>2.6875E-2</v>
      </c>
      <c r="I627" t="s">
        <v>172</v>
      </c>
      <c r="J627" t="s">
        <v>34</v>
      </c>
      <c r="K627" s="5">
        <f>7664 / 86400</f>
        <v>8.8703703703703701E-2</v>
      </c>
      <c r="L627" s="5">
        <f>712 / 86400</f>
        <v>8.2407407407407412E-3</v>
      </c>
    </row>
    <row r="628" spans="1:12" x14ac:dyDescent="0.25">
      <c r="A628" s="3">
        <v>45700.917175925926</v>
      </c>
      <c r="B628" t="s">
        <v>24</v>
      </c>
      <c r="C628" s="3">
        <v>45700.91788194445</v>
      </c>
      <c r="D628" t="s">
        <v>24</v>
      </c>
      <c r="E628" s="4">
        <v>9.9000000000000005E-2</v>
      </c>
      <c r="F628" s="4">
        <v>327890.00900000002</v>
      </c>
      <c r="G628" s="4">
        <v>327890.10800000001</v>
      </c>
      <c r="H628" s="5">
        <f>20 / 86400</f>
        <v>2.3148148148148149E-4</v>
      </c>
      <c r="I628" t="s">
        <v>20</v>
      </c>
      <c r="J628" t="s">
        <v>131</v>
      </c>
      <c r="K628" s="5">
        <f>60 / 86400</f>
        <v>6.9444444444444447E-4</v>
      </c>
      <c r="L628" s="5">
        <f>345 / 86400</f>
        <v>3.9930555555555552E-3</v>
      </c>
    </row>
    <row r="629" spans="1:12" x14ac:dyDescent="0.25">
      <c r="A629" s="3">
        <v>45700.921875</v>
      </c>
      <c r="B629" t="s">
        <v>24</v>
      </c>
      <c r="C629" s="3">
        <v>45700.928310185191</v>
      </c>
      <c r="D629" t="s">
        <v>29</v>
      </c>
      <c r="E629" s="4">
        <v>0.63400000000000001</v>
      </c>
      <c r="F629" s="4">
        <v>327890.10800000001</v>
      </c>
      <c r="G629" s="4">
        <v>327890.74200000003</v>
      </c>
      <c r="H629" s="5">
        <f>300 / 86400</f>
        <v>3.472222222222222E-3</v>
      </c>
      <c r="I629" t="s">
        <v>70</v>
      </c>
      <c r="J629" t="s">
        <v>133</v>
      </c>
      <c r="K629" s="5">
        <f>556 / 86400</f>
        <v>6.4351851851851853E-3</v>
      </c>
      <c r="L629" s="5">
        <f>930 / 86400</f>
        <v>1.0763888888888889E-2</v>
      </c>
    </row>
    <row r="630" spans="1:12" x14ac:dyDescent="0.25">
      <c r="A630" s="3">
        <v>45700.939074074078</v>
      </c>
      <c r="B630" t="s">
        <v>29</v>
      </c>
      <c r="C630" s="3">
        <v>45700.939826388887</v>
      </c>
      <c r="D630" t="s">
        <v>29</v>
      </c>
      <c r="E630" s="4">
        <v>2.5999999999999999E-2</v>
      </c>
      <c r="F630" s="4">
        <v>327890.74200000003</v>
      </c>
      <c r="G630" s="4">
        <v>327890.76799999998</v>
      </c>
      <c r="H630" s="5">
        <f>0 / 86400</f>
        <v>0</v>
      </c>
      <c r="I630" t="s">
        <v>149</v>
      </c>
      <c r="J630" t="s">
        <v>150</v>
      </c>
      <c r="K630" s="5">
        <f>64 / 86400</f>
        <v>7.407407407407407E-4</v>
      </c>
      <c r="L630" s="5">
        <f>5198 / 86400</f>
        <v>6.0162037037037035E-2</v>
      </c>
    </row>
    <row r="631" spans="1:12" x14ac:dyDescent="0.25">
      <c r="A631" s="12"/>
      <c r="B631" s="12"/>
      <c r="C631" s="12"/>
      <c r="D631" s="12"/>
      <c r="E631" s="12"/>
      <c r="F631" s="12"/>
      <c r="G631" s="12"/>
      <c r="H631" s="12"/>
      <c r="I631" s="12"/>
      <c r="J631" s="12"/>
    </row>
    <row r="632" spans="1:12" x14ac:dyDescent="0.25">
      <c r="A632" s="12"/>
      <c r="B632" s="12"/>
      <c r="C632" s="12"/>
      <c r="D632" s="12"/>
      <c r="E632" s="12"/>
      <c r="F632" s="12"/>
      <c r="G632" s="12"/>
      <c r="H632" s="12"/>
      <c r="I632" s="12"/>
      <c r="J632" s="12"/>
    </row>
    <row r="633" spans="1:12" s="10" customFormat="1" ht="20.100000000000001" customHeight="1" x14ac:dyDescent="0.35">
      <c r="A633" s="15" t="s">
        <v>338</v>
      </c>
      <c r="B633" s="15"/>
      <c r="C633" s="15"/>
      <c r="D633" s="15"/>
      <c r="E633" s="15"/>
      <c r="F633" s="15"/>
      <c r="G633" s="15"/>
      <c r="H633" s="15"/>
      <c r="I633" s="15"/>
      <c r="J633" s="15"/>
    </row>
    <row r="634" spans="1:12" x14ac:dyDescent="0.25">
      <c r="A634" s="12"/>
      <c r="B634" s="12"/>
      <c r="C634" s="12"/>
      <c r="D634" s="12"/>
      <c r="E634" s="12"/>
      <c r="F634" s="12"/>
      <c r="G634" s="12"/>
      <c r="H634" s="12"/>
      <c r="I634" s="12"/>
      <c r="J634" s="12"/>
    </row>
    <row r="635" spans="1:12" ht="30" x14ac:dyDescent="0.25">
      <c r="A635" s="2" t="s">
        <v>6</v>
      </c>
      <c r="B635" s="2" t="s">
        <v>7</v>
      </c>
      <c r="C635" s="2" t="s">
        <v>8</v>
      </c>
      <c r="D635" s="2" t="s">
        <v>9</v>
      </c>
      <c r="E635" s="2" t="s">
        <v>10</v>
      </c>
      <c r="F635" s="2" t="s">
        <v>11</v>
      </c>
      <c r="G635" s="2" t="s">
        <v>12</v>
      </c>
      <c r="H635" s="2" t="s">
        <v>13</v>
      </c>
      <c r="I635" s="2" t="s">
        <v>14</v>
      </c>
      <c r="J635" s="2" t="s">
        <v>15</v>
      </c>
      <c r="K635" s="2" t="s">
        <v>16</v>
      </c>
      <c r="L635" s="2" t="s">
        <v>17</v>
      </c>
    </row>
    <row r="636" spans="1:12" x14ac:dyDescent="0.25">
      <c r="A636" s="3">
        <v>45700.24155092593</v>
      </c>
      <c r="B636" t="s">
        <v>29</v>
      </c>
      <c r="C636" s="3">
        <v>45700.37736111111</v>
      </c>
      <c r="D636" t="s">
        <v>92</v>
      </c>
      <c r="E636" s="4">
        <v>64.751999999999995</v>
      </c>
      <c r="F636" s="4">
        <v>360118.29499999998</v>
      </c>
      <c r="G636" s="4">
        <v>360183.04700000002</v>
      </c>
      <c r="H636" s="5">
        <f>3071 / 86400</f>
        <v>3.5543981481481482E-2</v>
      </c>
      <c r="I636" t="s">
        <v>58</v>
      </c>
      <c r="J636" t="s">
        <v>70</v>
      </c>
      <c r="K636" s="5">
        <f>11734 / 86400</f>
        <v>0.13581018518518517</v>
      </c>
      <c r="L636" s="5">
        <f>22596 / 86400</f>
        <v>0.2615277777777778</v>
      </c>
    </row>
    <row r="637" spans="1:12" x14ac:dyDescent="0.25">
      <c r="A637" s="3">
        <v>45700.397337962961</v>
      </c>
      <c r="B637" t="s">
        <v>92</v>
      </c>
      <c r="C637" s="3">
        <v>45700.400266203702</v>
      </c>
      <c r="D637" t="s">
        <v>92</v>
      </c>
      <c r="E637" s="4">
        <v>0.35599999999999998</v>
      </c>
      <c r="F637" s="4">
        <v>360183.04700000002</v>
      </c>
      <c r="G637" s="4">
        <v>360183.40299999999</v>
      </c>
      <c r="H637" s="5">
        <f>94 / 86400</f>
        <v>1.0879629629629629E-3</v>
      </c>
      <c r="I637" t="s">
        <v>31</v>
      </c>
      <c r="J637" t="s">
        <v>149</v>
      </c>
      <c r="K637" s="5">
        <f>252 / 86400</f>
        <v>2.9166666666666668E-3</v>
      </c>
      <c r="L637" s="5">
        <f>421 / 86400</f>
        <v>4.8726851851851848E-3</v>
      </c>
    </row>
    <row r="638" spans="1:12" x14ac:dyDescent="0.25">
      <c r="A638" s="3">
        <v>45700.405138888891</v>
      </c>
      <c r="B638" t="s">
        <v>92</v>
      </c>
      <c r="C638" s="3">
        <v>45700.410752314812</v>
      </c>
      <c r="D638" t="s">
        <v>138</v>
      </c>
      <c r="E638" s="4">
        <v>1.286</v>
      </c>
      <c r="F638" s="4">
        <v>360183.40299999999</v>
      </c>
      <c r="G638" s="4">
        <v>360184.68900000001</v>
      </c>
      <c r="H638" s="5">
        <f>119 / 86400</f>
        <v>1.3773148148148147E-3</v>
      </c>
      <c r="I638" t="s">
        <v>189</v>
      </c>
      <c r="J638" t="s">
        <v>164</v>
      </c>
      <c r="K638" s="5">
        <f>485 / 86400</f>
        <v>5.6134259259259262E-3</v>
      </c>
      <c r="L638" s="5">
        <f>1126 / 86400</f>
        <v>1.3032407407407407E-2</v>
      </c>
    </row>
    <row r="639" spans="1:12" x14ac:dyDescent="0.25">
      <c r="A639" s="3">
        <v>45700.423784722225</v>
      </c>
      <c r="B639" t="s">
        <v>138</v>
      </c>
      <c r="C639" s="3">
        <v>45700.661608796298</v>
      </c>
      <c r="D639" t="s">
        <v>214</v>
      </c>
      <c r="E639" s="4">
        <v>100.83799999999999</v>
      </c>
      <c r="F639" s="4">
        <v>360184.68900000001</v>
      </c>
      <c r="G639" s="4">
        <v>360285.527</v>
      </c>
      <c r="H639" s="5">
        <f>6362 / 86400</f>
        <v>7.363425925925926E-2</v>
      </c>
      <c r="I639" t="s">
        <v>30</v>
      </c>
      <c r="J639" t="s">
        <v>31</v>
      </c>
      <c r="K639" s="5">
        <f>20547 / 86400</f>
        <v>0.23781250000000001</v>
      </c>
      <c r="L639" s="5">
        <f>2651 / 86400</f>
        <v>3.0682870370370371E-2</v>
      </c>
    </row>
    <row r="640" spans="1:12" x14ac:dyDescent="0.25">
      <c r="A640" s="3">
        <v>45700.692291666666</v>
      </c>
      <c r="B640" t="s">
        <v>214</v>
      </c>
      <c r="C640" s="3">
        <v>45700.696585648147</v>
      </c>
      <c r="D640" t="s">
        <v>62</v>
      </c>
      <c r="E640" s="4">
        <v>0.92400000000000004</v>
      </c>
      <c r="F640" s="4">
        <v>360285.527</v>
      </c>
      <c r="G640" s="4">
        <v>360286.451</v>
      </c>
      <c r="H640" s="5">
        <f>119 / 86400</f>
        <v>1.3773148148148147E-3</v>
      </c>
      <c r="I640" t="s">
        <v>176</v>
      </c>
      <c r="J640" t="s">
        <v>137</v>
      </c>
      <c r="K640" s="5">
        <f>370 / 86400</f>
        <v>4.2824074074074075E-3</v>
      </c>
      <c r="L640" s="5">
        <f>355 / 86400</f>
        <v>4.1087962962962962E-3</v>
      </c>
    </row>
    <row r="641" spans="1:12" x14ac:dyDescent="0.25">
      <c r="A641" s="3">
        <v>45700.700694444444</v>
      </c>
      <c r="B641" t="s">
        <v>62</v>
      </c>
      <c r="C641" s="3">
        <v>45700.700729166667</v>
      </c>
      <c r="D641" t="s">
        <v>62</v>
      </c>
      <c r="E641" s="4">
        <v>0</v>
      </c>
      <c r="F641" s="4">
        <v>360286.451</v>
      </c>
      <c r="G641" s="4">
        <v>360286.451</v>
      </c>
      <c r="H641" s="5">
        <f>0 / 86400</f>
        <v>0</v>
      </c>
      <c r="I641" t="s">
        <v>42</v>
      </c>
      <c r="J641" t="s">
        <v>42</v>
      </c>
      <c r="K641" s="5">
        <f>2 / 86400</f>
        <v>2.3148148148148147E-5</v>
      </c>
      <c r="L641" s="5">
        <f>33 / 86400</f>
        <v>3.8194444444444446E-4</v>
      </c>
    </row>
    <row r="642" spans="1:12" x14ac:dyDescent="0.25">
      <c r="A642" s="3">
        <v>45700.701111111106</v>
      </c>
      <c r="B642" t="s">
        <v>62</v>
      </c>
      <c r="C642" s="3">
        <v>45700.768449074079</v>
      </c>
      <c r="D642" t="s">
        <v>264</v>
      </c>
      <c r="E642" s="4">
        <v>23.594000000000001</v>
      </c>
      <c r="F642" s="4">
        <v>360286.451</v>
      </c>
      <c r="G642" s="4">
        <v>360310.04499999998</v>
      </c>
      <c r="H642" s="5">
        <f>2626 / 86400</f>
        <v>3.0393518518518518E-2</v>
      </c>
      <c r="I642" t="s">
        <v>155</v>
      </c>
      <c r="J642" t="s">
        <v>20</v>
      </c>
      <c r="K642" s="5">
        <f>5818 / 86400</f>
        <v>6.7337962962962961E-2</v>
      </c>
      <c r="L642" s="5">
        <f>277 / 86400</f>
        <v>3.2060185185185186E-3</v>
      </c>
    </row>
    <row r="643" spans="1:12" x14ac:dyDescent="0.25">
      <c r="A643" s="3">
        <v>45700.771655092598</v>
      </c>
      <c r="B643" t="s">
        <v>264</v>
      </c>
      <c r="C643" s="3">
        <v>45700.772175925929</v>
      </c>
      <c r="D643" t="s">
        <v>264</v>
      </c>
      <c r="E643" s="4">
        <v>0</v>
      </c>
      <c r="F643" s="4">
        <v>360310.04499999998</v>
      </c>
      <c r="G643" s="4">
        <v>360310.04499999998</v>
      </c>
      <c r="H643" s="5">
        <f>39 / 86400</f>
        <v>4.5138888888888887E-4</v>
      </c>
      <c r="I643" t="s">
        <v>42</v>
      </c>
      <c r="J643" t="s">
        <v>42</v>
      </c>
      <c r="K643" s="5">
        <f>44 / 86400</f>
        <v>5.0925925925925921E-4</v>
      </c>
      <c r="L643" s="5">
        <f>2294 / 86400</f>
        <v>2.6550925925925926E-2</v>
      </c>
    </row>
    <row r="644" spans="1:12" x14ac:dyDescent="0.25">
      <c r="A644" s="3">
        <v>45700.798726851848</v>
      </c>
      <c r="B644" t="s">
        <v>264</v>
      </c>
      <c r="C644" s="3">
        <v>45700.81831018519</v>
      </c>
      <c r="D644" t="s">
        <v>89</v>
      </c>
      <c r="E644" s="4">
        <v>4.0270000000000001</v>
      </c>
      <c r="F644" s="4">
        <v>360310.04499999998</v>
      </c>
      <c r="G644" s="4">
        <v>360314.07199999999</v>
      </c>
      <c r="H644" s="5">
        <f>559 / 86400</f>
        <v>6.4699074074074077E-3</v>
      </c>
      <c r="I644" t="s">
        <v>200</v>
      </c>
      <c r="J644" t="s">
        <v>137</v>
      </c>
      <c r="K644" s="5">
        <f>1691 / 86400</f>
        <v>1.9571759259259261E-2</v>
      </c>
      <c r="L644" s="5">
        <f>93 / 86400</f>
        <v>1.0763888888888889E-3</v>
      </c>
    </row>
    <row r="645" spans="1:12" x14ac:dyDescent="0.25">
      <c r="A645" s="3">
        <v>45700.819386574076</v>
      </c>
      <c r="B645" t="s">
        <v>89</v>
      </c>
      <c r="C645" s="3">
        <v>45700.822442129633</v>
      </c>
      <c r="D645" t="s">
        <v>29</v>
      </c>
      <c r="E645" s="4">
        <v>0.71099999999999997</v>
      </c>
      <c r="F645" s="4">
        <v>360314.07199999999</v>
      </c>
      <c r="G645" s="4">
        <v>360314.783</v>
      </c>
      <c r="H645" s="5">
        <f>39 / 86400</f>
        <v>4.5138888888888887E-4</v>
      </c>
      <c r="I645" t="s">
        <v>39</v>
      </c>
      <c r="J645" t="s">
        <v>164</v>
      </c>
      <c r="K645" s="5">
        <f>264 / 86400</f>
        <v>3.0555555555555557E-3</v>
      </c>
      <c r="L645" s="5">
        <f>15340 / 86400</f>
        <v>0.17754629629629629</v>
      </c>
    </row>
    <row r="646" spans="1:12" x14ac:dyDescent="0.25">
      <c r="A646" s="12"/>
      <c r="B646" s="12"/>
      <c r="C646" s="12"/>
      <c r="D646" s="12"/>
      <c r="E646" s="12"/>
      <c r="F646" s="12"/>
      <c r="G646" s="12"/>
      <c r="H646" s="12"/>
      <c r="I646" s="12"/>
      <c r="J646" s="12"/>
    </row>
    <row r="647" spans="1:12" x14ac:dyDescent="0.25">
      <c r="A647" s="12"/>
      <c r="B647" s="12"/>
      <c r="C647" s="12"/>
      <c r="D647" s="12"/>
      <c r="E647" s="12"/>
      <c r="F647" s="12"/>
      <c r="G647" s="12"/>
      <c r="H647" s="12"/>
      <c r="I647" s="12"/>
      <c r="J647" s="12"/>
    </row>
    <row r="648" spans="1:12" s="10" customFormat="1" ht="20.100000000000001" customHeight="1" x14ac:dyDescent="0.35">
      <c r="A648" s="15" t="s">
        <v>339</v>
      </c>
      <c r="B648" s="15"/>
      <c r="C648" s="15"/>
      <c r="D648" s="15"/>
      <c r="E648" s="15"/>
      <c r="F648" s="15"/>
      <c r="G648" s="15"/>
      <c r="H648" s="15"/>
      <c r="I648" s="15"/>
      <c r="J648" s="15"/>
    </row>
    <row r="649" spans="1:12" x14ac:dyDescent="0.25">
      <c r="A649" s="12"/>
      <c r="B649" s="12"/>
      <c r="C649" s="12"/>
      <c r="D649" s="12"/>
      <c r="E649" s="12"/>
      <c r="F649" s="12"/>
      <c r="G649" s="12"/>
      <c r="H649" s="12"/>
      <c r="I649" s="12"/>
      <c r="J649" s="12"/>
    </row>
    <row r="650" spans="1:12" ht="30" x14ac:dyDescent="0.25">
      <c r="A650" s="2" t="s">
        <v>6</v>
      </c>
      <c r="B650" s="2" t="s">
        <v>7</v>
      </c>
      <c r="C650" s="2" t="s">
        <v>8</v>
      </c>
      <c r="D650" s="2" t="s">
        <v>9</v>
      </c>
      <c r="E650" s="2" t="s">
        <v>10</v>
      </c>
      <c r="F650" s="2" t="s">
        <v>11</v>
      </c>
      <c r="G650" s="2" t="s">
        <v>12</v>
      </c>
      <c r="H650" s="2" t="s">
        <v>13</v>
      </c>
      <c r="I650" s="2" t="s">
        <v>14</v>
      </c>
      <c r="J650" s="2" t="s">
        <v>15</v>
      </c>
      <c r="K650" s="2" t="s">
        <v>16</v>
      </c>
      <c r="L650" s="2" t="s">
        <v>17</v>
      </c>
    </row>
    <row r="651" spans="1:12" x14ac:dyDescent="0.25">
      <c r="A651" s="3">
        <v>45700.286168981482</v>
      </c>
      <c r="B651" t="s">
        <v>90</v>
      </c>
      <c r="C651" s="3">
        <v>45700.493287037039</v>
      </c>
      <c r="D651" t="s">
        <v>139</v>
      </c>
      <c r="E651" s="4">
        <v>82.754000000000005</v>
      </c>
      <c r="F651" s="4">
        <v>81497.130999999994</v>
      </c>
      <c r="G651" s="4">
        <v>81579.884999999995</v>
      </c>
      <c r="H651" s="5">
        <f>5838 / 86400</f>
        <v>6.7569444444444446E-2</v>
      </c>
      <c r="I651" t="s">
        <v>91</v>
      </c>
      <c r="J651" t="s">
        <v>28</v>
      </c>
      <c r="K651" s="5">
        <f>17894 / 86400</f>
        <v>0.20710648148148147</v>
      </c>
      <c r="L651" s="5">
        <f>24727 / 86400</f>
        <v>0.28619212962962964</v>
      </c>
    </row>
    <row r="652" spans="1:12" x14ac:dyDescent="0.25">
      <c r="A652" s="3">
        <v>45700.493310185186</v>
      </c>
      <c r="B652" t="s">
        <v>139</v>
      </c>
      <c r="C652" s="3">
        <v>45700.493518518517</v>
      </c>
      <c r="D652" t="s">
        <v>213</v>
      </c>
      <c r="E652" s="4">
        <v>0</v>
      </c>
      <c r="F652" s="4">
        <v>81579.884999999995</v>
      </c>
      <c r="G652" s="4">
        <v>81579.884999999995</v>
      </c>
      <c r="H652" s="5">
        <f>11 / 86400</f>
        <v>1.273148148148148E-4</v>
      </c>
      <c r="I652" t="s">
        <v>42</v>
      </c>
      <c r="J652" t="s">
        <v>42</v>
      </c>
      <c r="K652" s="5">
        <f>18 / 86400</f>
        <v>2.0833333333333335E-4</v>
      </c>
      <c r="L652" s="5">
        <f>391 / 86400</f>
        <v>4.5254629629629629E-3</v>
      </c>
    </row>
    <row r="653" spans="1:12" x14ac:dyDescent="0.25">
      <c r="A653" s="3">
        <v>45700.498043981483</v>
      </c>
      <c r="B653" t="s">
        <v>213</v>
      </c>
      <c r="C653" s="3">
        <v>45700.502696759257</v>
      </c>
      <c r="D653" t="s">
        <v>90</v>
      </c>
      <c r="E653" s="4">
        <v>1.179</v>
      </c>
      <c r="F653" s="4">
        <v>81579.884999999995</v>
      </c>
      <c r="G653" s="4">
        <v>81581.063999999998</v>
      </c>
      <c r="H653" s="5">
        <f>160 / 86400</f>
        <v>1.8518518518518519E-3</v>
      </c>
      <c r="I653" t="s">
        <v>211</v>
      </c>
      <c r="J653" t="s">
        <v>126</v>
      </c>
      <c r="K653" s="5">
        <f>402 / 86400</f>
        <v>4.6527777777777774E-3</v>
      </c>
      <c r="L653" s="5">
        <f>9431 / 86400</f>
        <v>0.1091550925925926</v>
      </c>
    </row>
    <row r="654" spans="1:12" x14ac:dyDescent="0.25">
      <c r="A654" s="3">
        <v>45700.611851851849</v>
      </c>
      <c r="B654" t="s">
        <v>90</v>
      </c>
      <c r="C654" s="3">
        <v>45700.659861111111</v>
      </c>
      <c r="D654" t="s">
        <v>90</v>
      </c>
      <c r="E654" s="4">
        <v>11.407999999999999</v>
      </c>
      <c r="F654" s="4">
        <v>81581.063999999998</v>
      </c>
      <c r="G654" s="4">
        <v>81592.471999999994</v>
      </c>
      <c r="H654" s="5">
        <f>1978 / 86400</f>
        <v>2.2893518518518518E-2</v>
      </c>
      <c r="I654" t="s">
        <v>265</v>
      </c>
      <c r="J654" t="s">
        <v>164</v>
      </c>
      <c r="K654" s="5">
        <f>4147 / 86400</f>
        <v>4.7997685185185185E-2</v>
      </c>
      <c r="L654" s="5">
        <f>618 / 86400</f>
        <v>7.1527777777777779E-3</v>
      </c>
    </row>
    <row r="655" spans="1:12" x14ac:dyDescent="0.25">
      <c r="A655" s="3">
        <v>45700.667013888888</v>
      </c>
      <c r="B655" t="s">
        <v>90</v>
      </c>
      <c r="C655" s="3">
        <v>45700.67087962963</v>
      </c>
      <c r="D655" t="s">
        <v>90</v>
      </c>
      <c r="E655" s="4">
        <v>1.252</v>
      </c>
      <c r="F655" s="4">
        <v>81592.471999999994</v>
      </c>
      <c r="G655" s="4">
        <v>81593.724000000002</v>
      </c>
      <c r="H655" s="5">
        <f>59 / 86400</f>
        <v>6.8287037037037036E-4</v>
      </c>
      <c r="I655" t="s">
        <v>173</v>
      </c>
      <c r="J655" t="s">
        <v>39</v>
      </c>
      <c r="K655" s="5">
        <f>333 / 86400</f>
        <v>3.8541666666666668E-3</v>
      </c>
      <c r="L655" s="5">
        <f>10 / 86400</f>
        <v>1.1574074074074075E-4</v>
      </c>
    </row>
    <row r="656" spans="1:12" x14ac:dyDescent="0.25">
      <c r="A656" s="3">
        <v>45700.670995370368</v>
      </c>
      <c r="B656" t="s">
        <v>90</v>
      </c>
      <c r="C656" s="3">
        <v>45700.707511574074</v>
      </c>
      <c r="D656" t="s">
        <v>90</v>
      </c>
      <c r="E656" s="4">
        <v>0</v>
      </c>
      <c r="F656" s="4">
        <v>81593.724000000002</v>
      </c>
      <c r="G656" s="4">
        <v>81593.724000000002</v>
      </c>
      <c r="H656" s="5">
        <f>3145 / 86400</f>
        <v>3.6400462962962961E-2</v>
      </c>
      <c r="I656" t="s">
        <v>42</v>
      </c>
      <c r="J656" t="s">
        <v>42</v>
      </c>
      <c r="K656" s="5">
        <f>3155 / 86400</f>
        <v>3.6516203703703703E-2</v>
      </c>
      <c r="L656" s="5">
        <f>14038 / 86400</f>
        <v>0.16247685185185184</v>
      </c>
    </row>
    <row r="657" spans="1:12" x14ac:dyDescent="0.25">
      <c r="A657" s="3">
        <v>45700.869988425926</v>
      </c>
      <c r="B657" t="s">
        <v>90</v>
      </c>
      <c r="C657" s="3">
        <v>45700.875474537039</v>
      </c>
      <c r="D657" t="s">
        <v>90</v>
      </c>
      <c r="E657" s="4">
        <v>0.56999999999999995</v>
      </c>
      <c r="F657" s="4">
        <v>81593.724000000002</v>
      </c>
      <c r="G657" s="4">
        <v>81594.293999999994</v>
      </c>
      <c r="H657" s="5">
        <f>201 / 86400</f>
        <v>2.3263888888888887E-3</v>
      </c>
      <c r="I657" t="s">
        <v>143</v>
      </c>
      <c r="J657" t="s">
        <v>133</v>
      </c>
      <c r="K657" s="5">
        <f>474 / 86400</f>
        <v>5.4861111111111109E-3</v>
      </c>
      <c r="L657" s="5">
        <f>10758 / 86400</f>
        <v>0.12451388888888888</v>
      </c>
    </row>
    <row r="658" spans="1:12" x14ac:dyDescent="0.25">
      <c r="A658" s="12"/>
      <c r="B658" s="12"/>
      <c r="C658" s="12"/>
      <c r="D658" s="12"/>
      <c r="E658" s="12"/>
      <c r="F658" s="12"/>
      <c r="G658" s="12"/>
      <c r="H658" s="12"/>
      <c r="I658" s="12"/>
      <c r="J658" s="12"/>
    </row>
    <row r="659" spans="1:12" x14ac:dyDescent="0.25">
      <c r="A659" s="12"/>
      <c r="B659" s="12"/>
      <c r="C659" s="12"/>
      <c r="D659" s="12"/>
      <c r="E659" s="12"/>
      <c r="F659" s="12"/>
      <c r="G659" s="12"/>
      <c r="H659" s="12"/>
      <c r="I659" s="12"/>
      <c r="J659" s="12"/>
    </row>
    <row r="660" spans="1:12" s="10" customFormat="1" ht="20.100000000000001" customHeight="1" x14ac:dyDescent="0.35">
      <c r="A660" s="15" t="s">
        <v>340</v>
      </c>
      <c r="B660" s="15"/>
      <c r="C660" s="15"/>
      <c r="D660" s="15"/>
      <c r="E660" s="15"/>
      <c r="F660" s="15"/>
      <c r="G660" s="15"/>
      <c r="H660" s="15"/>
      <c r="I660" s="15"/>
      <c r="J660" s="15"/>
    </row>
    <row r="661" spans="1:12" x14ac:dyDescent="0.25">
      <c r="A661" s="12"/>
      <c r="B661" s="12"/>
      <c r="C661" s="12"/>
      <c r="D661" s="12"/>
      <c r="E661" s="12"/>
      <c r="F661" s="12"/>
      <c r="G661" s="12"/>
      <c r="H661" s="12"/>
      <c r="I661" s="12"/>
      <c r="J661" s="12"/>
    </row>
    <row r="662" spans="1:12" ht="30" x14ac:dyDescent="0.25">
      <c r="A662" s="2" t="s">
        <v>6</v>
      </c>
      <c r="B662" s="2" t="s">
        <v>7</v>
      </c>
      <c r="C662" s="2" t="s">
        <v>8</v>
      </c>
      <c r="D662" s="2" t="s">
        <v>9</v>
      </c>
      <c r="E662" s="2" t="s">
        <v>10</v>
      </c>
      <c r="F662" s="2" t="s">
        <v>11</v>
      </c>
      <c r="G662" s="2" t="s">
        <v>12</v>
      </c>
      <c r="H662" s="2" t="s">
        <v>13</v>
      </c>
      <c r="I662" s="2" t="s">
        <v>14</v>
      </c>
      <c r="J662" s="2" t="s">
        <v>15</v>
      </c>
      <c r="K662" s="2" t="s">
        <v>16</v>
      </c>
      <c r="L662" s="2" t="s">
        <v>17</v>
      </c>
    </row>
    <row r="663" spans="1:12" x14ac:dyDescent="0.25">
      <c r="A663" s="3">
        <v>45700.205416666664</v>
      </c>
      <c r="B663" t="s">
        <v>92</v>
      </c>
      <c r="C663" s="3">
        <v>45700.21</v>
      </c>
      <c r="D663" t="s">
        <v>193</v>
      </c>
      <c r="E663" s="4">
        <v>0.60399999999999998</v>
      </c>
      <c r="F663" s="4">
        <v>469443.49699999997</v>
      </c>
      <c r="G663" s="4">
        <v>469444.10100000002</v>
      </c>
      <c r="H663" s="5">
        <f>199 / 86400</f>
        <v>2.3032407407407407E-3</v>
      </c>
      <c r="I663" t="s">
        <v>23</v>
      </c>
      <c r="J663" t="s">
        <v>149</v>
      </c>
      <c r="K663" s="5">
        <f>396 / 86400</f>
        <v>4.5833333333333334E-3</v>
      </c>
      <c r="L663" s="5">
        <f>17964 / 86400</f>
        <v>0.20791666666666667</v>
      </c>
    </row>
    <row r="664" spans="1:12" x14ac:dyDescent="0.25">
      <c r="A664" s="3">
        <v>45700.212500000001</v>
      </c>
      <c r="B664" t="s">
        <v>193</v>
      </c>
      <c r="C664" s="3">
        <v>45700.341828703706</v>
      </c>
      <c r="D664" t="s">
        <v>188</v>
      </c>
      <c r="E664" s="4">
        <v>50.953000000000003</v>
      </c>
      <c r="F664" s="4">
        <v>469444.10100000002</v>
      </c>
      <c r="G664" s="4">
        <v>469495.054</v>
      </c>
      <c r="H664" s="5">
        <f>3999 / 86400</f>
        <v>4.628472222222222E-2</v>
      </c>
      <c r="I664" t="s">
        <v>93</v>
      </c>
      <c r="J664" t="s">
        <v>34</v>
      </c>
      <c r="K664" s="5">
        <f>11173 / 86400</f>
        <v>0.12931712962962963</v>
      </c>
      <c r="L664" s="5">
        <f>231 / 86400</f>
        <v>2.673611111111111E-3</v>
      </c>
    </row>
    <row r="665" spans="1:12" x14ac:dyDescent="0.25">
      <c r="A665" s="3">
        <v>45700.344502314816</v>
      </c>
      <c r="B665" t="s">
        <v>188</v>
      </c>
      <c r="C665" s="3">
        <v>45700.481909722221</v>
      </c>
      <c r="D665" t="s">
        <v>138</v>
      </c>
      <c r="E665" s="4">
        <v>50.975999999999999</v>
      </c>
      <c r="F665" s="4">
        <v>469495.054</v>
      </c>
      <c r="G665" s="4">
        <v>469546.03</v>
      </c>
      <c r="H665" s="5">
        <f>4258 / 86400</f>
        <v>4.9282407407407407E-2</v>
      </c>
      <c r="I665" t="s">
        <v>37</v>
      </c>
      <c r="J665" t="s">
        <v>20</v>
      </c>
      <c r="K665" s="5">
        <f>11871 / 86400</f>
        <v>0.13739583333333333</v>
      </c>
      <c r="L665" s="5">
        <f>398 / 86400</f>
        <v>4.6064814814814814E-3</v>
      </c>
    </row>
    <row r="666" spans="1:12" x14ac:dyDescent="0.25">
      <c r="A666" s="3">
        <v>45700.486516203702</v>
      </c>
      <c r="B666" t="s">
        <v>138</v>
      </c>
      <c r="C666" s="3">
        <v>45700.486909722225</v>
      </c>
      <c r="D666" t="s">
        <v>138</v>
      </c>
      <c r="E666" s="4">
        <v>1E-3</v>
      </c>
      <c r="F666" s="4">
        <v>469546.03</v>
      </c>
      <c r="G666" s="4">
        <v>469546.03100000002</v>
      </c>
      <c r="H666" s="5">
        <f>19 / 86400</f>
        <v>2.199074074074074E-4</v>
      </c>
      <c r="I666" t="s">
        <v>42</v>
      </c>
      <c r="J666" t="s">
        <v>42</v>
      </c>
      <c r="K666" s="5">
        <f>34 / 86400</f>
        <v>3.9351851851851852E-4</v>
      </c>
      <c r="L666" s="5">
        <f>1057 / 86400</f>
        <v>1.2233796296296296E-2</v>
      </c>
    </row>
    <row r="667" spans="1:12" x14ac:dyDescent="0.25">
      <c r="A667" s="3">
        <v>45700.499143518522</v>
      </c>
      <c r="B667" t="s">
        <v>138</v>
      </c>
      <c r="C667" s="3">
        <v>45700.502581018518</v>
      </c>
      <c r="D667" t="s">
        <v>92</v>
      </c>
      <c r="E667" s="4">
        <v>0.96299999999999997</v>
      </c>
      <c r="F667" s="4">
        <v>469546.03100000002</v>
      </c>
      <c r="G667" s="4">
        <v>469546.99400000001</v>
      </c>
      <c r="H667" s="5">
        <f>39 / 86400</f>
        <v>4.5138888888888887E-4</v>
      </c>
      <c r="I667" t="s">
        <v>176</v>
      </c>
      <c r="J667" t="s">
        <v>55</v>
      </c>
      <c r="K667" s="5">
        <f>296 / 86400</f>
        <v>3.425925925925926E-3</v>
      </c>
      <c r="L667" s="5">
        <f>47 / 86400</f>
        <v>5.4398148148148144E-4</v>
      </c>
    </row>
    <row r="668" spans="1:12" x14ac:dyDescent="0.25">
      <c r="A668" s="3">
        <v>45700.503125000003</v>
      </c>
      <c r="B668" t="s">
        <v>92</v>
      </c>
      <c r="C668" s="3">
        <v>45700.503379629634</v>
      </c>
      <c r="D668" t="s">
        <v>92</v>
      </c>
      <c r="E668" s="4">
        <v>0</v>
      </c>
      <c r="F668" s="4">
        <v>469546.99400000001</v>
      </c>
      <c r="G668" s="4">
        <v>469546.99400000001</v>
      </c>
      <c r="H668" s="5">
        <f>19 / 86400</f>
        <v>2.199074074074074E-4</v>
      </c>
      <c r="I668" t="s">
        <v>42</v>
      </c>
      <c r="J668" t="s">
        <v>42</v>
      </c>
      <c r="K668" s="5">
        <f>21 / 86400</f>
        <v>2.4305555555555555E-4</v>
      </c>
      <c r="L668" s="5">
        <f>918 / 86400</f>
        <v>1.0625000000000001E-2</v>
      </c>
    </row>
    <row r="669" spans="1:12" x14ac:dyDescent="0.25">
      <c r="A669" s="3">
        <v>45700.514004629629</v>
      </c>
      <c r="B669" t="s">
        <v>92</v>
      </c>
      <c r="C669" s="3">
        <v>45700.514340277776</v>
      </c>
      <c r="D669" t="s">
        <v>92</v>
      </c>
      <c r="E669" s="4">
        <v>0</v>
      </c>
      <c r="F669" s="4">
        <v>469546.99400000001</v>
      </c>
      <c r="G669" s="4">
        <v>469546.99400000001</v>
      </c>
      <c r="H669" s="5">
        <f>19 / 86400</f>
        <v>2.199074074074074E-4</v>
      </c>
      <c r="I669" t="s">
        <v>42</v>
      </c>
      <c r="J669" t="s">
        <v>42</v>
      </c>
      <c r="K669" s="5">
        <f>28 / 86400</f>
        <v>3.2407407407407406E-4</v>
      </c>
      <c r="L669" s="5">
        <f>181 / 86400</f>
        <v>2.0949074074074073E-3</v>
      </c>
    </row>
    <row r="670" spans="1:12" x14ac:dyDescent="0.25">
      <c r="A670" s="3">
        <v>45700.516435185185</v>
      </c>
      <c r="B670" t="s">
        <v>92</v>
      </c>
      <c r="C670" s="3">
        <v>45700.521932870368</v>
      </c>
      <c r="D670" t="s">
        <v>43</v>
      </c>
      <c r="E670" s="4">
        <v>0.39100000000000001</v>
      </c>
      <c r="F670" s="4">
        <v>469546.99400000001</v>
      </c>
      <c r="G670" s="4">
        <v>469547.38500000001</v>
      </c>
      <c r="H670" s="5">
        <f>299 / 86400</f>
        <v>3.460648148148148E-3</v>
      </c>
      <c r="I670" t="s">
        <v>34</v>
      </c>
      <c r="J670" t="s">
        <v>77</v>
      </c>
      <c r="K670" s="5">
        <f>474 / 86400</f>
        <v>5.4861111111111109E-3</v>
      </c>
      <c r="L670" s="5">
        <f>108 / 86400</f>
        <v>1.25E-3</v>
      </c>
    </row>
    <row r="671" spans="1:12" x14ac:dyDescent="0.25">
      <c r="A671" s="3">
        <v>45700.523182870369</v>
      </c>
      <c r="B671" t="s">
        <v>43</v>
      </c>
      <c r="C671" s="3">
        <v>45700.524363425924</v>
      </c>
      <c r="D671" t="s">
        <v>43</v>
      </c>
      <c r="E671" s="4">
        <v>1.4999999999999999E-2</v>
      </c>
      <c r="F671" s="4">
        <v>469547.38500000001</v>
      </c>
      <c r="G671" s="4">
        <v>469547.4</v>
      </c>
      <c r="H671" s="5">
        <f>79 / 86400</f>
        <v>9.1435185185185185E-4</v>
      </c>
      <c r="I671" t="s">
        <v>133</v>
      </c>
      <c r="J671" t="s">
        <v>150</v>
      </c>
      <c r="K671" s="5">
        <f>102 / 86400</f>
        <v>1.1805555555555556E-3</v>
      </c>
      <c r="L671" s="5">
        <f>1475 / 86400</f>
        <v>1.7071759259259259E-2</v>
      </c>
    </row>
    <row r="672" spans="1:12" x14ac:dyDescent="0.25">
      <c r="A672" s="3">
        <v>45700.541435185187</v>
      </c>
      <c r="B672" t="s">
        <v>43</v>
      </c>
      <c r="C672" s="3">
        <v>45700.542210648149</v>
      </c>
      <c r="D672" t="s">
        <v>43</v>
      </c>
      <c r="E672" s="4">
        <v>8.4000000000000005E-2</v>
      </c>
      <c r="F672" s="4">
        <v>469547.4</v>
      </c>
      <c r="G672" s="4">
        <v>469547.484</v>
      </c>
      <c r="H672" s="5">
        <f>19 / 86400</f>
        <v>2.199074074074074E-4</v>
      </c>
      <c r="I672" t="s">
        <v>143</v>
      </c>
      <c r="J672" t="s">
        <v>149</v>
      </c>
      <c r="K672" s="5">
        <f>67 / 86400</f>
        <v>7.7546296296296293E-4</v>
      </c>
      <c r="L672" s="5">
        <f>568 / 86400</f>
        <v>6.5740740740740742E-3</v>
      </c>
    </row>
    <row r="673" spans="1:12" x14ac:dyDescent="0.25">
      <c r="A673" s="3">
        <v>45700.548784722225</v>
      </c>
      <c r="B673" t="s">
        <v>43</v>
      </c>
      <c r="C673" s="3">
        <v>45700.552372685182</v>
      </c>
      <c r="D673" t="s">
        <v>193</v>
      </c>
      <c r="E673" s="4">
        <v>0.76500000000000001</v>
      </c>
      <c r="F673" s="4">
        <v>469547.484</v>
      </c>
      <c r="G673" s="4">
        <v>469548.24900000001</v>
      </c>
      <c r="H673" s="5">
        <f>79 / 86400</f>
        <v>9.1435185185185185E-4</v>
      </c>
      <c r="I673" t="s">
        <v>200</v>
      </c>
      <c r="J673" t="s">
        <v>137</v>
      </c>
      <c r="K673" s="5">
        <f>310 / 86400</f>
        <v>3.5879629629629629E-3</v>
      </c>
      <c r="L673" s="5">
        <f>139 / 86400</f>
        <v>1.6087962962962963E-3</v>
      </c>
    </row>
    <row r="674" spans="1:12" x14ac:dyDescent="0.25">
      <c r="A674" s="3">
        <v>45700.553981481484</v>
      </c>
      <c r="B674" t="s">
        <v>193</v>
      </c>
      <c r="C674" s="3">
        <v>45700.554143518515</v>
      </c>
      <c r="D674" t="s">
        <v>193</v>
      </c>
      <c r="E674" s="4">
        <v>6.0000000000000001E-3</v>
      </c>
      <c r="F674" s="4">
        <v>469548.24900000001</v>
      </c>
      <c r="G674" s="4">
        <v>469548.255</v>
      </c>
      <c r="H674" s="5">
        <f>0 / 86400</f>
        <v>0</v>
      </c>
      <c r="I674" t="s">
        <v>42</v>
      </c>
      <c r="J674" t="s">
        <v>128</v>
      </c>
      <c r="K674" s="5">
        <f>13 / 86400</f>
        <v>1.5046296296296297E-4</v>
      </c>
      <c r="L674" s="5">
        <f>197 / 86400</f>
        <v>2.2800925925925927E-3</v>
      </c>
    </row>
    <row r="675" spans="1:12" x14ac:dyDescent="0.25">
      <c r="A675" s="3">
        <v>45700.556423611109</v>
      </c>
      <c r="B675" t="s">
        <v>193</v>
      </c>
      <c r="C675" s="3">
        <v>45700.665833333333</v>
      </c>
      <c r="D675" t="s">
        <v>266</v>
      </c>
      <c r="E675" s="4">
        <v>42.012999999999998</v>
      </c>
      <c r="F675" s="4">
        <v>469548.255</v>
      </c>
      <c r="G675" s="4">
        <v>469590.26799999998</v>
      </c>
      <c r="H675" s="5">
        <f>4099 / 86400</f>
        <v>4.7442129629629633E-2</v>
      </c>
      <c r="I675" t="s">
        <v>22</v>
      </c>
      <c r="J675" t="s">
        <v>34</v>
      </c>
      <c r="K675" s="5">
        <f>9452 / 86400</f>
        <v>0.10939814814814815</v>
      </c>
      <c r="L675" s="5">
        <f>710 / 86400</f>
        <v>8.2175925925925923E-3</v>
      </c>
    </row>
    <row r="676" spans="1:12" x14ac:dyDescent="0.25">
      <c r="A676" s="3">
        <v>45700.674050925925</v>
      </c>
      <c r="B676" t="s">
        <v>266</v>
      </c>
      <c r="C676" s="3">
        <v>45700.779594907406</v>
      </c>
      <c r="D676" t="s">
        <v>62</v>
      </c>
      <c r="E676" s="4">
        <v>42.79</v>
      </c>
      <c r="F676" s="4">
        <v>469590.26799999998</v>
      </c>
      <c r="G676" s="4">
        <v>469633.05800000002</v>
      </c>
      <c r="H676" s="5">
        <f>2700 / 86400</f>
        <v>3.125E-2</v>
      </c>
      <c r="I676" t="s">
        <v>207</v>
      </c>
      <c r="J676" t="s">
        <v>28</v>
      </c>
      <c r="K676" s="5">
        <f>9118 / 86400</f>
        <v>0.10553240740740741</v>
      </c>
      <c r="L676" s="5">
        <f>1067 / 86400</f>
        <v>1.2349537037037037E-2</v>
      </c>
    </row>
    <row r="677" spans="1:12" x14ac:dyDescent="0.25">
      <c r="A677" s="3">
        <v>45700.791944444441</v>
      </c>
      <c r="B677" t="s">
        <v>62</v>
      </c>
      <c r="C677" s="3">
        <v>45700.798159722224</v>
      </c>
      <c r="D677" t="s">
        <v>36</v>
      </c>
      <c r="E677" s="4">
        <v>1.0429999999999999</v>
      </c>
      <c r="F677" s="4">
        <v>469633.05800000002</v>
      </c>
      <c r="G677" s="4">
        <v>469634.10100000002</v>
      </c>
      <c r="H677" s="5">
        <f>279 / 86400</f>
        <v>3.2291666666666666E-3</v>
      </c>
      <c r="I677" t="s">
        <v>146</v>
      </c>
      <c r="J677" t="s">
        <v>143</v>
      </c>
      <c r="K677" s="5">
        <f>537 / 86400</f>
        <v>6.2152777777777779E-3</v>
      </c>
      <c r="L677" s="5">
        <f>17438 / 86400</f>
        <v>0.2018287037037037</v>
      </c>
    </row>
    <row r="678" spans="1:12" x14ac:dyDescent="0.25">
      <c r="A678" s="12"/>
      <c r="B678" s="12"/>
      <c r="C678" s="12"/>
      <c r="D678" s="12"/>
      <c r="E678" s="12"/>
      <c r="F678" s="12"/>
      <c r="G678" s="12"/>
      <c r="H678" s="12"/>
      <c r="I678" s="12"/>
      <c r="J678" s="12"/>
    </row>
    <row r="679" spans="1:12" x14ac:dyDescent="0.25">
      <c r="A679" s="12"/>
      <c r="B679" s="12"/>
      <c r="C679" s="12"/>
      <c r="D679" s="12"/>
      <c r="E679" s="12"/>
      <c r="F679" s="12"/>
      <c r="G679" s="12"/>
      <c r="H679" s="12"/>
      <c r="I679" s="12"/>
      <c r="J679" s="12"/>
    </row>
    <row r="680" spans="1:12" s="10" customFormat="1" ht="20.100000000000001" customHeight="1" x14ac:dyDescent="0.35">
      <c r="A680" s="15" t="s">
        <v>341</v>
      </c>
      <c r="B680" s="15"/>
      <c r="C680" s="15"/>
      <c r="D680" s="15"/>
      <c r="E680" s="15"/>
      <c r="F680" s="15"/>
      <c r="G680" s="15"/>
      <c r="H680" s="15"/>
      <c r="I680" s="15"/>
      <c r="J680" s="15"/>
    </row>
    <row r="681" spans="1:12" x14ac:dyDescent="0.25">
      <c r="A681" s="12"/>
      <c r="B681" s="12"/>
      <c r="C681" s="12"/>
      <c r="D681" s="12"/>
      <c r="E681" s="12"/>
      <c r="F681" s="12"/>
      <c r="G681" s="12"/>
      <c r="H681" s="12"/>
      <c r="I681" s="12"/>
      <c r="J681" s="12"/>
    </row>
    <row r="682" spans="1:12" ht="30" x14ac:dyDescent="0.25">
      <c r="A682" s="2" t="s">
        <v>6</v>
      </c>
      <c r="B682" s="2" t="s">
        <v>7</v>
      </c>
      <c r="C682" s="2" t="s">
        <v>8</v>
      </c>
      <c r="D682" s="2" t="s">
        <v>9</v>
      </c>
      <c r="E682" s="2" t="s">
        <v>10</v>
      </c>
      <c r="F682" s="2" t="s">
        <v>11</v>
      </c>
      <c r="G682" s="2" t="s">
        <v>12</v>
      </c>
      <c r="H682" s="2" t="s">
        <v>13</v>
      </c>
      <c r="I682" s="2" t="s">
        <v>14</v>
      </c>
      <c r="J682" s="2" t="s">
        <v>15</v>
      </c>
      <c r="K682" s="2" t="s">
        <v>16</v>
      </c>
      <c r="L682" s="2" t="s">
        <v>17</v>
      </c>
    </row>
    <row r="683" spans="1:12" x14ac:dyDescent="0.25">
      <c r="A683" s="3">
        <v>45700.690312499995</v>
      </c>
      <c r="B683" t="s">
        <v>94</v>
      </c>
      <c r="C683" s="3">
        <v>45700.698287037041</v>
      </c>
      <c r="D683" t="s">
        <v>94</v>
      </c>
      <c r="E683" s="4">
        <v>0</v>
      </c>
      <c r="F683" s="4">
        <v>428213.33600000001</v>
      </c>
      <c r="G683" s="4">
        <v>428213.33600000001</v>
      </c>
      <c r="H683" s="5">
        <f>679 / 86400</f>
        <v>7.858796296296296E-3</v>
      </c>
      <c r="I683" t="s">
        <v>42</v>
      </c>
      <c r="J683" t="s">
        <v>42</v>
      </c>
      <c r="K683" s="5">
        <f>689 / 86400</f>
        <v>7.9745370370370369E-3</v>
      </c>
      <c r="L683" s="5">
        <f>59946 / 86400</f>
        <v>0.69381944444444443</v>
      </c>
    </row>
    <row r="684" spans="1:12" x14ac:dyDescent="0.25">
      <c r="A684" s="3">
        <v>45700.701793981483</v>
      </c>
      <c r="B684" t="s">
        <v>94</v>
      </c>
      <c r="C684" s="3">
        <v>45700.707071759258</v>
      </c>
      <c r="D684" t="s">
        <v>94</v>
      </c>
      <c r="E684" s="4">
        <v>0</v>
      </c>
      <c r="F684" s="4">
        <v>428213.33600000001</v>
      </c>
      <c r="G684" s="4">
        <v>428213.33600000001</v>
      </c>
      <c r="H684" s="5">
        <f>439 / 86400</f>
        <v>5.0810185185185186E-3</v>
      </c>
      <c r="I684" t="s">
        <v>42</v>
      </c>
      <c r="J684" t="s">
        <v>42</v>
      </c>
      <c r="K684" s="5">
        <f>456 / 86400</f>
        <v>5.2777777777777779E-3</v>
      </c>
      <c r="L684" s="5">
        <f>119 / 86400</f>
        <v>1.3773148148148147E-3</v>
      </c>
    </row>
    <row r="685" spans="1:12" x14ac:dyDescent="0.25">
      <c r="A685" s="3">
        <v>45700.708449074074</v>
      </c>
      <c r="B685" t="s">
        <v>94</v>
      </c>
      <c r="C685" s="3">
        <v>45700.748854166668</v>
      </c>
      <c r="D685" t="s">
        <v>94</v>
      </c>
      <c r="E685" s="4">
        <v>0</v>
      </c>
      <c r="F685" s="4">
        <v>428213.33600000001</v>
      </c>
      <c r="G685" s="4">
        <v>428213.33600000001</v>
      </c>
      <c r="H685" s="5">
        <f>3489 / 86400</f>
        <v>4.0381944444444443E-2</v>
      </c>
      <c r="I685" t="s">
        <v>42</v>
      </c>
      <c r="J685" t="s">
        <v>42</v>
      </c>
      <c r="K685" s="5">
        <f>3491 / 86400</f>
        <v>4.040509259259259E-2</v>
      </c>
      <c r="L685" s="5">
        <f>283 / 86400</f>
        <v>3.2754629629629631E-3</v>
      </c>
    </row>
    <row r="686" spans="1:12" x14ac:dyDescent="0.25">
      <c r="A686" s="3">
        <v>45700.752129629633</v>
      </c>
      <c r="B686" t="s">
        <v>94</v>
      </c>
      <c r="C686" s="3">
        <v>45700.752337962964</v>
      </c>
      <c r="D686" t="s">
        <v>94</v>
      </c>
      <c r="E686" s="4">
        <v>0</v>
      </c>
      <c r="F686" s="4">
        <v>428213.33600000001</v>
      </c>
      <c r="G686" s="4">
        <v>428213.33600000001</v>
      </c>
      <c r="H686" s="5">
        <f>0 / 86400</f>
        <v>0</v>
      </c>
      <c r="I686" t="s">
        <v>42</v>
      </c>
      <c r="J686" t="s">
        <v>42</v>
      </c>
      <c r="K686" s="5">
        <f>18 / 86400</f>
        <v>2.0833333333333335E-4</v>
      </c>
      <c r="L686" s="5">
        <f>163 / 86400</f>
        <v>1.8865740740740742E-3</v>
      </c>
    </row>
    <row r="687" spans="1:12" x14ac:dyDescent="0.25">
      <c r="A687" s="3">
        <v>45700.754224537042</v>
      </c>
      <c r="B687" t="s">
        <v>94</v>
      </c>
      <c r="C687" s="3">
        <v>45700.754884259259</v>
      </c>
      <c r="D687" t="s">
        <v>94</v>
      </c>
      <c r="E687" s="4">
        <v>0</v>
      </c>
      <c r="F687" s="4">
        <v>428213.33600000001</v>
      </c>
      <c r="G687" s="4">
        <v>428213.33600000001</v>
      </c>
      <c r="H687" s="5">
        <f>39 / 86400</f>
        <v>4.5138888888888887E-4</v>
      </c>
      <c r="I687" t="s">
        <v>42</v>
      </c>
      <c r="J687" t="s">
        <v>42</v>
      </c>
      <c r="K687" s="5">
        <f>57 / 86400</f>
        <v>6.5972222222222224E-4</v>
      </c>
      <c r="L687" s="5">
        <f>279 / 86400</f>
        <v>3.2291666666666666E-3</v>
      </c>
    </row>
    <row r="688" spans="1:12" x14ac:dyDescent="0.25">
      <c r="A688" s="3">
        <v>45700.758113425924</v>
      </c>
      <c r="B688" t="s">
        <v>94</v>
      </c>
      <c r="C688" s="3">
        <v>45700.758333333331</v>
      </c>
      <c r="D688" t="s">
        <v>94</v>
      </c>
      <c r="E688" s="4">
        <v>0</v>
      </c>
      <c r="F688" s="4">
        <v>428213.33600000001</v>
      </c>
      <c r="G688" s="4">
        <v>428213.33600000001</v>
      </c>
      <c r="H688" s="5">
        <f>0 / 86400</f>
        <v>0</v>
      </c>
      <c r="I688" t="s">
        <v>42</v>
      </c>
      <c r="J688" t="s">
        <v>42</v>
      </c>
      <c r="K688" s="5">
        <f>18 / 86400</f>
        <v>2.0833333333333335E-4</v>
      </c>
      <c r="L688" s="5">
        <f>471 / 86400</f>
        <v>5.4513888888888893E-3</v>
      </c>
    </row>
    <row r="689" spans="1:12" x14ac:dyDescent="0.25">
      <c r="A689" s="3">
        <v>45700.763784722221</v>
      </c>
      <c r="B689" t="s">
        <v>94</v>
      </c>
      <c r="C689" s="3">
        <v>45700.838993055557</v>
      </c>
      <c r="D689" t="s">
        <v>94</v>
      </c>
      <c r="E689" s="4">
        <v>0</v>
      </c>
      <c r="F689" s="4">
        <v>428213.33600000001</v>
      </c>
      <c r="G689" s="4">
        <v>428213.33600000001</v>
      </c>
      <c r="H689" s="5">
        <f>6479 / 86400</f>
        <v>7.4988425925925931E-2</v>
      </c>
      <c r="I689" t="s">
        <v>42</v>
      </c>
      <c r="J689" t="s">
        <v>42</v>
      </c>
      <c r="K689" s="5">
        <f>6497 / 86400</f>
        <v>7.5196759259259255E-2</v>
      </c>
      <c r="L689" s="5">
        <f>183 / 86400</f>
        <v>2.1180555555555558E-3</v>
      </c>
    </row>
    <row r="690" spans="1:12" x14ac:dyDescent="0.25">
      <c r="A690" s="3">
        <v>45700.841111111113</v>
      </c>
      <c r="B690" t="s">
        <v>94</v>
      </c>
      <c r="C690" s="3">
        <v>45700.842129629629</v>
      </c>
      <c r="D690" t="s">
        <v>94</v>
      </c>
      <c r="E690" s="4">
        <v>0</v>
      </c>
      <c r="F690" s="4">
        <v>428213.33600000001</v>
      </c>
      <c r="G690" s="4">
        <v>428213.33600000001</v>
      </c>
      <c r="H690" s="5">
        <f>79 / 86400</f>
        <v>9.1435185185185185E-4</v>
      </c>
      <c r="I690" t="s">
        <v>42</v>
      </c>
      <c r="J690" t="s">
        <v>42</v>
      </c>
      <c r="K690" s="5">
        <f>87 / 86400</f>
        <v>1.0069444444444444E-3</v>
      </c>
      <c r="L690" s="5">
        <f>8 / 86400</f>
        <v>9.2592592592592588E-5</v>
      </c>
    </row>
    <row r="691" spans="1:12" x14ac:dyDescent="0.25">
      <c r="A691" s="3">
        <v>45700.842222222222</v>
      </c>
      <c r="B691" t="s">
        <v>94</v>
      </c>
      <c r="C691" s="3">
        <v>45700.842499999999</v>
      </c>
      <c r="D691" t="s">
        <v>94</v>
      </c>
      <c r="E691" s="4">
        <v>0</v>
      </c>
      <c r="F691" s="4">
        <v>428213.33600000001</v>
      </c>
      <c r="G691" s="4">
        <v>428213.33600000001</v>
      </c>
      <c r="H691" s="5">
        <f>4 / 86400</f>
        <v>4.6296296296296294E-5</v>
      </c>
      <c r="I691" t="s">
        <v>42</v>
      </c>
      <c r="J691" t="s">
        <v>42</v>
      </c>
      <c r="K691" s="5">
        <f>24 / 86400</f>
        <v>2.7777777777777778E-4</v>
      </c>
      <c r="L691" s="5">
        <f>13607 / 86400</f>
        <v>0.15748842592592593</v>
      </c>
    </row>
    <row r="692" spans="1:12" x14ac:dyDescent="0.25">
      <c r="A692" s="12"/>
      <c r="B692" s="12"/>
      <c r="C692" s="12"/>
      <c r="D692" s="12"/>
      <c r="E692" s="12"/>
      <c r="F692" s="12"/>
      <c r="G692" s="12"/>
      <c r="H692" s="12"/>
      <c r="I692" s="12"/>
      <c r="J692" s="12"/>
    </row>
    <row r="693" spans="1:12" x14ac:dyDescent="0.25">
      <c r="A693" s="12"/>
      <c r="B693" s="12"/>
      <c r="C693" s="12"/>
      <c r="D693" s="12"/>
      <c r="E693" s="12"/>
      <c r="F693" s="12"/>
      <c r="G693" s="12"/>
      <c r="H693" s="12"/>
      <c r="I693" s="12"/>
      <c r="J693" s="12"/>
    </row>
    <row r="694" spans="1:12" s="10" customFormat="1" ht="20.100000000000001" customHeight="1" x14ac:dyDescent="0.35">
      <c r="A694" s="15" t="s">
        <v>342</v>
      </c>
      <c r="B694" s="15"/>
      <c r="C694" s="15"/>
      <c r="D694" s="15"/>
      <c r="E694" s="15"/>
      <c r="F694" s="15"/>
      <c r="G694" s="15"/>
      <c r="H694" s="15"/>
      <c r="I694" s="15"/>
      <c r="J694" s="15"/>
    </row>
    <row r="695" spans="1:12" x14ac:dyDescent="0.25">
      <c r="A695" s="12"/>
      <c r="B695" s="12"/>
      <c r="C695" s="12"/>
      <c r="D695" s="12"/>
      <c r="E695" s="12"/>
      <c r="F695" s="12"/>
      <c r="G695" s="12"/>
      <c r="H695" s="12"/>
      <c r="I695" s="12"/>
      <c r="J695" s="12"/>
    </row>
    <row r="696" spans="1:12" ht="30" x14ac:dyDescent="0.25">
      <c r="A696" s="2" t="s">
        <v>6</v>
      </c>
      <c r="B696" s="2" t="s">
        <v>7</v>
      </c>
      <c r="C696" s="2" t="s">
        <v>8</v>
      </c>
      <c r="D696" s="2" t="s">
        <v>9</v>
      </c>
      <c r="E696" s="2" t="s">
        <v>10</v>
      </c>
      <c r="F696" s="2" t="s">
        <v>11</v>
      </c>
      <c r="G696" s="2" t="s">
        <v>12</v>
      </c>
      <c r="H696" s="2" t="s">
        <v>13</v>
      </c>
      <c r="I696" s="2" t="s">
        <v>14</v>
      </c>
      <c r="J696" s="2" t="s">
        <v>15</v>
      </c>
      <c r="K696" s="2" t="s">
        <v>16</v>
      </c>
      <c r="L696" s="2" t="s">
        <v>17</v>
      </c>
    </row>
    <row r="697" spans="1:12" x14ac:dyDescent="0.25">
      <c r="A697" s="3">
        <v>45700.258402777778</v>
      </c>
      <c r="B697" t="s">
        <v>29</v>
      </c>
      <c r="C697" s="3">
        <v>45700.317673611113</v>
      </c>
      <c r="D697" t="s">
        <v>193</v>
      </c>
      <c r="E697" s="4">
        <v>30.895</v>
      </c>
      <c r="F697" s="4">
        <v>575288.68999999994</v>
      </c>
      <c r="G697" s="4">
        <v>575319.58499999996</v>
      </c>
      <c r="H697" s="5">
        <f>972 / 86400</f>
        <v>1.125E-2</v>
      </c>
      <c r="I697" t="s">
        <v>53</v>
      </c>
      <c r="J697" t="s">
        <v>134</v>
      </c>
      <c r="K697" s="5">
        <f>5120 / 86400</f>
        <v>5.9259259259259262E-2</v>
      </c>
      <c r="L697" s="5">
        <f>22413 / 86400</f>
        <v>0.25940972222222225</v>
      </c>
    </row>
    <row r="698" spans="1:12" x14ac:dyDescent="0.25">
      <c r="A698" s="3">
        <v>45700.31868055556</v>
      </c>
      <c r="B698" t="s">
        <v>193</v>
      </c>
      <c r="C698" s="3">
        <v>45700.318865740745</v>
      </c>
      <c r="D698" t="s">
        <v>193</v>
      </c>
      <c r="E698" s="4">
        <v>5.0000000000000001E-3</v>
      </c>
      <c r="F698" s="4">
        <v>575319.58499999996</v>
      </c>
      <c r="G698" s="4">
        <v>575319.59</v>
      </c>
      <c r="H698" s="5">
        <f>0 / 86400</f>
        <v>0</v>
      </c>
      <c r="I698" t="s">
        <v>42</v>
      </c>
      <c r="J698" t="s">
        <v>150</v>
      </c>
      <c r="K698" s="5">
        <f>15 / 86400</f>
        <v>1.7361111111111112E-4</v>
      </c>
      <c r="L698" s="5">
        <f>254 / 86400</f>
        <v>2.9398148148148148E-3</v>
      </c>
    </row>
    <row r="699" spans="1:12" x14ac:dyDescent="0.25">
      <c r="A699" s="3">
        <v>45700.321805555555</v>
      </c>
      <c r="B699" t="s">
        <v>193</v>
      </c>
      <c r="C699" s="3">
        <v>45700.322141203702</v>
      </c>
      <c r="D699" t="s">
        <v>193</v>
      </c>
      <c r="E699" s="4">
        <v>0.01</v>
      </c>
      <c r="F699" s="4">
        <v>575319.59</v>
      </c>
      <c r="G699" s="4">
        <v>575319.6</v>
      </c>
      <c r="H699" s="5">
        <f>0 / 86400</f>
        <v>0</v>
      </c>
      <c r="I699" t="s">
        <v>149</v>
      </c>
      <c r="J699" t="s">
        <v>150</v>
      </c>
      <c r="K699" s="5">
        <f>28 / 86400</f>
        <v>3.2407407407407406E-4</v>
      </c>
      <c r="L699" s="5">
        <f>187 / 86400</f>
        <v>2.1643518518518518E-3</v>
      </c>
    </row>
    <row r="700" spans="1:12" x14ac:dyDescent="0.25">
      <c r="A700" s="3">
        <v>45700.32430555555</v>
      </c>
      <c r="B700" t="s">
        <v>193</v>
      </c>
      <c r="C700" s="3">
        <v>45700.488773148143</v>
      </c>
      <c r="D700" t="s">
        <v>267</v>
      </c>
      <c r="E700" s="4">
        <v>56.475999999999999</v>
      </c>
      <c r="F700" s="4">
        <v>575319.6</v>
      </c>
      <c r="G700" s="4">
        <v>575376.076</v>
      </c>
      <c r="H700" s="5">
        <f>5559 / 86400</f>
        <v>6.4340277777777774E-2</v>
      </c>
      <c r="I700" t="s">
        <v>73</v>
      </c>
      <c r="J700" t="s">
        <v>39</v>
      </c>
      <c r="K700" s="5">
        <f>14209 / 86400</f>
        <v>0.16445601851851852</v>
      </c>
      <c r="L700" s="5">
        <f>2397 / 86400</f>
        <v>2.7743055555555556E-2</v>
      </c>
    </row>
    <row r="701" spans="1:12" x14ac:dyDescent="0.25">
      <c r="A701" s="3">
        <v>45700.516516203701</v>
      </c>
      <c r="B701" t="s">
        <v>267</v>
      </c>
      <c r="C701" s="3">
        <v>45700.720590277779</v>
      </c>
      <c r="D701" t="s">
        <v>268</v>
      </c>
      <c r="E701" s="4">
        <v>87.582999999999998</v>
      </c>
      <c r="F701" s="4">
        <v>575376.076</v>
      </c>
      <c r="G701" s="4">
        <v>575463.65899999999</v>
      </c>
      <c r="H701" s="5">
        <f>4479 / 86400</f>
        <v>5.1840277777777777E-2</v>
      </c>
      <c r="I701" t="s">
        <v>225</v>
      </c>
      <c r="J701" t="s">
        <v>31</v>
      </c>
      <c r="K701" s="5">
        <f>17631 / 86400</f>
        <v>0.20406250000000001</v>
      </c>
      <c r="L701" s="5">
        <f>568 / 86400</f>
        <v>6.5740740740740742E-3</v>
      </c>
    </row>
    <row r="702" spans="1:12" x14ac:dyDescent="0.25">
      <c r="A702" s="3">
        <v>45700.727164351847</v>
      </c>
      <c r="B702" t="s">
        <v>268</v>
      </c>
      <c r="C702" s="3">
        <v>45700.927245370374</v>
      </c>
      <c r="D702" t="s">
        <v>269</v>
      </c>
      <c r="E702" s="4">
        <v>58.296999999999997</v>
      </c>
      <c r="F702" s="4">
        <v>575463.65899999999</v>
      </c>
      <c r="G702" s="4">
        <v>575521.95600000001</v>
      </c>
      <c r="H702" s="5">
        <f>6593 / 86400</f>
        <v>7.6307870370370373E-2</v>
      </c>
      <c r="I702" t="s">
        <v>155</v>
      </c>
      <c r="J702" t="s">
        <v>55</v>
      </c>
      <c r="K702" s="5">
        <f>17287 / 86400</f>
        <v>0.20008101851851851</v>
      </c>
      <c r="L702" s="5">
        <f>1624 / 86400</f>
        <v>1.8796296296296297E-2</v>
      </c>
    </row>
    <row r="703" spans="1:12" x14ac:dyDescent="0.25">
      <c r="A703" s="3">
        <v>45700.94604166667</v>
      </c>
      <c r="B703" t="s">
        <v>269</v>
      </c>
      <c r="C703" s="3">
        <v>45700.969780092593</v>
      </c>
      <c r="D703" t="s">
        <v>29</v>
      </c>
      <c r="E703" s="4">
        <v>5.4390000000000001</v>
      </c>
      <c r="F703" s="4">
        <v>575521.95600000001</v>
      </c>
      <c r="G703" s="4">
        <v>575527.39500000002</v>
      </c>
      <c r="H703" s="5">
        <f>480 / 86400</f>
        <v>5.5555555555555558E-3</v>
      </c>
      <c r="I703" t="s">
        <v>200</v>
      </c>
      <c r="J703" t="s">
        <v>164</v>
      </c>
      <c r="K703" s="5">
        <f>2050 / 86400</f>
        <v>2.3726851851851853E-2</v>
      </c>
      <c r="L703" s="5">
        <f>2610 / 86400</f>
        <v>3.0208333333333334E-2</v>
      </c>
    </row>
    <row r="704" spans="1:12" x14ac:dyDescent="0.25">
      <c r="A704" s="12"/>
      <c r="B704" s="12"/>
      <c r="C704" s="12"/>
      <c r="D704" s="12"/>
      <c r="E704" s="12"/>
      <c r="F704" s="12"/>
      <c r="G704" s="12"/>
      <c r="H704" s="12"/>
      <c r="I704" s="12"/>
      <c r="J704" s="12"/>
    </row>
    <row r="705" spans="1:12" x14ac:dyDescent="0.25">
      <c r="A705" s="12"/>
      <c r="B705" s="12"/>
      <c r="C705" s="12"/>
      <c r="D705" s="12"/>
      <c r="E705" s="12"/>
      <c r="F705" s="12"/>
      <c r="G705" s="12"/>
      <c r="H705" s="12"/>
      <c r="I705" s="12"/>
      <c r="J705" s="12"/>
    </row>
    <row r="706" spans="1:12" s="10" customFormat="1" ht="20.100000000000001" customHeight="1" x14ac:dyDescent="0.35">
      <c r="A706" s="15" t="s">
        <v>343</v>
      </c>
      <c r="B706" s="15"/>
      <c r="C706" s="15"/>
      <c r="D706" s="15"/>
      <c r="E706" s="15"/>
      <c r="F706" s="15"/>
      <c r="G706" s="15"/>
      <c r="H706" s="15"/>
      <c r="I706" s="15"/>
      <c r="J706" s="15"/>
    </row>
    <row r="707" spans="1:12" x14ac:dyDescent="0.25">
      <c r="A707" s="12"/>
      <c r="B707" s="12"/>
      <c r="C707" s="12"/>
      <c r="D707" s="12"/>
      <c r="E707" s="12"/>
      <c r="F707" s="12"/>
      <c r="G707" s="12"/>
      <c r="H707" s="12"/>
      <c r="I707" s="12"/>
      <c r="J707" s="12"/>
    </row>
    <row r="708" spans="1:12" ht="30" x14ac:dyDescent="0.25">
      <c r="A708" s="2" t="s">
        <v>6</v>
      </c>
      <c r="B708" s="2" t="s">
        <v>7</v>
      </c>
      <c r="C708" s="2" t="s">
        <v>8</v>
      </c>
      <c r="D708" s="2" t="s">
        <v>9</v>
      </c>
      <c r="E708" s="2" t="s">
        <v>10</v>
      </c>
      <c r="F708" s="2" t="s">
        <v>11</v>
      </c>
      <c r="G708" s="2" t="s">
        <v>12</v>
      </c>
      <c r="H708" s="2" t="s">
        <v>13</v>
      </c>
      <c r="I708" s="2" t="s">
        <v>14</v>
      </c>
      <c r="J708" s="2" t="s">
        <v>15</v>
      </c>
      <c r="K708" s="2" t="s">
        <v>16</v>
      </c>
      <c r="L708" s="2" t="s">
        <v>17</v>
      </c>
    </row>
    <row r="709" spans="1:12" x14ac:dyDescent="0.25">
      <c r="A709" s="3">
        <v>45700.24055555556</v>
      </c>
      <c r="B709" t="s">
        <v>95</v>
      </c>
      <c r="C709" s="3">
        <v>45700.331076388888</v>
      </c>
      <c r="D709" t="s">
        <v>62</v>
      </c>
      <c r="E709" s="4">
        <v>38.277999999999999</v>
      </c>
      <c r="F709" s="4">
        <v>416358.8</v>
      </c>
      <c r="G709" s="4">
        <v>416397.07799999998</v>
      </c>
      <c r="H709" s="5">
        <f>3039 / 86400</f>
        <v>3.5173611111111114E-2</v>
      </c>
      <c r="I709" t="s">
        <v>157</v>
      </c>
      <c r="J709" t="s">
        <v>31</v>
      </c>
      <c r="K709" s="5">
        <f>7820 / 86400</f>
        <v>9.0509259259259262E-2</v>
      </c>
      <c r="L709" s="5">
        <f>21153 / 86400</f>
        <v>0.24482638888888889</v>
      </c>
    </row>
    <row r="710" spans="1:12" x14ac:dyDescent="0.25">
      <c r="A710" s="3">
        <v>45700.335347222222</v>
      </c>
      <c r="B710" t="s">
        <v>62</v>
      </c>
      <c r="C710" s="3">
        <v>45700.583750000005</v>
      </c>
      <c r="D710" t="s">
        <v>185</v>
      </c>
      <c r="E710" s="4">
        <v>99.701999999999998</v>
      </c>
      <c r="F710" s="4">
        <v>416397.07799999998</v>
      </c>
      <c r="G710" s="4">
        <v>416496.78</v>
      </c>
      <c r="H710" s="5">
        <f>6339 / 86400</f>
        <v>7.3368055555555561E-2</v>
      </c>
      <c r="I710" t="s">
        <v>49</v>
      </c>
      <c r="J710" t="s">
        <v>28</v>
      </c>
      <c r="K710" s="5">
        <f>21462 / 86400</f>
        <v>0.24840277777777778</v>
      </c>
      <c r="L710" s="5">
        <f>3051 / 86400</f>
        <v>3.5312499999999997E-2</v>
      </c>
    </row>
    <row r="711" spans="1:12" x14ac:dyDescent="0.25">
      <c r="A711" s="3">
        <v>45700.619062500002</v>
      </c>
      <c r="B711" t="s">
        <v>185</v>
      </c>
      <c r="C711" s="3">
        <v>45700.619409722218</v>
      </c>
      <c r="D711" t="s">
        <v>185</v>
      </c>
      <c r="E711" s="4">
        <v>3.2000000000000001E-2</v>
      </c>
      <c r="F711" s="4">
        <v>416496.78</v>
      </c>
      <c r="G711" s="4">
        <v>416496.81199999998</v>
      </c>
      <c r="H711" s="5">
        <f>0 / 86400</f>
        <v>0</v>
      </c>
      <c r="I711" t="s">
        <v>131</v>
      </c>
      <c r="J711" t="s">
        <v>133</v>
      </c>
      <c r="K711" s="5">
        <f>29 / 86400</f>
        <v>3.3564814814814812E-4</v>
      </c>
      <c r="L711" s="5">
        <f>124 / 86400</f>
        <v>1.4351851851851852E-3</v>
      </c>
    </row>
    <row r="712" spans="1:12" x14ac:dyDescent="0.25">
      <c r="A712" s="3">
        <v>45700.620844907404</v>
      </c>
      <c r="B712" t="s">
        <v>62</v>
      </c>
      <c r="C712" s="3">
        <v>45700.621921296297</v>
      </c>
      <c r="D712" t="s">
        <v>62</v>
      </c>
      <c r="E712" s="4">
        <v>0.224</v>
      </c>
      <c r="F712" s="4">
        <v>416496.81199999998</v>
      </c>
      <c r="G712" s="4">
        <v>416497.03600000002</v>
      </c>
      <c r="H712" s="5">
        <f>0 / 86400</f>
        <v>0</v>
      </c>
      <c r="I712" t="s">
        <v>20</v>
      </c>
      <c r="J712" t="s">
        <v>137</v>
      </c>
      <c r="K712" s="5">
        <f>92 / 86400</f>
        <v>1.0648148148148149E-3</v>
      </c>
      <c r="L712" s="5">
        <f>334 / 86400</f>
        <v>3.8657407407407408E-3</v>
      </c>
    </row>
    <row r="713" spans="1:12" x14ac:dyDescent="0.25">
      <c r="A713" s="3">
        <v>45700.625787037032</v>
      </c>
      <c r="B713" t="s">
        <v>62</v>
      </c>
      <c r="C713" s="3">
        <v>45700.788541666669</v>
      </c>
      <c r="D713" t="s">
        <v>270</v>
      </c>
      <c r="E713" s="4">
        <v>49.2</v>
      </c>
      <c r="F713" s="4">
        <v>416497.03600000002</v>
      </c>
      <c r="G713" s="4">
        <v>416546.23599999998</v>
      </c>
      <c r="H713" s="5">
        <f>6141 / 86400</f>
        <v>7.1076388888888883E-2</v>
      </c>
      <c r="I713" t="s">
        <v>155</v>
      </c>
      <c r="J713" t="s">
        <v>46</v>
      </c>
      <c r="K713" s="5">
        <f>14062 / 86400</f>
        <v>0.16275462962962964</v>
      </c>
      <c r="L713" s="5">
        <f>460 / 86400</f>
        <v>5.324074074074074E-3</v>
      </c>
    </row>
    <row r="714" spans="1:12" x14ac:dyDescent="0.25">
      <c r="A714" s="3">
        <v>45700.793865740736</v>
      </c>
      <c r="B714" t="s">
        <v>270</v>
      </c>
      <c r="C714" s="3">
        <v>45700.794166666667</v>
      </c>
      <c r="D714" t="s">
        <v>270</v>
      </c>
      <c r="E714" s="4">
        <v>0</v>
      </c>
      <c r="F714" s="4">
        <v>416546.23599999998</v>
      </c>
      <c r="G714" s="4">
        <v>416546.23599999998</v>
      </c>
      <c r="H714" s="5">
        <f>19 / 86400</f>
        <v>2.199074074074074E-4</v>
      </c>
      <c r="I714" t="s">
        <v>42</v>
      </c>
      <c r="J714" t="s">
        <v>42</v>
      </c>
      <c r="K714" s="5">
        <f>25 / 86400</f>
        <v>2.8935185185185184E-4</v>
      </c>
      <c r="L714" s="5">
        <f>337 / 86400</f>
        <v>3.9004629629629628E-3</v>
      </c>
    </row>
    <row r="715" spans="1:12" x14ac:dyDescent="0.25">
      <c r="A715" s="3">
        <v>45700.798067129625</v>
      </c>
      <c r="B715" t="s">
        <v>270</v>
      </c>
      <c r="C715" s="3">
        <v>45700.798564814817</v>
      </c>
      <c r="D715" t="s">
        <v>270</v>
      </c>
      <c r="E715" s="4">
        <v>0</v>
      </c>
      <c r="F715" s="4">
        <v>416546.23599999998</v>
      </c>
      <c r="G715" s="4">
        <v>416546.23599999998</v>
      </c>
      <c r="H715" s="5">
        <f>39 / 86400</f>
        <v>4.5138888888888887E-4</v>
      </c>
      <c r="I715" t="s">
        <v>42</v>
      </c>
      <c r="J715" t="s">
        <v>42</v>
      </c>
      <c r="K715" s="5">
        <f>42 / 86400</f>
        <v>4.861111111111111E-4</v>
      </c>
      <c r="L715" s="5">
        <f>74 / 86400</f>
        <v>8.564814814814815E-4</v>
      </c>
    </row>
    <row r="716" spans="1:12" x14ac:dyDescent="0.25">
      <c r="A716" s="3">
        <v>45700.799421296295</v>
      </c>
      <c r="B716" t="s">
        <v>270</v>
      </c>
      <c r="C716" s="3">
        <v>45700.799710648149</v>
      </c>
      <c r="D716" t="s">
        <v>270</v>
      </c>
      <c r="E716" s="4">
        <v>0</v>
      </c>
      <c r="F716" s="4">
        <v>416546.23599999998</v>
      </c>
      <c r="G716" s="4">
        <v>416546.23599999998</v>
      </c>
      <c r="H716" s="5">
        <f>19 / 86400</f>
        <v>2.199074074074074E-4</v>
      </c>
      <c r="I716" t="s">
        <v>42</v>
      </c>
      <c r="J716" t="s">
        <v>42</v>
      </c>
      <c r="K716" s="5">
        <f>24 / 86400</f>
        <v>2.7777777777777778E-4</v>
      </c>
      <c r="L716" s="5">
        <f>79 / 86400</f>
        <v>9.1435185185185185E-4</v>
      </c>
    </row>
    <row r="717" spans="1:12" x14ac:dyDescent="0.25">
      <c r="A717" s="3">
        <v>45700.800625000003</v>
      </c>
      <c r="B717" t="s">
        <v>270</v>
      </c>
      <c r="C717" s="3">
        <v>45700.89980324074</v>
      </c>
      <c r="D717" t="s">
        <v>95</v>
      </c>
      <c r="E717" s="4">
        <v>23.073</v>
      </c>
      <c r="F717" s="4">
        <v>416546.23599999998</v>
      </c>
      <c r="G717" s="4">
        <v>416569.30900000001</v>
      </c>
      <c r="H717" s="5">
        <f>4140 / 86400</f>
        <v>4.791666666666667E-2</v>
      </c>
      <c r="I717" t="s">
        <v>258</v>
      </c>
      <c r="J717" t="s">
        <v>164</v>
      </c>
      <c r="K717" s="5">
        <f>8568 / 86400</f>
        <v>9.9166666666666667E-2</v>
      </c>
      <c r="L717" s="5">
        <f>123 / 86400</f>
        <v>1.4236111111111112E-3</v>
      </c>
    </row>
    <row r="718" spans="1:12" x14ac:dyDescent="0.25">
      <c r="A718" s="3">
        <v>45700.901226851856</v>
      </c>
      <c r="B718" t="s">
        <v>95</v>
      </c>
      <c r="C718" s="3">
        <v>45700.90247685185</v>
      </c>
      <c r="D718" t="s">
        <v>95</v>
      </c>
      <c r="E718" s="4">
        <v>7.3999999999999996E-2</v>
      </c>
      <c r="F718" s="4">
        <v>416569.30900000001</v>
      </c>
      <c r="G718" s="4">
        <v>416569.38299999997</v>
      </c>
      <c r="H718" s="5">
        <f>79 / 86400</f>
        <v>9.1435185185185185E-4</v>
      </c>
      <c r="I718" t="s">
        <v>126</v>
      </c>
      <c r="J718" t="s">
        <v>128</v>
      </c>
      <c r="K718" s="5">
        <f>108 / 86400</f>
        <v>1.25E-3</v>
      </c>
      <c r="L718" s="5">
        <f>79 / 86400</f>
        <v>9.1435185185185185E-4</v>
      </c>
    </row>
    <row r="719" spans="1:12" x14ac:dyDescent="0.25">
      <c r="A719" s="3">
        <v>45700.903391203705</v>
      </c>
      <c r="B719" t="s">
        <v>95</v>
      </c>
      <c r="C719" s="3">
        <v>45700.903773148151</v>
      </c>
      <c r="D719" t="s">
        <v>95</v>
      </c>
      <c r="E719" s="4">
        <v>0</v>
      </c>
      <c r="F719" s="4">
        <v>416569.38299999997</v>
      </c>
      <c r="G719" s="4">
        <v>416569.38299999997</v>
      </c>
      <c r="H719" s="5">
        <f>19 / 86400</f>
        <v>2.199074074074074E-4</v>
      </c>
      <c r="I719" t="s">
        <v>42</v>
      </c>
      <c r="J719" t="s">
        <v>42</v>
      </c>
      <c r="K719" s="5">
        <f>33 / 86400</f>
        <v>3.8194444444444446E-4</v>
      </c>
      <c r="L719" s="5">
        <f>8313 / 86400</f>
        <v>9.6215277777777775E-2</v>
      </c>
    </row>
    <row r="720" spans="1:12" x14ac:dyDescent="0.25">
      <c r="A720" s="12"/>
      <c r="B720" s="12"/>
      <c r="C720" s="12"/>
      <c r="D720" s="12"/>
      <c r="E720" s="12"/>
      <c r="F720" s="12"/>
      <c r="G720" s="12"/>
      <c r="H720" s="12"/>
      <c r="I720" s="12"/>
      <c r="J720" s="12"/>
    </row>
    <row r="721" spans="1:12" x14ac:dyDescent="0.25">
      <c r="A721" s="12"/>
      <c r="B721" s="12"/>
      <c r="C721" s="12"/>
      <c r="D721" s="12"/>
      <c r="E721" s="12"/>
      <c r="F721" s="12"/>
      <c r="G721" s="12"/>
      <c r="H721" s="12"/>
      <c r="I721" s="12"/>
      <c r="J721" s="12"/>
    </row>
    <row r="722" spans="1:12" s="10" customFormat="1" ht="20.100000000000001" customHeight="1" x14ac:dyDescent="0.35">
      <c r="A722" s="15" t="s">
        <v>344</v>
      </c>
      <c r="B722" s="15"/>
      <c r="C722" s="15"/>
      <c r="D722" s="15"/>
      <c r="E722" s="15"/>
      <c r="F722" s="15"/>
      <c r="G722" s="15"/>
      <c r="H722" s="15"/>
      <c r="I722" s="15"/>
      <c r="J722" s="15"/>
    </row>
    <row r="723" spans="1:12" x14ac:dyDescent="0.25">
      <c r="A723" s="12"/>
      <c r="B723" s="12"/>
      <c r="C723" s="12"/>
      <c r="D723" s="12"/>
      <c r="E723" s="12"/>
      <c r="F723" s="12"/>
      <c r="G723" s="12"/>
      <c r="H723" s="12"/>
      <c r="I723" s="12"/>
      <c r="J723" s="12"/>
    </row>
    <row r="724" spans="1:12" ht="30" x14ac:dyDescent="0.25">
      <c r="A724" s="2" t="s">
        <v>6</v>
      </c>
      <c r="B724" s="2" t="s">
        <v>7</v>
      </c>
      <c r="C724" s="2" t="s">
        <v>8</v>
      </c>
      <c r="D724" s="2" t="s">
        <v>9</v>
      </c>
      <c r="E724" s="2" t="s">
        <v>10</v>
      </c>
      <c r="F724" s="2" t="s">
        <v>11</v>
      </c>
      <c r="G724" s="2" t="s">
        <v>12</v>
      </c>
      <c r="H724" s="2" t="s">
        <v>13</v>
      </c>
      <c r="I724" s="2" t="s">
        <v>14</v>
      </c>
      <c r="J724" s="2" t="s">
        <v>15</v>
      </c>
      <c r="K724" s="2" t="s">
        <v>16</v>
      </c>
      <c r="L724" s="2" t="s">
        <v>17</v>
      </c>
    </row>
    <row r="725" spans="1:12" x14ac:dyDescent="0.25">
      <c r="A725" s="3">
        <v>45700.684039351851</v>
      </c>
      <c r="B725" t="s">
        <v>96</v>
      </c>
      <c r="C725" s="3">
        <v>45700.718194444446</v>
      </c>
      <c r="D725" t="s">
        <v>183</v>
      </c>
      <c r="E725" s="4">
        <v>9.8209999999999997</v>
      </c>
      <c r="F725" s="4">
        <v>400449.73599999998</v>
      </c>
      <c r="G725" s="4">
        <v>400459.55699999997</v>
      </c>
      <c r="H725" s="5">
        <f>1819 / 86400</f>
        <v>2.105324074074074E-2</v>
      </c>
      <c r="I725" t="s">
        <v>97</v>
      </c>
      <c r="J725" t="s">
        <v>55</v>
      </c>
      <c r="K725" s="5">
        <f>2950 / 86400</f>
        <v>3.4143518518518517E-2</v>
      </c>
      <c r="L725" s="5">
        <f>59212 / 86400</f>
        <v>0.68532407407407403</v>
      </c>
    </row>
    <row r="726" spans="1:12" x14ac:dyDescent="0.25">
      <c r="A726" s="3">
        <v>45700.71947916667</v>
      </c>
      <c r="B726" t="s">
        <v>120</v>
      </c>
      <c r="C726" s="3">
        <v>45700.719895833332</v>
      </c>
      <c r="D726" t="s">
        <v>183</v>
      </c>
      <c r="E726" s="4">
        <v>1.7000000000000001E-2</v>
      </c>
      <c r="F726" s="4">
        <v>400459.55699999997</v>
      </c>
      <c r="G726" s="4">
        <v>400459.57400000002</v>
      </c>
      <c r="H726" s="5">
        <f>0 / 86400</f>
        <v>0</v>
      </c>
      <c r="I726" t="s">
        <v>133</v>
      </c>
      <c r="J726" t="s">
        <v>128</v>
      </c>
      <c r="K726" s="5">
        <f>36 / 86400</f>
        <v>4.1666666666666669E-4</v>
      </c>
      <c r="L726" s="5">
        <f>187 / 86400</f>
        <v>2.1643518518518518E-3</v>
      </c>
    </row>
    <row r="727" spans="1:12" x14ac:dyDescent="0.25">
      <c r="A727" s="3">
        <v>45700.722060185188</v>
      </c>
      <c r="B727" t="s">
        <v>183</v>
      </c>
      <c r="C727" s="3">
        <v>45700.722222222219</v>
      </c>
      <c r="D727" t="s">
        <v>193</v>
      </c>
      <c r="E727" s="4">
        <v>8.0000000000000002E-3</v>
      </c>
      <c r="F727" s="4">
        <v>400459.57400000002</v>
      </c>
      <c r="G727" s="4">
        <v>400459.58199999999</v>
      </c>
      <c r="H727" s="5">
        <f>0 / 86400</f>
        <v>0</v>
      </c>
      <c r="I727" t="s">
        <v>42</v>
      </c>
      <c r="J727" t="s">
        <v>128</v>
      </c>
      <c r="K727" s="5">
        <f>14 / 86400</f>
        <v>1.6203703703703703E-4</v>
      </c>
      <c r="L727" s="5">
        <f>567 / 86400</f>
        <v>6.5624999999999998E-3</v>
      </c>
    </row>
    <row r="728" spans="1:12" x14ac:dyDescent="0.25">
      <c r="A728" s="3">
        <v>45700.728784722218</v>
      </c>
      <c r="B728" t="s">
        <v>193</v>
      </c>
      <c r="C728" s="3">
        <v>45700.728969907403</v>
      </c>
      <c r="D728" t="s">
        <v>192</v>
      </c>
      <c r="E728" s="4">
        <v>5.0000000000000001E-3</v>
      </c>
      <c r="F728" s="4">
        <v>400459.58199999999</v>
      </c>
      <c r="G728" s="4">
        <v>400459.587</v>
      </c>
      <c r="H728" s="5">
        <f>0 / 86400</f>
        <v>0</v>
      </c>
      <c r="I728" t="s">
        <v>42</v>
      </c>
      <c r="J728" t="s">
        <v>150</v>
      </c>
      <c r="K728" s="5">
        <f>16 / 86400</f>
        <v>1.8518518518518518E-4</v>
      </c>
      <c r="L728" s="5">
        <f>281 / 86400</f>
        <v>3.2523148148148147E-3</v>
      </c>
    </row>
    <row r="729" spans="1:12" x14ac:dyDescent="0.25">
      <c r="A729" s="3">
        <v>45700.732222222221</v>
      </c>
      <c r="B729" t="s">
        <v>192</v>
      </c>
      <c r="C729" s="3">
        <v>45700.73238425926</v>
      </c>
      <c r="D729" t="s">
        <v>193</v>
      </c>
      <c r="E729" s="4">
        <v>7.0000000000000001E-3</v>
      </c>
      <c r="F729" s="4">
        <v>400459.587</v>
      </c>
      <c r="G729" s="4">
        <v>400459.59399999998</v>
      </c>
      <c r="H729" s="5">
        <f>0 / 86400</f>
        <v>0</v>
      </c>
      <c r="I729" t="s">
        <v>42</v>
      </c>
      <c r="J729" t="s">
        <v>128</v>
      </c>
      <c r="K729" s="5">
        <f>14 / 86400</f>
        <v>1.6203703703703703E-4</v>
      </c>
      <c r="L729" s="5">
        <f>398 / 86400</f>
        <v>4.6064814814814814E-3</v>
      </c>
    </row>
    <row r="730" spans="1:12" x14ac:dyDescent="0.25">
      <c r="A730" s="3">
        <v>45700.736990740741</v>
      </c>
      <c r="B730" t="s">
        <v>193</v>
      </c>
      <c r="C730" s="3">
        <v>45700.737118055556</v>
      </c>
      <c r="D730" t="s">
        <v>193</v>
      </c>
      <c r="E730" s="4">
        <v>2E-3</v>
      </c>
      <c r="F730" s="4">
        <v>400459.59399999998</v>
      </c>
      <c r="G730" s="4">
        <v>400459.59600000002</v>
      </c>
      <c r="H730" s="5">
        <f>0 / 86400</f>
        <v>0</v>
      </c>
      <c r="I730" t="s">
        <v>42</v>
      </c>
      <c r="J730" t="s">
        <v>150</v>
      </c>
      <c r="K730" s="5">
        <f>11 / 86400</f>
        <v>1.273148148148148E-4</v>
      </c>
      <c r="L730" s="5">
        <f>366 / 86400</f>
        <v>4.2361111111111115E-3</v>
      </c>
    </row>
    <row r="731" spans="1:12" x14ac:dyDescent="0.25">
      <c r="A731" s="3">
        <v>45700.741354166668</v>
      </c>
      <c r="B731" t="s">
        <v>193</v>
      </c>
      <c r="C731" s="3">
        <v>45700.958356481482</v>
      </c>
      <c r="D731" t="s">
        <v>96</v>
      </c>
      <c r="E731" s="4">
        <v>86.343999999999994</v>
      </c>
      <c r="F731" s="4">
        <v>400459.59600000002</v>
      </c>
      <c r="G731" s="4">
        <v>400545.94</v>
      </c>
      <c r="H731" s="5">
        <f>6079 / 86400</f>
        <v>7.0358796296296294E-2</v>
      </c>
      <c r="I731" t="s">
        <v>258</v>
      </c>
      <c r="J731" t="s">
        <v>28</v>
      </c>
      <c r="K731" s="5">
        <f>18749 / 86400</f>
        <v>0.21700231481481483</v>
      </c>
      <c r="L731" s="5">
        <f>3597 / 86400</f>
        <v>4.1631944444444444E-2</v>
      </c>
    </row>
    <row r="732" spans="1:12" x14ac:dyDescent="0.25">
      <c r="A732" s="12"/>
      <c r="B732" s="12"/>
      <c r="C732" s="12"/>
      <c r="D732" s="12"/>
      <c r="E732" s="12"/>
      <c r="F732" s="12"/>
      <c r="G732" s="12"/>
      <c r="H732" s="12"/>
      <c r="I732" s="12"/>
      <c r="J732" s="12"/>
    </row>
    <row r="733" spans="1:12" x14ac:dyDescent="0.25">
      <c r="A733" s="12"/>
      <c r="B733" s="12"/>
      <c r="C733" s="12"/>
      <c r="D733" s="12"/>
      <c r="E733" s="12"/>
      <c r="F733" s="12"/>
      <c r="G733" s="12"/>
      <c r="H733" s="12"/>
      <c r="I733" s="12"/>
      <c r="J733" s="12"/>
    </row>
    <row r="734" spans="1:12" s="10" customFormat="1" ht="20.100000000000001" customHeight="1" x14ac:dyDescent="0.35">
      <c r="A734" s="15" t="s">
        <v>345</v>
      </c>
      <c r="B734" s="15"/>
      <c r="C734" s="15"/>
      <c r="D734" s="15"/>
      <c r="E734" s="15"/>
      <c r="F734" s="15"/>
      <c r="G734" s="15"/>
      <c r="H734" s="15"/>
      <c r="I734" s="15"/>
      <c r="J734" s="15"/>
    </row>
    <row r="735" spans="1:12" x14ac:dyDescent="0.25">
      <c r="A735" s="12"/>
      <c r="B735" s="12"/>
      <c r="C735" s="12"/>
      <c r="D735" s="12"/>
      <c r="E735" s="12"/>
      <c r="F735" s="12"/>
      <c r="G735" s="12"/>
      <c r="H735" s="12"/>
      <c r="I735" s="12"/>
      <c r="J735" s="12"/>
    </row>
    <row r="736" spans="1:12" ht="30" x14ac:dyDescent="0.25">
      <c r="A736" s="2" t="s">
        <v>6</v>
      </c>
      <c r="B736" s="2" t="s">
        <v>7</v>
      </c>
      <c r="C736" s="2" t="s">
        <v>8</v>
      </c>
      <c r="D736" s="2" t="s">
        <v>9</v>
      </c>
      <c r="E736" s="2" t="s">
        <v>10</v>
      </c>
      <c r="F736" s="2" t="s">
        <v>11</v>
      </c>
      <c r="G736" s="2" t="s">
        <v>12</v>
      </c>
      <c r="H736" s="2" t="s">
        <v>13</v>
      </c>
      <c r="I736" s="2" t="s">
        <v>14</v>
      </c>
      <c r="J736" s="2" t="s">
        <v>15</v>
      </c>
      <c r="K736" s="2" t="s">
        <v>16</v>
      </c>
      <c r="L736" s="2" t="s">
        <v>17</v>
      </c>
    </row>
    <row r="737" spans="1:12" x14ac:dyDescent="0.25">
      <c r="A737" s="3">
        <v>45700.21094907407</v>
      </c>
      <c r="B737" t="s">
        <v>29</v>
      </c>
      <c r="C737" s="3">
        <v>45700.39261574074</v>
      </c>
      <c r="D737" t="s">
        <v>29</v>
      </c>
      <c r="E737" s="4">
        <v>73.046999999999997</v>
      </c>
      <c r="F737" s="4">
        <v>382464.48800000001</v>
      </c>
      <c r="G737" s="4">
        <v>382537.53499999997</v>
      </c>
      <c r="H737" s="5">
        <f>4782 / 86400</f>
        <v>5.5347222222222221E-2</v>
      </c>
      <c r="I737" t="s">
        <v>41</v>
      </c>
      <c r="J737" t="s">
        <v>28</v>
      </c>
      <c r="K737" s="5">
        <f>15696 / 86400</f>
        <v>0.18166666666666667</v>
      </c>
      <c r="L737" s="5">
        <f>19011 / 86400</f>
        <v>0.22003472222222223</v>
      </c>
    </row>
    <row r="738" spans="1:12" x14ac:dyDescent="0.25">
      <c r="A738" s="3">
        <v>45700.401701388888</v>
      </c>
      <c r="B738" t="s">
        <v>29</v>
      </c>
      <c r="C738" s="3">
        <v>45700.402939814812</v>
      </c>
      <c r="D738" t="s">
        <v>29</v>
      </c>
      <c r="E738" s="4">
        <v>3.3000000000000002E-2</v>
      </c>
      <c r="F738" s="4">
        <v>382537.53499999997</v>
      </c>
      <c r="G738" s="4">
        <v>382537.56800000003</v>
      </c>
      <c r="H738" s="5">
        <f>79 / 86400</f>
        <v>9.1435185185185185E-4</v>
      </c>
      <c r="I738" t="s">
        <v>128</v>
      </c>
      <c r="J738" t="s">
        <v>150</v>
      </c>
      <c r="K738" s="5">
        <f>106 / 86400</f>
        <v>1.2268518518518518E-3</v>
      </c>
      <c r="L738" s="5">
        <f>51585 / 86400</f>
        <v>0.59704861111111107</v>
      </c>
    </row>
    <row r="739" spans="1:12" x14ac:dyDescent="0.25">
      <c r="A739" s="12"/>
      <c r="B739" s="12"/>
      <c r="C739" s="12"/>
      <c r="D739" s="12"/>
      <c r="E739" s="12"/>
      <c r="F739" s="12"/>
      <c r="G739" s="12"/>
      <c r="H739" s="12"/>
      <c r="I739" s="12"/>
      <c r="J739" s="12"/>
    </row>
    <row r="740" spans="1:12" x14ac:dyDescent="0.25">
      <c r="A740" s="12"/>
      <c r="B740" s="12"/>
      <c r="C740" s="12"/>
      <c r="D740" s="12"/>
      <c r="E740" s="12"/>
      <c r="F740" s="12"/>
      <c r="G740" s="12"/>
      <c r="H740" s="12"/>
      <c r="I740" s="12"/>
      <c r="J740" s="12"/>
    </row>
    <row r="741" spans="1:12" s="10" customFormat="1" ht="20.100000000000001" customHeight="1" x14ac:dyDescent="0.35">
      <c r="A741" s="15" t="s">
        <v>346</v>
      </c>
      <c r="B741" s="15"/>
      <c r="C741" s="15"/>
      <c r="D741" s="15"/>
      <c r="E741" s="15"/>
      <c r="F741" s="15"/>
      <c r="G741" s="15"/>
      <c r="H741" s="15"/>
      <c r="I741" s="15"/>
      <c r="J741" s="15"/>
    </row>
    <row r="742" spans="1:12" x14ac:dyDescent="0.25">
      <c r="A742" s="12"/>
      <c r="B742" s="12"/>
      <c r="C742" s="12"/>
      <c r="D742" s="12"/>
      <c r="E742" s="12"/>
      <c r="F742" s="12"/>
      <c r="G742" s="12"/>
      <c r="H742" s="12"/>
      <c r="I742" s="12"/>
      <c r="J742" s="12"/>
    </row>
    <row r="743" spans="1:12" ht="30" x14ac:dyDescent="0.25">
      <c r="A743" s="2" t="s">
        <v>6</v>
      </c>
      <c r="B743" s="2" t="s">
        <v>7</v>
      </c>
      <c r="C743" s="2" t="s">
        <v>8</v>
      </c>
      <c r="D743" s="2" t="s">
        <v>9</v>
      </c>
      <c r="E743" s="2" t="s">
        <v>10</v>
      </c>
      <c r="F743" s="2" t="s">
        <v>11</v>
      </c>
      <c r="G743" s="2" t="s">
        <v>12</v>
      </c>
      <c r="H743" s="2" t="s">
        <v>13</v>
      </c>
      <c r="I743" s="2" t="s">
        <v>14</v>
      </c>
      <c r="J743" s="2" t="s">
        <v>15</v>
      </c>
      <c r="K743" s="2" t="s">
        <v>16</v>
      </c>
      <c r="L743" s="2" t="s">
        <v>17</v>
      </c>
    </row>
    <row r="744" spans="1:12" x14ac:dyDescent="0.25">
      <c r="A744" s="3">
        <v>45700.320821759262</v>
      </c>
      <c r="B744" t="s">
        <v>98</v>
      </c>
      <c r="C744" s="3">
        <v>45700.433935185181</v>
      </c>
      <c r="D744" t="s">
        <v>169</v>
      </c>
      <c r="E744" s="4">
        <v>49.171999999999997</v>
      </c>
      <c r="F744" s="4">
        <v>545929.35699999996</v>
      </c>
      <c r="G744" s="4">
        <v>545978.52899999998</v>
      </c>
      <c r="H744" s="5">
        <f>2939 / 86400</f>
        <v>3.4016203703703701E-2</v>
      </c>
      <c r="I744" t="s">
        <v>58</v>
      </c>
      <c r="J744" t="s">
        <v>31</v>
      </c>
      <c r="K744" s="5">
        <f>9772 / 86400</f>
        <v>0.11310185185185186</v>
      </c>
      <c r="L744" s="5">
        <f>29751 / 86400</f>
        <v>0.34434027777777776</v>
      </c>
    </row>
    <row r="745" spans="1:12" x14ac:dyDescent="0.25">
      <c r="A745" s="3">
        <v>45700.457453703704</v>
      </c>
      <c r="B745" t="s">
        <v>169</v>
      </c>
      <c r="C745" s="3">
        <v>45700.457754629635</v>
      </c>
      <c r="D745" t="s">
        <v>169</v>
      </c>
      <c r="E745" s="4">
        <v>0</v>
      </c>
      <c r="F745" s="4">
        <v>545978.52899999998</v>
      </c>
      <c r="G745" s="4">
        <v>545978.52899999998</v>
      </c>
      <c r="H745" s="5">
        <f>19 / 86400</f>
        <v>2.199074074074074E-4</v>
      </c>
      <c r="I745" t="s">
        <v>42</v>
      </c>
      <c r="J745" t="s">
        <v>42</v>
      </c>
      <c r="K745" s="5">
        <f>26 / 86400</f>
        <v>3.0092592592592595E-4</v>
      </c>
      <c r="L745" s="5">
        <f>24 / 86400</f>
        <v>2.7777777777777778E-4</v>
      </c>
    </row>
    <row r="746" spans="1:12" x14ac:dyDescent="0.25">
      <c r="A746" s="3">
        <v>45700.458032407405</v>
      </c>
      <c r="B746" t="s">
        <v>169</v>
      </c>
      <c r="C746" s="3">
        <v>45700.461631944447</v>
      </c>
      <c r="D746" t="s">
        <v>188</v>
      </c>
      <c r="E746" s="4">
        <v>0.41</v>
      </c>
      <c r="F746" s="4">
        <v>545978.52899999998</v>
      </c>
      <c r="G746" s="4">
        <v>545978.93900000001</v>
      </c>
      <c r="H746" s="5">
        <f>139 / 86400</f>
        <v>1.6087962962962963E-3</v>
      </c>
      <c r="I746" t="s">
        <v>28</v>
      </c>
      <c r="J746" t="s">
        <v>149</v>
      </c>
      <c r="K746" s="5">
        <f>311 / 86400</f>
        <v>3.5995370370370369E-3</v>
      </c>
      <c r="L746" s="5">
        <f>81 / 86400</f>
        <v>9.3749999999999997E-4</v>
      </c>
    </row>
    <row r="747" spans="1:12" x14ac:dyDescent="0.25">
      <c r="A747" s="3">
        <v>45700.46256944444</v>
      </c>
      <c r="B747" t="s">
        <v>188</v>
      </c>
      <c r="C747" s="3">
        <v>45700.46739583333</v>
      </c>
      <c r="D747" t="s">
        <v>188</v>
      </c>
      <c r="E747" s="4">
        <v>0.373</v>
      </c>
      <c r="F747" s="4">
        <v>545978.93900000001</v>
      </c>
      <c r="G747" s="4">
        <v>545979.31200000003</v>
      </c>
      <c r="H747" s="5">
        <f>319 / 86400</f>
        <v>3.6921296296296298E-3</v>
      </c>
      <c r="I747" t="s">
        <v>31</v>
      </c>
      <c r="J747" t="s">
        <v>77</v>
      </c>
      <c r="K747" s="5">
        <f>417 / 86400</f>
        <v>4.8263888888888887E-3</v>
      </c>
      <c r="L747" s="5">
        <f>79 / 86400</f>
        <v>9.1435185185185185E-4</v>
      </c>
    </row>
    <row r="748" spans="1:12" x14ac:dyDescent="0.25">
      <c r="A748" s="3">
        <v>45700.468310185184</v>
      </c>
      <c r="B748" t="s">
        <v>188</v>
      </c>
      <c r="C748" s="3">
        <v>45700.610925925925</v>
      </c>
      <c r="D748" t="s">
        <v>138</v>
      </c>
      <c r="E748" s="4">
        <v>50.426000000000002</v>
      </c>
      <c r="F748" s="4">
        <v>545979.31200000003</v>
      </c>
      <c r="G748" s="4">
        <v>546029.73800000001</v>
      </c>
      <c r="H748" s="5">
        <f>4238 / 86400</f>
        <v>4.9050925925925928E-2</v>
      </c>
      <c r="I748" t="s">
        <v>97</v>
      </c>
      <c r="J748" t="s">
        <v>20</v>
      </c>
      <c r="K748" s="5">
        <f>12321 / 86400</f>
        <v>0.14260416666666667</v>
      </c>
      <c r="L748" s="5">
        <f>153 / 86400</f>
        <v>1.7708333333333332E-3</v>
      </c>
    </row>
    <row r="749" spans="1:12" x14ac:dyDescent="0.25">
      <c r="A749" s="3">
        <v>45700.612696759257</v>
      </c>
      <c r="B749" t="s">
        <v>138</v>
      </c>
      <c r="C749" s="3">
        <v>45700.616469907407</v>
      </c>
      <c r="D749" t="s">
        <v>92</v>
      </c>
      <c r="E749" s="4">
        <v>1.095</v>
      </c>
      <c r="F749" s="4">
        <v>546029.73800000001</v>
      </c>
      <c r="G749" s="4">
        <v>546030.83299999998</v>
      </c>
      <c r="H749" s="5">
        <f>40 / 86400</f>
        <v>4.6296296296296298E-4</v>
      </c>
      <c r="I749" t="s">
        <v>142</v>
      </c>
      <c r="J749" t="s">
        <v>55</v>
      </c>
      <c r="K749" s="5">
        <f>325 / 86400</f>
        <v>3.7615740740740739E-3</v>
      </c>
      <c r="L749" s="5">
        <f>2725 / 86400</f>
        <v>3.1539351851851853E-2</v>
      </c>
    </row>
    <row r="750" spans="1:12" x14ac:dyDescent="0.25">
      <c r="A750" s="3">
        <v>45700.648009259261</v>
      </c>
      <c r="B750" t="s">
        <v>92</v>
      </c>
      <c r="C750" s="3">
        <v>45700.884004629625</v>
      </c>
      <c r="D750" t="s">
        <v>62</v>
      </c>
      <c r="E750" s="4">
        <v>95.007000000000005</v>
      </c>
      <c r="F750" s="4">
        <v>546030.83299999998</v>
      </c>
      <c r="G750" s="4">
        <v>546125.84</v>
      </c>
      <c r="H750" s="5">
        <f>5599 / 86400</f>
        <v>6.4803240740740745E-2</v>
      </c>
      <c r="I750" t="s">
        <v>97</v>
      </c>
      <c r="J750" t="s">
        <v>28</v>
      </c>
      <c r="K750" s="5">
        <f>20390 / 86400</f>
        <v>0.23599537037037038</v>
      </c>
      <c r="L750" s="5">
        <f>325 / 86400</f>
        <v>3.7615740740740739E-3</v>
      </c>
    </row>
    <row r="751" spans="1:12" x14ac:dyDescent="0.25">
      <c r="A751" s="3">
        <v>45700.887766203705</v>
      </c>
      <c r="B751" t="s">
        <v>62</v>
      </c>
      <c r="C751" s="3">
        <v>45700.889664351853</v>
      </c>
      <c r="D751" t="s">
        <v>98</v>
      </c>
      <c r="E751" s="4">
        <v>0.53900000000000003</v>
      </c>
      <c r="F751" s="4">
        <v>546125.84</v>
      </c>
      <c r="G751" s="4">
        <v>546126.37899999996</v>
      </c>
      <c r="H751" s="5">
        <f>20 / 86400</f>
        <v>2.3148148148148149E-4</v>
      </c>
      <c r="I751" t="s">
        <v>140</v>
      </c>
      <c r="J751" t="s">
        <v>55</v>
      </c>
      <c r="K751" s="5">
        <f>164 / 86400</f>
        <v>1.8981481481481482E-3</v>
      </c>
      <c r="L751" s="5">
        <f>9532 / 86400</f>
        <v>0.11032407407407407</v>
      </c>
    </row>
    <row r="752" spans="1:12" x14ac:dyDescent="0.25">
      <c r="A752" s="12"/>
      <c r="B752" s="12"/>
      <c r="C752" s="12"/>
      <c r="D752" s="12"/>
      <c r="E752" s="12"/>
      <c r="F752" s="12"/>
      <c r="G752" s="12"/>
      <c r="H752" s="12"/>
      <c r="I752" s="12"/>
      <c r="J752" s="12"/>
    </row>
    <row r="753" spans="1:12" x14ac:dyDescent="0.25">
      <c r="A753" s="12"/>
      <c r="B753" s="12"/>
      <c r="C753" s="12"/>
      <c r="D753" s="12"/>
      <c r="E753" s="12"/>
      <c r="F753" s="12"/>
      <c r="G753" s="12"/>
      <c r="H753" s="12"/>
      <c r="I753" s="12"/>
      <c r="J753" s="12"/>
    </row>
    <row r="754" spans="1:12" s="10" customFormat="1" ht="20.100000000000001" customHeight="1" x14ac:dyDescent="0.35">
      <c r="A754" s="15" t="s">
        <v>347</v>
      </c>
      <c r="B754" s="15"/>
      <c r="C754" s="15"/>
      <c r="D754" s="15"/>
      <c r="E754" s="15"/>
      <c r="F754" s="15"/>
      <c r="G754" s="15"/>
      <c r="H754" s="15"/>
      <c r="I754" s="15"/>
      <c r="J754" s="15"/>
    </row>
    <row r="755" spans="1:12" x14ac:dyDescent="0.25">
      <c r="A755" s="12"/>
      <c r="B755" s="12"/>
      <c r="C755" s="12"/>
      <c r="D755" s="12"/>
      <c r="E755" s="12"/>
      <c r="F755" s="12"/>
      <c r="G755" s="12"/>
      <c r="H755" s="12"/>
      <c r="I755" s="12"/>
      <c r="J755" s="12"/>
    </row>
    <row r="756" spans="1:12" ht="30" x14ac:dyDescent="0.25">
      <c r="A756" s="2" t="s">
        <v>6</v>
      </c>
      <c r="B756" s="2" t="s">
        <v>7</v>
      </c>
      <c r="C756" s="2" t="s">
        <v>8</v>
      </c>
      <c r="D756" s="2" t="s">
        <v>9</v>
      </c>
      <c r="E756" s="2" t="s">
        <v>10</v>
      </c>
      <c r="F756" s="2" t="s">
        <v>11</v>
      </c>
      <c r="G756" s="2" t="s">
        <v>12</v>
      </c>
      <c r="H756" s="2" t="s">
        <v>13</v>
      </c>
      <c r="I756" s="2" t="s">
        <v>14</v>
      </c>
      <c r="J756" s="2" t="s">
        <v>15</v>
      </c>
      <c r="K756" s="2" t="s">
        <v>16</v>
      </c>
      <c r="L756" s="2" t="s">
        <v>17</v>
      </c>
    </row>
    <row r="757" spans="1:12" x14ac:dyDescent="0.25">
      <c r="A757" s="3">
        <v>45700</v>
      </c>
      <c r="B757" t="s">
        <v>99</v>
      </c>
      <c r="C757" s="3">
        <v>45700.0231712963</v>
      </c>
      <c r="D757" t="s">
        <v>271</v>
      </c>
      <c r="E757" s="4">
        <v>9.4730000000000008</v>
      </c>
      <c r="F757" s="4">
        <v>103379.308</v>
      </c>
      <c r="G757" s="4">
        <v>103388.781</v>
      </c>
      <c r="H757" s="5">
        <f>880 / 86400</f>
        <v>1.0185185185185186E-2</v>
      </c>
      <c r="I757" t="s">
        <v>172</v>
      </c>
      <c r="J757" t="s">
        <v>28</v>
      </c>
      <c r="K757" s="5">
        <f>2002 / 86400</f>
        <v>2.3171296296296297E-2</v>
      </c>
      <c r="L757" s="5">
        <f>412 / 86400</f>
        <v>4.7685185185185183E-3</v>
      </c>
    </row>
    <row r="758" spans="1:12" x14ac:dyDescent="0.25">
      <c r="A758" s="3">
        <v>45700.027939814812</v>
      </c>
      <c r="B758" t="s">
        <v>271</v>
      </c>
      <c r="C758" s="3">
        <v>45700.122349537036</v>
      </c>
      <c r="D758" t="s">
        <v>272</v>
      </c>
      <c r="E758" s="4">
        <v>43.383000000000003</v>
      </c>
      <c r="F758" s="4">
        <v>103388.781</v>
      </c>
      <c r="G758" s="4">
        <v>103432.164</v>
      </c>
      <c r="H758" s="5">
        <f>4137 / 86400</f>
        <v>4.7881944444444442E-2</v>
      </c>
      <c r="I758" t="s">
        <v>233</v>
      </c>
      <c r="J758" t="s">
        <v>23</v>
      </c>
      <c r="K758" s="5">
        <f>8157 / 86400</f>
        <v>9.4409722222222228E-2</v>
      </c>
      <c r="L758" s="5">
        <f>186 / 86400</f>
        <v>2.1527777777777778E-3</v>
      </c>
    </row>
    <row r="759" spans="1:12" x14ac:dyDescent="0.25">
      <c r="A759" s="3">
        <v>45700.124502314815</v>
      </c>
      <c r="B759" t="s">
        <v>272</v>
      </c>
      <c r="C759" s="3">
        <v>45700.131122685183</v>
      </c>
      <c r="D759" t="s">
        <v>273</v>
      </c>
      <c r="E759" s="4">
        <v>5.4139999999999997</v>
      </c>
      <c r="F759" s="4">
        <v>103432.164</v>
      </c>
      <c r="G759" s="4">
        <v>103437.57799999999</v>
      </c>
      <c r="H759" s="5">
        <f>20 / 86400</f>
        <v>2.3148148148148149E-4</v>
      </c>
      <c r="I759" t="s">
        <v>177</v>
      </c>
      <c r="J759" t="s">
        <v>216</v>
      </c>
      <c r="K759" s="5">
        <f>572 / 86400</f>
        <v>6.6203703703703702E-3</v>
      </c>
      <c r="L759" s="5">
        <f>112 / 86400</f>
        <v>1.2962962962962963E-3</v>
      </c>
    </row>
    <row r="760" spans="1:12" x14ac:dyDescent="0.25">
      <c r="A760" s="3">
        <v>45700.132418981477</v>
      </c>
      <c r="B760" t="s">
        <v>273</v>
      </c>
      <c r="C760" s="3">
        <v>45700.133750000001</v>
      </c>
      <c r="D760" t="s">
        <v>109</v>
      </c>
      <c r="E760" s="4">
        <v>0.55800000000000005</v>
      </c>
      <c r="F760" s="4">
        <v>103437.57799999999</v>
      </c>
      <c r="G760" s="4">
        <v>103438.136</v>
      </c>
      <c r="H760" s="5">
        <f>0 / 86400</f>
        <v>0</v>
      </c>
      <c r="I760" t="s">
        <v>167</v>
      </c>
      <c r="J760" t="s">
        <v>28</v>
      </c>
      <c r="K760" s="5">
        <f>115 / 86400</f>
        <v>1.3310185185185185E-3</v>
      </c>
      <c r="L760" s="5">
        <f>953 / 86400</f>
        <v>1.1030092592592593E-2</v>
      </c>
    </row>
    <row r="761" spans="1:12" x14ac:dyDescent="0.25">
      <c r="A761" s="3">
        <v>45700.144780092596</v>
      </c>
      <c r="B761" t="s">
        <v>109</v>
      </c>
      <c r="C761" s="3">
        <v>45700.145462962959</v>
      </c>
      <c r="D761" t="s">
        <v>109</v>
      </c>
      <c r="E761" s="4">
        <v>6.8000000000000005E-2</v>
      </c>
      <c r="F761" s="4">
        <v>103438.136</v>
      </c>
      <c r="G761" s="4">
        <v>103438.204</v>
      </c>
      <c r="H761" s="5">
        <f>20 / 86400</f>
        <v>2.3148148148148149E-4</v>
      </c>
      <c r="I761" t="s">
        <v>126</v>
      </c>
      <c r="J761" t="s">
        <v>133</v>
      </c>
      <c r="K761" s="5">
        <f>59 / 86400</f>
        <v>6.8287037037037036E-4</v>
      </c>
      <c r="L761" s="5">
        <f>1272 / 86400</f>
        <v>1.4722222222222222E-2</v>
      </c>
    </row>
    <row r="762" spans="1:12" x14ac:dyDescent="0.25">
      <c r="A762" s="3">
        <v>45700.160185185188</v>
      </c>
      <c r="B762" t="s">
        <v>109</v>
      </c>
      <c r="C762" s="3">
        <v>45700.161886574075</v>
      </c>
      <c r="D762" t="s">
        <v>109</v>
      </c>
      <c r="E762" s="4">
        <v>6.0999999999999999E-2</v>
      </c>
      <c r="F762" s="4">
        <v>103438.204</v>
      </c>
      <c r="G762" s="4">
        <v>103438.265</v>
      </c>
      <c r="H762" s="5">
        <f>118 / 86400</f>
        <v>1.3657407407407407E-3</v>
      </c>
      <c r="I762" t="s">
        <v>133</v>
      </c>
      <c r="J762" t="s">
        <v>150</v>
      </c>
      <c r="K762" s="5">
        <f>147 / 86400</f>
        <v>1.7013888888888888E-3</v>
      </c>
      <c r="L762" s="5">
        <f>3414 / 86400</f>
        <v>3.951388888888889E-2</v>
      </c>
    </row>
    <row r="763" spans="1:12" x14ac:dyDescent="0.25">
      <c r="A763" s="3">
        <v>45700.20140046296</v>
      </c>
      <c r="B763" t="s">
        <v>109</v>
      </c>
      <c r="C763" s="3">
        <v>45700.201643518521</v>
      </c>
      <c r="D763" t="s">
        <v>109</v>
      </c>
      <c r="E763" s="4">
        <v>0</v>
      </c>
      <c r="F763" s="4">
        <v>103438.265</v>
      </c>
      <c r="G763" s="4">
        <v>103438.265</v>
      </c>
      <c r="H763" s="5">
        <f>17 / 86400</f>
        <v>1.9675925925925926E-4</v>
      </c>
      <c r="I763" t="s">
        <v>42</v>
      </c>
      <c r="J763" t="s">
        <v>42</v>
      </c>
      <c r="K763" s="5">
        <f>21 / 86400</f>
        <v>2.4305555555555555E-4</v>
      </c>
      <c r="L763" s="5">
        <f>11089 / 86400</f>
        <v>0.12834490740740739</v>
      </c>
    </row>
    <row r="764" spans="1:12" x14ac:dyDescent="0.25">
      <c r="A764" s="3">
        <v>45700.329988425925</v>
      </c>
      <c r="B764" t="s">
        <v>109</v>
      </c>
      <c r="C764" s="3">
        <v>45700.339108796295</v>
      </c>
      <c r="D764" t="s">
        <v>187</v>
      </c>
      <c r="E764" s="4">
        <v>1.84</v>
      </c>
      <c r="F764" s="4">
        <v>103438.265</v>
      </c>
      <c r="G764" s="4">
        <v>103440.105</v>
      </c>
      <c r="H764" s="5">
        <f>342 / 86400</f>
        <v>3.9583333333333337E-3</v>
      </c>
      <c r="I764" t="s">
        <v>146</v>
      </c>
      <c r="J764" t="s">
        <v>148</v>
      </c>
      <c r="K764" s="5">
        <f>788 / 86400</f>
        <v>9.1203703703703707E-3</v>
      </c>
      <c r="L764" s="5">
        <f>3415 / 86400</f>
        <v>3.9525462962962964E-2</v>
      </c>
    </row>
    <row r="765" spans="1:12" x14ac:dyDescent="0.25">
      <c r="A765" s="3">
        <v>45700.378634259258</v>
      </c>
      <c r="B765" t="s">
        <v>187</v>
      </c>
      <c r="C765" s="3">
        <v>45700.380300925928</v>
      </c>
      <c r="D765" t="s">
        <v>92</v>
      </c>
      <c r="E765" s="4">
        <v>0.29299999999999998</v>
      </c>
      <c r="F765" s="4">
        <v>103440.105</v>
      </c>
      <c r="G765" s="4">
        <v>103440.398</v>
      </c>
      <c r="H765" s="5">
        <f>37 / 86400</f>
        <v>4.2824074074074075E-4</v>
      </c>
      <c r="I765" t="s">
        <v>23</v>
      </c>
      <c r="J765" t="s">
        <v>143</v>
      </c>
      <c r="K765" s="5">
        <f>144 / 86400</f>
        <v>1.6666666666666668E-3</v>
      </c>
      <c r="L765" s="5">
        <f>1077 / 86400</f>
        <v>1.2465277777777778E-2</v>
      </c>
    </row>
    <row r="766" spans="1:12" x14ac:dyDescent="0.25">
      <c r="A766" s="3">
        <v>45700.392766203702</v>
      </c>
      <c r="B766" t="s">
        <v>92</v>
      </c>
      <c r="C766" s="3">
        <v>45700.39707175926</v>
      </c>
      <c r="D766" t="s">
        <v>138</v>
      </c>
      <c r="E766" s="4">
        <v>0.95799999999999996</v>
      </c>
      <c r="F766" s="4">
        <v>103440.398</v>
      </c>
      <c r="G766" s="4">
        <v>103441.356</v>
      </c>
      <c r="H766" s="5">
        <f>118 / 86400</f>
        <v>1.3657407407407407E-3</v>
      </c>
      <c r="I766" t="s">
        <v>134</v>
      </c>
      <c r="J766" t="s">
        <v>137</v>
      </c>
      <c r="K766" s="5">
        <f>372 / 86400</f>
        <v>4.3055555555555555E-3</v>
      </c>
      <c r="L766" s="5">
        <f>774 / 86400</f>
        <v>8.9583333333333338E-3</v>
      </c>
    </row>
    <row r="767" spans="1:12" x14ac:dyDescent="0.25">
      <c r="A767" s="3">
        <v>45700.406030092592</v>
      </c>
      <c r="B767" t="s">
        <v>138</v>
      </c>
      <c r="C767" s="3">
        <v>45700.536099537036</v>
      </c>
      <c r="D767" t="s">
        <v>274</v>
      </c>
      <c r="E767" s="4">
        <v>52.247999999999998</v>
      </c>
      <c r="F767" s="4">
        <v>103441.356</v>
      </c>
      <c r="G767" s="4">
        <v>103493.60400000001</v>
      </c>
      <c r="H767" s="5">
        <f>3719 / 86400</f>
        <v>4.3043981481481482E-2</v>
      </c>
      <c r="I767" t="s">
        <v>85</v>
      </c>
      <c r="J767" t="s">
        <v>28</v>
      </c>
      <c r="K767" s="5">
        <f>11238 / 86400</f>
        <v>0.13006944444444443</v>
      </c>
      <c r="L767" s="5">
        <f>233 / 86400</f>
        <v>2.6967592592592594E-3</v>
      </c>
    </row>
    <row r="768" spans="1:12" x14ac:dyDescent="0.25">
      <c r="A768" s="3">
        <v>45700.5387962963</v>
      </c>
      <c r="B768" t="s">
        <v>274</v>
      </c>
      <c r="C768" s="3">
        <v>45700.539363425924</v>
      </c>
      <c r="D768" t="s">
        <v>179</v>
      </c>
      <c r="E768" s="4">
        <v>5.6000000000000001E-2</v>
      </c>
      <c r="F768" s="4">
        <v>103493.60400000001</v>
      </c>
      <c r="G768" s="4">
        <v>103493.66</v>
      </c>
      <c r="H768" s="5">
        <f>20 / 86400</f>
        <v>2.3148148148148149E-4</v>
      </c>
      <c r="I768" t="s">
        <v>137</v>
      </c>
      <c r="J768" t="s">
        <v>133</v>
      </c>
      <c r="K768" s="5">
        <f>49 / 86400</f>
        <v>5.6712962962962967E-4</v>
      </c>
      <c r="L768" s="5">
        <f>3021 / 86400</f>
        <v>3.4965277777777776E-2</v>
      </c>
    </row>
    <row r="769" spans="1:12" x14ac:dyDescent="0.25">
      <c r="A769" s="3">
        <v>45700.574328703704</v>
      </c>
      <c r="B769" t="s">
        <v>179</v>
      </c>
      <c r="C769" s="3">
        <v>45700.719895833332</v>
      </c>
      <c r="D769" t="s">
        <v>185</v>
      </c>
      <c r="E769" s="4">
        <v>49.487000000000002</v>
      </c>
      <c r="F769" s="4">
        <v>103493.66</v>
      </c>
      <c r="G769" s="4">
        <v>103543.147</v>
      </c>
      <c r="H769" s="5">
        <f>5339 / 86400</f>
        <v>6.1793981481481484E-2</v>
      </c>
      <c r="I769" t="s">
        <v>41</v>
      </c>
      <c r="J769" t="s">
        <v>39</v>
      </c>
      <c r="K769" s="5">
        <f>12577 / 86400</f>
        <v>0.14556712962962962</v>
      </c>
      <c r="L769" s="5">
        <f>640 / 86400</f>
        <v>7.4074074074074077E-3</v>
      </c>
    </row>
    <row r="770" spans="1:12" x14ac:dyDescent="0.25">
      <c r="A770" s="3">
        <v>45700.727303240739</v>
      </c>
      <c r="B770" t="s">
        <v>185</v>
      </c>
      <c r="C770" s="3">
        <v>45700.734560185185</v>
      </c>
      <c r="D770" t="s">
        <v>43</v>
      </c>
      <c r="E770" s="4">
        <v>0.90100000000000002</v>
      </c>
      <c r="F770" s="4">
        <v>103543.147</v>
      </c>
      <c r="G770" s="4">
        <v>103544.048</v>
      </c>
      <c r="H770" s="5">
        <f>378 / 86400</f>
        <v>4.3750000000000004E-3</v>
      </c>
      <c r="I770" t="s">
        <v>142</v>
      </c>
      <c r="J770" t="s">
        <v>149</v>
      </c>
      <c r="K770" s="5">
        <f>627 / 86400</f>
        <v>7.2569444444444443E-3</v>
      </c>
      <c r="L770" s="5">
        <f>301 / 86400</f>
        <v>3.4837962962962965E-3</v>
      </c>
    </row>
    <row r="771" spans="1:12" x14ac:dyDescent="0.25">
      <c r="A771" s="3">
        <v>45700.738043981481</v>
      </c>
      <c r="B771" t="s">
        <v>43</v>
      </c>
      <c r="C771" s="3">
        <v>45700.99998842593</v>
      </c>
      <c r="D771" t="s">
        <v>71</v>
      </c>
      <c r="E771" s="4">
        <v>122.19499999999999</v>
      </c>
      <c r="F771" s="4">
        <v>103544.048</v>
      </c>
      <c r="G771" s="4">
        <v>103666.243</v>
      </c>
      <c r="H771" s="5">
        <f>7776 / 86400</f>
        <v>0.09</v>
      </c>
      <c r="I771" t="s">
        <v>100</v>
      </c>
      <c r="J771" t="s">
        <v>23</v>
      </c>
      <c r="K771" s="5">
        <f>22632 / 86400</f>
        <v>0.26194444444444442</v>
      </c>
      <c r="L771" s="5">
        <f>0 / 86400</f>
        <v>0</v>
      </c>
    </row>
    <row r="772" spans="1:12" x14ac:dyDescent="0.25">
      <c r="A772" s="12"/>
      <c r="B772" s="12"/>
      <c r="C772" s="12"/>
      <c r="D772" s="12"/>
      <c r="E772" s="12"/>
      <c r="F772" s="12"/>
      <c r="G772" s="12"/>
      <c r="H772" s="12"/>
      <c r="I772" s="12"/>
      <c r="J772" s="12"/>
    </row>
    <row r="773" spans="1:12" x14ac:dyDescent="0.25">
      <c r="A773" s="12"/>
      <c r="B773" s="12"/>
      <c r="C773" s="12"/>
      <c r="D773" s="12"/>
      <c r="E773" s="12"/>
      <c r="F773" s="12"/>
      <c r="G773" s="12"/>
      <c r="H773" s="12"/>
      <c r="I773" s="12"/>
      <c r="J773" s="12"/>
    </row>
    <row r="774" spans="1:12" s="10" customFormat="1" ht="20.100000000000001" customHeight="1" x14ac:dyDescent="0.35">
      <c r="A774" s="15" t="s">
        <v>348</v>
      </c>
      <c r="B774" s="15"/>
      <c r="C774" s="15"/>
      <c r="D774" s="15"/>
      <c r="E774" s="15"/>
      <c r="F774" s="15"/>
      <c r="G774" s="15"/>
      <c r="H774" s="15"/>
      <c r="I774" s="15"/>
      <c r="J774" s="15"/>
    </row>
    <row r="775" spans="1:12" x14ac:dyDescent="0.25">
      <c r="A775" s="12"/>
      <c r="B775" s="12"/>
      <c r="C775" s="12"/>
      <c r="D775" s="12"/>
      <c r="E775" s="12"/>
      <c r="F775" s="12"/>
      <c r="G775" s="12"/>
      <c r="H775" s="12"/>
      <c r="I775" s="12"/>
      <c r="J775" s="12"/>
    </row>
    <row r="776" spans="1:12" ht="30" x14ac:dyDescent="0.25">
      <c r="A776" s="2" t="s">
        <v>6</v>
      </c>
      <c r="B776" s="2" t="s">
        <v>7</v>
      </c>
      <c r="C776" s="2" t="s">
        <v>8</v>
      </c>
      <c r="D776" s="2" t="s">
        <v>9</v>
      </c>
      <c r="E776" s="2" t="s">
        <v>10</v>
      </c>
      <c r="F776" s="2" t="s">
        <v>11</v>
      </c>
      <c r="G776" s="2" t="s">
        <v>12</v>
      </c>
      <c r="H776" s="2" t="s">
        <v>13</v>
      </c>
      <c r="I776" s="2" t="s">
        <v>14</v>
      </c>
      <c r="J776" s="2" t="s">
        <v>15</v>
      </c>
      <c r="K776" s="2" t="s">
        <v>16</v>
      </c>
      <c r="L776" s="2" t="s">
        <v>17</v>
      </c>
    </row>
    <row r="777" spans="1:12" x14ac:dyDescent="0.25">
      <c r="A777" s="3">
        <v>45700.268287037034</v>
      </c>
      <c r="B777" t="s">
        <v>29</v>
      </c>
      <c r="C777" s="3">
        <v>45700.272453703699</v>
      </c>
      <c r="D777" t="s">
        <v>89</v>
      </c>
      <c r="E777" s="4">
        <v>1.8660000000000001</v>
      </c>
      <c r="F777" s="4">
        <v>54007.205999999998</v>
      </c>
      <c r="G777" s="4">
        <v>54009.072</v>
      </c>
      <c r="H777" s="5">
        <f>78 / 86400</f>
        <v>9.0277777777777774E-4</v>
      </c>
      <c r="I777" t="s">
        <v>156</v>
      </c>
      <c r="J777" t="s">
        <v>23</v>
      </c>
      <c r="K777" s="5">
        <f>360 / 86400</f>
        <v>4.1666666666666666E-3</v>
      </c>
      <c r="L777" s="5">
        <f>23402 / 86400</f>
        <v>0.2708564814814815</v>
      </c>
    </row>
    <row r="778" spans="1:12" x14ac:dyDescent="0.25">
      <c r="A778" s="3">
        <v>45700.275023148148</v>
      </c>
      <c r="B778" t="s">
        <v>89</v>
      </c>
      <c r="C778" s="3">
        <v>45700.441180555557</v>
      </c>
      <c r="D778" t="s">
        <v>92</v>
      </c>
      <c r="E778" s="4">
        <v>71.233999999999995</v>
      </c>
      <c r="F778" s="4">
        <v>54009.072</v>
      </c>
      <c r="G778" s="4">
        <v>54080.305999999997</v>
      </c>
      <c r="H778" s="5">
        <f>4641 / 86400</f>
        <v>5.3715277777777778E-2</v>
      </c>
      <c r="I778" t="s">
        <v>225</v>
      </c>
      <c r="J778" t="s">
        <v>31</v>
      </c>
      <c r="K778" s="5">
        <f>14356 / 86400</f>
        <v>0.16615740740740742</v>
      </c>
      <c r="L778" s="5">
        <f>866 / 86400</f>
        <v>1.0023148148148147E-2</v>
      </c>
    </row>
    <row r="779" spans="1:12" x14ac:dyDescent="0.25">
      <c r="A779" s="3">
        <v>45700.451203703706</v>
      </c>
      <c r="B779" t="s">
        <v>92</v>
      </c>
      <c r="C779" s="3">
        <v>45700.45449074074</v>
      </c>
      <c r="D779" t="s">
        <v>92</v>
      </c>
      <c r="E779" s="4">
        <v>0</v>
      </c>
      <c r="F779" s="4">
        <v>54080.305999999997</v>
      </c>
      <c r="G779" s="4">
        <v>54080.305999999997</v>
      </c>
      <c r="H779" s="5">
        <f>277 / 86400</f>
        <v>3.2060185185185186E-3</v>
      </c>
      <c r="I779" t="s">
        <v>42</v>
      </c>
      <c r="J779" t="s">
        <v>42</v>
      </c>
      <c r="K779" s="5">
        <f>284 / 86400</f>
        <v>3.2870370370370371E-3</v>
      </c>
      <c r="L779" s="5">
        <f>4788 / 86400</f>
        <v>5.541666666666667E-2</v>
      </c>
    </row>
    <row r="780" spans="1:12" x14ac:dyDescent="0.25">
      <c r="A780" s="3">
        <v>45700.50990740741</v>
      </c>
      <c r="B780" t="s">
        <v>92</v>
      </c>
      <c r="C780" s="3">
        <v>45700.522557870368</v>
      </c>
      <c r="D780" t="s">
        <v>193</v>
      </c>
      <c r="E780" s="4">
        <v>0.47399999999999998</v>
      </c>
      <c r="F780" s="4">
        <v>54080.305999999997</v>
      </c>
      <c r="G780" s="4">
        <v>54080.78</v>
      </c>
      <c r="H780" s="5">
        <f>958 / 86400</f>
        <v>1.1087962962962963E-2</v>
      </c>
      <c r="I780" t="s">
        <v>116</v>
      </c>
      <c r="J780" t="s">
        <v>128</v>
      </c>
      <c r="K780" s="5">
        <f>1093 / 86400</f>
        <v>1.2650462962962962E-2</v>
      </c>
      <c r="L780" s="5">
        <f>324 / 86400</f>
        <v>3.7499999999999999E-3</v>
      </c>
    </row>
    <row r="781" spans="1:12" x14ac:dyDescent="0.25">
      <c r="A781" s="3">
        <v>45700.526307870372</v>
      </c>
      <c r="B781" t="s">
        <v>193</v>
      </c>
      <c r="C781" s="3">
        <v>45700.526608796295</v>
      </c>
      <c r="D781" t="s">
        <v>193</v>
      </c>
      <c r="E781" s="4">
        <v>0</v>
      </c>
      <c r="F781" s="4">
        <v>54080.78</v>
      </c>
      <c r="G781" s="4">
        <v>54080.78</v>
      </c>
      <c r="H781" s="5">
        <f>18 / 86400</f>
        <v>2.0833333333333335E-4</v>
      </c>
      <c r="I781" t="s">
        <v>42</v>
      </c>
      <c r="J781" t="s">
        <v>42</v>
      </c>
      <c r="K781" s="5">
        <f>26 / 86400</f>
        <v>3.0092592592592595E-4</v>
      </c>
      <c r="L781" s="5">
        <f>243 / 86400</f>
        <v>2.8124999999999999E-3</v>
      </c>
    </row>
    <row r="782" spans="1:12" x14ac:dyDescent="0.25">
      <c r="A782" s="3">
        <v>45700.529421296298</v>
      </c>
      <c r="B782" t="s">
        <v>193</v>
      </c>
      <c r="C782" s="3">
        <v>45700.674756944441</v>
      </c>
      <c r="D782" t="s">
        <v>275</v>
      </c>
      <c r="E782" s="4">
        <v>59.773000000000003</v>
      </c>
      <c r="F782" s="4">
        <v>54080.78</v>
      </c>
      <c r="G782" s="4">
        <v>54140.553</v>
      </c>
      <c r="H782" s="5">
        <f>4438 / 86400</f>
        <v>5.136574074074074E-2</v>
      </c>
      <c r="I782" t="s">
        <v>51</v>
      </c>
      <c r="J782" t="s">
        <v>28</v>
      </c>
      <c r="K782" s="5">
        <f>12557 / 86400</f>
        <v>0.14533564814814814</v>
      </c>
      <c r="L782" s="5">
        <f>46 / 86400</f>
        <v>5.3240740740740744E-4</v>
      </c>
    </row>
    <row r="783" spans="1:12" x14ac:dyDescent="0.25">
      <c r="A783" s="3">
        <v>45700.675289351857</v>
      </c>
      <c r="B783" t="s">
        <v>276</v>
      </c>
      <c r="C783" s="3">
        <v>45700.681064814809</v>
      </c>
      <c r="D783" t="s">
        <v>277</v>
      </c>
      <c r="E783" s="4">
        <v>2.3719999999999999</v>
      </c>
      <c r="F783" s="4">
        <v>54140.553</v>
      </c>
      <c r="G783" s="4">
        <v>54142.925000000003</v>
      </c>
      <c r="H783" s="5">
        <f>160 / 86400</f>
        <v>1.8518518518518519E-3</v>
      </c>
      <c r="I783" t="s">
        <v>177</v>
      </c>
      <c r="J783" t="s">
        <v>28</v>
      </c>
      <c r="K783" s="5">
        <f>499 / 86400</f>
        <v>5.7754629629629631E-3</v>
      </c>
      <c r="L783" s="5">
        <f>134 / 86400</f>
        <v>1.5509259259259259E-3</v>
      </c>
    </row>
    <row r="784" spans="1:12" x14ac:dyDescent="0.25">
      <c r="A784" s="3">
        <v>45700.682615740741</v>
      </c>
      <c r="B784" t="s">
        <v>277</v>
      </c>
      <c r="C784" s="3">
        <v>45700.840254629627</v>
      </c>
      <c r="D784" t="s">
        <v>278</v>
      </c>
      <c r="E784" s="4">
        <v>53.034999999999997</v>
      </c>
      <c r="F784" s="4">
        <v>54142.925000000003</v>
      </c>
      <c r="G784" s="4">
        <v>54195.96</v>
      </c>
      <c r="H784" s="5">
        <f>5060 / 86400</f>
        <v>5.8564814814814813E-2</v>
      </c>
      <c r="I784" t="s">
        <v>159</v>
      </c>
      <c r="J784" t="s">
        <v>39</v>
      </c>
      <c r="K784" s="5">
        <f>13620 / 86400</f>
        <v>0.15763888888888888</v>
      </c>
      <c r="L784" s="5">
        <f>557 / 86400</f>
        <v>6.4467592592592588E-3</v>
      </c>
    </row>
    <row r="785" spans="1:12" x14ac:dyDescent="0.25">
      <c r="A785" s="3">
        <v>45700.846701388888</v>
      </c>
      <c r="B785" t="s">
        <v>278</v>
      </c>
      <c r="C785" s="3">
        <v>45700.919270833328</v>
      </c>
      <c r="D785" t="s">
        <v>279</v>
      </c>
      <c r="E785" s="4">
        <v>36.036000000000001</v>
      </c>
      <c r="F785" s="4">
        <v>54195.96</v>
      </c>
      <c r="G785" s="4">
        <v>54231.995999999999</v>
      </c>
      <c r="H785" s="5">
        <f>1597 / 86400</f>
        <v>1.8483796296296297E-2</v>
      </c>
      <c r="I785" t="s">
        <v>65</v>
      </c>
      <c r="J785" t="s">
        <v>124</v>
      </c>
      <c r="K785" s="5">
        <f>6270 / 86400</f>
        <v>7.256944444444445E-2</v>
      </c>
      <c r="L785" s="5">
        <f>97 / 86400</f>
        <v>1.1226851851851851E-3</v>
      </c>
    </row>
    <row r="786" spans="1:12" x14ac:dyDescent="0.25">
      <c r="A786" s="3">
        <v>45700.920393518521</v>
      </c>
      <c r="B786" t="s">
        <v>279</v>
      </c>
      <c r="C786" s="3">
        <v>45700.922685185185</v>
      </c>
      <c r="D786" t="s">
        <v>280</v>
      </c>
      <c r="E786" s="4">
        <v>4.9000000000000002E-2</v>
      </c>
      <c r="F786" s="4">
        <v>54231.995999999999</v>
      </c>
      <c r="G786" s="4">
        <v>54232.044999999998</v>
      </c>
      <c r="H786" s="5">
        <f>157 / 86400</f>
        <v>1.8171296296296297E-3</v>
      </c>
      <c r="I786" t="s">
        <v>164</v>
      </c>
      <c r="J786" t="s">
        <v>150</v>
      </c>
      <c r="K786" s="5">
        <f>198 / 86400</f>
        <v>2.2916666666666667E-3</v>
      </c>
      <c r="L786" s="5">
        <f>316 / 86400</f>
        <v>3.6574074074074074E-3</v>
      </c>
    </row>
    <row r="787" spans="1:12" x14ac:dyDescent="0.25">
      <c r="A787" s="3">
        <v>45700.926342592589</v>
      </c>
      <c r="B787" t="s">
        <v>280</v>
      </c>
      <c r="C787" s="3">
        <v>45700.928182870368</v>
      </c>
      <c r="D787" t="s">
        <v>279</v>
      </c>
      <c r="E787" s="4">
        <v>0.54100000000000004</v>
      </c>
      <c r="F787" s="4">
        <v>54232.044999999998</v>
      </c>
      <c r="G787" s="4">
        <v>54232.586000000003</v>
      </c>
      <c r="H787" s="5">
        <f>40 / 86400</f>
        <v>4.6296296296296298E-4</v>
      </c>
      <c r="I787" t="s">
        <v>140</v>
      </c>
      <c r="J787" t="s">
        <v>55</v>
      </c>
      <c r="K787" s="5">
        <f>159 / 86400</f>
        <v>1.8402777777777777E-3</v>
      </c>
      <c r="L787" s="5">
        <f>872 / 86400</f>
        <v>1.0092592592592592E-2</v>
      </c>
    </row>
    <row r="788" spans="1:12" x14ac:dyDescent="0.25">
      <c r="A788" s="3">
        <v>45700.938275462962</v>
      </c>
      <c r="B788" t="s">
        <v>279</v>
      </c>
      <c r="C788" s="3">
        <v>45700.939259259263</v>
      </c>
      <c r="D788" t="s">
        <v>281</v>
      </c>
      <c r="E788" s="4">
        <v>0.249</v>
      </c>
      <c r="F788" s="4">
        <v>54232.586000000003</v>
      </c>
      <c r="G788" s="4">
        <v>54232.834999999999</v>
      </c>
      <c r="H788" s="5">
        <f>38 / 86400</f>
        <v>4.3981481481481481E-4</v>
      </c>
      <c r="I788" t="s">
        <v>282</v>
      </c>
      <c r="J788" t="s">
        <v>126</v>
      </c>
      <c r="K788" s="5">
        <f>85 / 86400</f>
        <v>9.837962962962962E-4</v>
      </c>
      <c r="L788" s="5">
        <f>46 / 86400</f>
        <v>5.3240740740740744E-4</v>
      </c>
    </row>
    <row r="789" spans="1:12" x14ac:dyDescent="0.25">
      <c r="A789" s="3">
        <v>45700.939791666664</v>
      </c>
      <c r="B789" t="s">
        <v>281</v>
      </c>
      <c r="C789" s="3">
        <v>45700.983541666668</v>
      </c>
      <c r="D789" t="s">
        <v>89</v>
      </c>
      <c r="E789" s="4">
        <v>20.425999999999998</v>
      </c>
      <c r="F789" s="4">
        <v>54232.834999999999</v>
      </c>
      <c r="G789" s="4">
        <v>54253.260999999999</v>
      </c>
      <c r="H789" s="5">
        <f>980 / 86400</f>
        <v>1.1342592592592593E-2</v>
      </c>
      <c r="I789" t="s">
        <v>172</v>
      </c>
      <c r="J789" t="s">
        <v>23</v>
      </c>
      <c r="K789" s="5">
        <f>3780 / 86400</f>
        <v>4.3749999999999997E-2</v>
      </c>
      <c r="L789" s="5">
        <f>210 / 86400</f>
        <v>2.4305555555555556E-3</v>
      </c>
    </row>
    <row r="790" spans="1:12" x14ac:dyDescent="0.25">
      <c r="A790" s="3">
        <v>45700.985972222217</v>
      </c>
      <c r="B790" t="s">
        <v>89</v>
      </c>
      <c r="C790" s="3">
        <v>45700.991469907407</v>
      </c>
      <c r="D790" t="s">
        <v>29</v>
      </c>
      <c r="E790" s="4">
        <v>0.82199999999999995</v>
      </c>
      <c r="F790" s="4">
        <v>54253.260999999999</v>
      </c>
      <c r="G790" s="4">
        <v>54254.082999999999</v>
      </c>
      <c r="H790" s="5">
        <f>260 / 86400</f>
        <v>3.0092592592592593E-3</v>
      </c>
      <c r="I790" t="s">
        <v>136</v>
      </c>
      <c r="J790" t="s">
        <v>131</v>
      </c>
      <c r="K790" s="5">
        <f>475 / 86400</f>
        <v>5.4976851851851853E-3</v>
      </c>
      <c r="L790" s="5">
        <f>736 / 86400</f>
        <v>8.518518518518519E-3</v>
      </c>
    </row>
    <row r="791" spans="1:12" x14ac:dyDescent="0.25">
      <c r="A791" s="12"/>
      <c r="B791" s="12"/>
      <c r="C791" s="12"/>
      <c r="D791" s="12"/>
      <c r="E791" s="12"/>
      <c r="F791" s="12"/>
      <c r="G791" s="12"/>
      <c r="H791" s="12"/>
      <c r="I791" s="12"/>
      <c r="J791" s="12"/>
    </row>
    <row r="792" spans="1:12" x14ac:dyDescent="0.25">
      <c r="A792" s="12"/>
      <c r="B792" s="12"/>
      <c r="C792" s="12"/>
      <c r="D792" s="12"/>
      <c r="E792" s="12"/>
      <c r="F792" s="12"/>
      <c r="G792" s="12"/>
      <c r="H792" s="12"/>
      <c r="I792" s="12"/>
      <c r="J792" s="12"/>
    </row>
    <row r="793" spans="1:12" s="10" customFormat="1" ht="20.100000000000001" customHeight="1" x14ac:dyDescent="0.35">
      <c r="A793" s="15" t="s">
        <v>349</v>
      </c>
      <c r="B793" s="15"/>
      <c r="C793" s="15"/>
      <c r="D793" s="15"/>
      <c r="E793" s="15"/>
      <c r="F793" s="15"/>
      <c r="G793" s="15"/>
      <c r="H793" s="15"/>
      <c r="I793" s="15"/>
      <c r="J793" s="15"/>
    </row>
    <row r="794" spans="1:12" x14ac:dyDescent="0.25">
      <c r="A794" s="12"/>
      <c r="B794" s="12"/>
      <c r="C794" s="12"/>
      <c r="D794" s="12"/>
      <c r="E794" s="12"/>
      <c r="F794" s="12"/>
      <c r="G794" s="12"/>
      <c r="H794" s="12"/>
      <c r="I794" s="12"/>
      <c r="J794" s="12"/>
    </row>
    <row r="795" spans="1:12" ht="30" x14ac:dyDescent="0.25">
      <c r="A795" s="2" t="s">
        <v>6</v>
      </c>
      <c r="B795" s="2" t="s">
        <v>7</v>
      </c>
      <c r="C795" s="2" t="s">
        <v>8</v>
      </c>
      <c r="D795" s="2" t="s">
        <v>9</v>
      </c>
      <c r="E795" s="2" t="s">
        <v>10</v>
      </c>
      <c r="F795" s="2" t="s">
        <v>11</v>
      </c>
      <c r="G795" s="2" t="s">
        <v>12</v>
      </c>
      <c r="H795" s="2" t="s">
        <v>13</v>
      </c>
      <c r="I795" s="2" t="s">
        <v>14</v>
      </c>
      <c r="J795" s="2" t="s">
        <v>15</v>
      </c>
      <c r="K795" s="2" t="s">
        <v>16</v>
      </c>
      <c r="L795" s="2" t="s">
        <v>17</v>
      </c>
    </row>
    <row r="796" spans="1:12" x14ac:dyDescent="0.25">
      <c r="A796" s="3">
        <v>45700.282662037032</v>
      </c>
      <c r="B796" t="s">
        <v>101</v>
      </c>
      <c r="C796" s="3">
        <v>45700.298703703702</v>
      </c>
      <c r="D796" t="s">
        <v>283</v>
      </c>
      <c r="E796" s="4">
        <v>0.56000000000000005</v>
      </c>
      <c r="F796" s="4">
        <v>45705.144999999997</v>
      </c>
      <c r="G796" s="4">
        <v>45705.705000000002</v>
      </c>
      <c r="H796" s="5">
        <f>1220 / 86400</f>
        <v>1.412037037037037E-2</v>
      </c>
      <c r="I796" t="s">
        <v>181</v>
      </c>
      <c r="J796" t="s">
        <v>150</v>
      </c>
      <c r="K796" s="5">
        <f>1386 / 86400</f>
        <v>1.6041666666666666E-2</v>
      </c>
      <c r="L796" s="5">
        <f>24873 / 86400</f>
        <v>0.28788194444444443</v>
      </c>
    </row>
    <row r="797" spans="1:12" x14ac:dyDescent="0.25">
      <c r="A797" s="3">
        <v>45700.303923611107</v>
      </c>
      <c r="B797" t="s">
        <v>284</v>
      </c>
      <c r="C797" s="3">
        <v>45700.411793981482</v>
      </c>
      <c r="D797" t="s">
        <v>285</v>
      </c>
      <c r="E797" s="4">
        <v>46.186</v>
      </c>
      <c r="F797" s="4">
        <v>45705.705000000002</v>
      </c>
      <c r="G797" s="4">
        <v>45751.891000000003</v>
      </c>
      <c r="H797" s="5">
        <f>3460 / 86400</f>
        <v>4.0046296296296295E-2</v>
      </c>
      <c r="I797" t="s">
        <v>27</v>
      </c>
      <c r="J797" t="s">
        <v>31</v>
      </c>
      <c r="K797" s="5">
        <f>9320 / 86400</f>
        <v>0.10787037037037037</v>
      </c>
      <c r="L797" s="5">
        <f>2519 / 86400</f>
        <v>2.9155092592592594E-2</v>
      </c>
    </row>
    <row r="798" spans="1:12" x14ac:dyDescent="0.25">
      <c r="A798" s="3">
        <v>45700.440949074073</v>
      </c>
      <c r="B798" t="s">
        <v>285</v>
      </c>
      <c r="C798" s="3">
        <v>45700.697268518517</v>
      </c>
      <c r="D798" t="s">
        <v>278</v>
      </c>
      <c r="E798" s="4">
        <v>111.541</v>
      </c>
      <c r="F798" s="4">
        <v>45751.891000000003</v>
      </c>
      <c r="G798" s="4">
        <v>45863.432000000001</v>
      </c>
      <c r="H798" s="5">
        <f>7660 / 86400</f>
        <v>8.8657407407407407E-2</v>
      </c>
      <c r="I798" t="s">
        <v>74</v>
      </c>
      <c r="J798" t="s">
        <v>31</v>
      </c>
      <c r="K798" s="5">
        <f>22146 / 86400</f>
        <v>0.25631944444444443</v>
      </c>
      <c r="L798" s="5">
        <f>342 / 86400</f>
        <v>3.9583333333333337E-3</v>
      </c>
    </row>
    <row r="799" spans="1:12" x14ac:dyDescent="0.25">
      <c r="A799" s="3">
        <v>45700.701226851852</v>
      </c>
      <c r="B799" t="s">
        <v>278</v>
      </c>
      <c r="C799" s="3">
        <v>45700.701666666668</v>
      </c>
      <c r="D799" t="s">
        <v>278</v>
      </c>
      <c r="E799" s="4">
        <v>4.7E-2</v>
      </c>
      <c r="F799" s="4">
        <v>45863.432000000001</v>
      </c>
      <c r="G799" s="4">
        <v>45863.478999999999</v>
      </c>
      <c r="H799" s="5">
        <f>18 / 86400</f>
        <v>2.0833333333333335E-4</v>
      </c>
      <c r="I799" t="s">
        <v>46</v>
      </c>
      <c r="J799" t="s">
        <v>133</v>
      </c>
      <c r="K799" s="5">
        <f>38 / 86400</f>
        <v>4.3981481481481481E-4</v>
      </c>
      <c r="L799" s="5">
        <f>497 / 86400</f>
        <v>5.7523148148148151E-3</v>
      </c>
    </row>
    <row r="800" spans="1:12" x14ac:dyDescent="0.25">
      <c r="A800" s="3">
        <v>45700.707418981481</v>
      </c>
      <c r="B800" t="s">
        <v>278</v>
      </c>
      <c r="C800" s="3">
        <v>45700.71739583333</v>
      </c>
      <c r="D800" t="s">
        <v>62</v>
      </c>
      <c r="E800" s="4">
        <v>4.5609999999999999</v>
      </c>
      <c r="F800" s="4">
        <v>45863.478999999999</v>
      </c>
      <c r="G800" s="4">
        <v>45868.04</v>
      </c>
      <c r="H800" s="5">
        <f>160 / 86400</f>
        <v>1.8518518518518519E-3</v>
      </c>
      <c r="I800" t="s">
        <v>167</v>
      </c>
      <c r="J800" t="s">
        <v>23</v>
      </c>
      <c r="K800" s="5">
        <f>862 / 86400</f>
        <v>9.9768518518518513E-3</v>
      </c>
      <c r="L800" s="5">
        <f>372 / 86400</f>
        <v>4.3055555555555555E-3</v>
      </c>
    </row>
    <row r="801" spans="1:12" x14ac:dyDescent="0.25">
      <c r="A801" s="3">
        <v>45700.721701388888</v>
      </c>
      <c r="B801" t="s">
        <v>62</v>
      </c>
      <c r="C801" s="3">
        <v>45700.725960648153</v>
      </c>
      <c r="D801" t="s">
        <v>284</v>
      </c>
      <c r="E801" s="4">
        <v>1.2549999999999999</v>
      </c>
      <c r="F801" s="4">
        <v>45868.04</v>
      </c>
      <c r="G801" s="4">
        <v>45869.294999999998</v>
      </c>
      <c r="H801" s="5">
        <f>60 / 86400</f>
        <v>6.9444444444444447E-4</v>
      </c>
      <c r="I801" t="s">
        <v>200</v>
      </c>
      <c r="J801" t="s">
        <v>55</v>
      </c>
      <c r="K801" s="5">
        <f>368 / 86400</f>
        <v>4.2592592592592595E-3</v>
      </c>
      <c r="L801" s="5">
        <f>308 / 86400</f>
        <v>3.5648148148148149E-3</v>
      </c>
    </row>
    <row r="802" spans="1:12" x14ac:dyDescent="0.25">
      <c r="A802" s="3">
        <v>45700.729525462964</v>
      </c>
      <c r="B802" t="s">
        <v>284</v>
      </c>
      <c r="C802" s="3">
        <v>45700.73128472222</v>
      </c>
      <c r="D802" t="s">
        <v>102</v>
      </c>
      <c r="E802" s="4">
        <v>0.31900000000000001</v>
      </c>
      <c r="F802" s="4">
        <v>45869.294999999998</v>
      </c>
      <c r="G802" s="4">
        <v>45869.614000000001</v>
      </c>
      <c r="H802" s="5">
        <f>40 / 86400</f>
        <v>4.6296296296296298E-4</v>
      </c>
      <c r="I802" t="s">
        <v>31</v>
      </c>
      <c r="J802" t="s">
        <v>148</v>
      </c>
      <c r="K802" s="5">
        <f>152 / 86400</f>
        <v>1.7592592592592592E-3</v>
      </c>
      <c r="L802" s="5">
        <f>23216 / 86400</f>
        <v>0.26870370370370372</v>
      </c>
    </row>
    <row r="803" spans="1:12" x14ac:dyDescent="0.25">
      <c r="A803" s="12"/>
      <c r="B803" s="12"/>
      <c r="C803" s="12"/>
      <c r="D803" s="12"/>
      <c r="E803" s="12"/>
      <c r="F803" s="12"/>
      <c r="G803" s="12"/>
      <c r="H803" s="12"/>
      <c r="I803" s="12"/>
      <c r="J803" s="12"/>
    </row>
    <row r="804" spans="1:12" x14ac:dyDescent="0.25">
      <c r="A804" s="12"/>
      <c r="B804" s="12"/>
      <c r="C804" s="12"/>
      <c r="D804" s="12"/>
      <c r="E804" s="12"/>
      <c r="F804" s="12"/>
      <c r="G804" s="12"/>
      <c r="H804" s="12"/>
      <c r="I804" s="12"/>
      <c r="J804" s="12"/>
    </row>
    <row r="805" spans="1:12" s="10" customFormat="1" ht="20.100000000000001" customHeight="1" x14ac:dyDescent="0.35">
      <c r="A805" s="15" t="s">
        <v>350</v>
      </c>
      <c r="B805" s="15"/>
      <c r="C805" s="15"/>
      <c r="D805" s="15"/>
      <c r="E805" s="15"/>
      <c r="F805" s="15"/>
      <c r="G805" s="15"/>
      <c r="H805" s="15"/>
      <c r="I805" s="15"/>
      <c r="J805" s="15"/>
    </row>
    <row r="806" spans="1:12" x14ac:dyDescent="0.25">
      <c r="A806" s="12"/>
      <c r="B806" s="12"/>
      <c r="C806" s="12"/>
      <c r="D806" s="12"/>
      <c r="E806" s="12"/>
      <c r="F806" s="12"/>
      <c r="G806" s="12"/>
      <c r="H806" s="12"/>
      <c r="I806" s="12"/>
      <c r="J806" s="12"/>
    </row>
    <row r="807" spans="1:12" ht="30" x14ac:dyDescent="0.25">
      <c r="A807" s="2" t="s">
        <v>6</v>
      </c>
      <c r="B807" s="2" t="s">
        <v>7</v>
      </c>
      <c r="C807" s="2" t="s">
        <v>8</v>
      </c>
      <c r="D807" s="2" t="s">
        <v>9</v>
      </c>
      <c r="E807" s="2" t="s">
        <v>10</v>
      </c>
      <c r="F807" s="2" t="s">
        <v>11</v>
      </c>
      <c r="G807" s="2" t="s">
        <v>12</v>
      </c>
      <c r="H807" s="2" t="s">
        <v>13</v>
      </c>
      <c r="I807" s="2" t="s">
        <v>14</v>
      </c>
      <c r="J807" s="2" t="s">
        <v>15</v>
      </c>
      <c r="K807" s="2" t="s">
        <v>16</v>
      </c>
      <c r="L807" s="2" t="s">
        <v>17</v>
      </c>
    </row>
    <row r="808" spans="1:12" x14ac:dyDescent="0.25">
      <c r="A808" s="3">
        <v>45700.161979166667</v>
      </c>
      <c r="B808" t="s">
        <v>103</v>
      </c>
      <c r="C808" s="3">
        <v>45700.338773148149</v>
      </c>
      <c r="D808" t="s">
        <v>185</v>
      </c>
      <c r="E808" s="4">
        <v>100.742</v>
      </c>
      <c r="F808" s="4">
        <v>78489.376999999993</v>
      </c>
      <c r="G808" s="4">
        <v>78590.119000000006</v>
      </c>
      <c r="H808" s="5">
        <f>3799 / 86400</f>
        <v>4.3969907407407409E-2</v>
      </c>
      <c r="I808" t="s">
        <v>27</v>
      </c>
      <c r="J808" t="s">
        <v>176</v>
      </c>
      <c r="K808" s="5">
        <f>15275 / 86400</f>
        <v>0.17679398148148148</v>
      </c>
      <c r="L808" s="5">
        <f>14013 / 86400</f>
        <v>0.16218750000000001</v>
      </c>
    </row>
    <row r="809" spans="1:12" x14ac:dyDescent="0.25">
      <c r="A809" s="3">
        <v>45700.33898148148</v>
      </c>
      <c r="B809" t="s">
        <v>185</v>
      </c>
      <c r="C809" s="3">
        <v>45700.340081018519</v>
      </c>
      <c r="D809" t="s">
        <v>62</v>
      </c>
      <c r="E809" s="4">
        <v>0.26500000000000001</v>
      </c>
      <c r="F809" s="4">
        <v>78590.119000000006</v>
      </c>
      <c r="G809" s="4">
        <v>78590.384000000005</v>
      </c>
      <c r="H809" s="5">
        <f>23 / 86400</f>
        <v>2.6620370370370372E-4</v>
      </c>
      <c r="I809" t="s">
        <v>28</v>
      </c>
      <c r="J809" t="s">
        <v>164</v>
      </c>
      <c r="K809" s="5">
        <f>95 / 86400</f>
        <v>1.0995370370370371E-3</v>
      </c>
      <c r="L809" s="5">
        <f>690 / 86400</f>
        <v>7.9861111111111105E-3</v>
      </c>
    </row>
    <row r="810" spans="1:12" x14ac:dyDescent="0.25">
      <c r="A810" s="3">
        <v>45700.348067129627</v>
      </c>
      <c r="B810" t="s">
        <v>62</v>
      </c>
      <c r="C810" s="3">
        <v>45700.348935185189</v>
      </c>
      <c r="D810" t="s">
        <v>62</v>
      </c>
      <c r="E810" s="4">
        <v>9.5000000000000001E-2</v>
      </c>
      <c r="F810" s="4">
        <v>78590.384000000005</v>
      </c>
      <c r="G810" s="4">
        <v>78590.479000000007</v>
      </c>
      <c r="H810" s="5">
        <f>37 / 86400</f>
        <v>4.2824074074074075E-4</v>
      </c>
      <c r="I810" t="s">
        <v>164</v>
      </c>
      <c r="J810" t="s">
        <v>149</v>
      </c>
      <c r="K810" s="5">
        <f>75 / 86400</f>
        <v>8.6805555555555551E-4</v>
      </c>
      <c r="L810" s="5">
        <f>327 / 86400</f>
        <v>3.7847222222222223E-3</v>
      </c>
    </row>
    <row r="811" spans="1:12" x14ac:dyDescent="0.25">
      <c r="A811" s="3">
        <v>45700.352719907409</v>
      </c>
      <c r="B811" t="s">
        <v>62</v>
      </c>
      <c r="C811" s="3">
        <v>45700.353125000001</v>
      </c>
      <c r="D811" t="s">
        <v>62</v>
      </c>
      <c r="E811" s="4">
        <v>0</v>
      </c>
      <c r="F811" s="4">
        <v>78590.479000000007</v>
      </c>
      <c r="G811" s="4">
        <v>78590.479000000007</v>
      </c>
      <c r="H811" s="5">
        <f>17 / 86400</f>
        <v>1.9675925925925926E-4</v>
      </c>
      <c r="I811" t="s">
        <v>42</v>
      </c>
      <c r="J811" t="s">
        <v>42</v>
      </c>
      <c r="K811" s="5">
        <f>35 / 86400</f>
        <v>4.0509259259259258E-4</v>
      </c>
      <c r="L811" s="5">
        <f>39 / 86400</f>
        <v>4.5138888888888887E-4</v>
      </c>
    </row>
    <row r="812" spans="1:12" x14ac:dyDescent="0.25">
      <c r="A812" s="3">
        <v>45700.353576388894</v>
      </c>
      <c r="B812" t="s">
        <v>62</v>
      </c>
      <c r="C812" s="3">
        <v>45700.35361111111</v>
      </c>
      <c r="D812" t="s">
        <v>62</v>
      </c>
      <c r="E812" s="4">
        <v>0</v>
      </c>
      <c r="F812" s="4">
        <v>78590.479000000007</v>
      </c>
      <c r="G812" s="4">
        <v>78590.479000000007</v>
      </c>
      <c r="H812" s="5">
        <f>0 / 86400</f>
        <v>0</v>
      </c>
      <c r="I812" t="s">
        <v>42</v>
      </c>
      <c r="J812" t="s">
        <v>42</v>
      </c>
      <c r="K812" s="5">
        <f>3 / 86400</f>
        <v>3.4722222222222222E-5</v>
      </c>
      <c r="L812" s="5">
        <f>31 / 86400</f>
        <v>3.5879629629629629E-4</v>
      </c>
    </row>
    <row r="813" spans="1:12" x14ac:dyDescent="0.25">
      <c r="A813" s="3">
        <v>45700.353969907403</v>
      </c>
      <c r="B813" t="s">
        <v>62</v>
      </c>
      <c r="C813" s="3">
        <v>45700.35732638889</v>
      </c>
      <c r="D813" t="s">
        <v>138</v>
      </c>
      <c r="E813" s="4">
        <v>1.3129999999999999</v>
      </c>
      <c r="F813" s="4">
        <v>78590.479000000007</v>
      </c>
      <c r="G813" s="4">
        <v>78591.792000000001</v>
      </c>
      <c r="H813" s="5">
        <f>18 / 86400</f>
        <v>2.0833333333333335E-4</v>
      </c>
      <c r="I813" t="s">
        <v>156</v>
      </c>
      <c r="J813" t="s">
        <v>34</v>
      </c>
      <c r="K813" s="5">
        <f>290 / 86400</f>
        <v>3.3564814814814816E-3</v>
      </c>
      <c r="L813" s="5">
        <f>328 / 86400</f>
        <v>3.7962962962962963E-3</v>
      </c>
    </row>
    <row r="814" spans="1:12" x14ac:dyDescent="0.25">
      <c r="A814" s="3">
        <v>45700.361122685186</v>
      </c>
      <c r="B814" t="s">
        <v>138</v>
      </c>
      <c r="C814" s="3">
        <v>45700.600694444445</v>
      </c>
      <c r="D814" t="s">
        <v>185</v>
      </c>
      <c r="E814" s="4">
        <v>100.319</v>
      </c>
      <c r="F814" s="4">
        <v>78591.792000000001</v>
      </c>
      <c r="G814" s="4">
        <v>78692.111000000004</v>
      </c>
      <c r="H814" s="5">
        <f>5956 / 86400</f>
        <v>6.8935185185185183E-2</v>
      </c>
      <c r="I814" t="s">
        <v>58</v>
      </c>
      <c r="J814" t="s">
        <v>28</v>
      </c>
      <c r="K814" s="5">
        <f>20699 / 86400</f>
        <v>0.23957175925925925</v>
      </c>
      <c r="L814" s="5">
        <f>131 / 86400</f>
        <v>1.5162037037037036E-3</v>
      </c>
    </row>
    <row r="815" spans="1:12" x14ac:dyDescent="0.25">
      <c r="A815" s="3">
        <v>45700.602210648147</v>
      </c>
      <c r="B815" t="s">
        <v>185</v>
      </c>
      <c r="C815" s="3">
        <v>45700.603032407409</v>
      </c>
      <c r="D815" t="s">
        <v>62</v>
      </c>
      <c r="E815" s="4">
        <v>0.26500000000000001</v>
      </c>
      <c r="F815" s="4">
        <v>78692.111000000004</v>
      </c>
      <c r="G815" s="4">
        <v>78692.376000000004</v>
      </c>
      <c r="H815" s="5">
        <f>0 / 86400</f>
        <v>0</v>
      </c>
      <c r="I815" t="s">
        <v>23</v>
      </c>
      <c r="J815" t="s">
        <v>46</v>
      </c>
      <c r="K815" s="5">
        <f>71 / 86400</f>
        <v>8.2175925925925927E-4</v>
      </c>
      <c r="L815" s="5">
        <f>220 / 86400</f>
        <v>2.5462962962962965E-3</v>
      </c>
    </row>
    <row r="816" spans="1:12" x14ac:dyDescent="0.25">
      <c r="A816" s="3">
        <v>45700.605578703704</v>
      </c>
      <c r="B816" t="s">
        <v>62</v>
      </c>
      <c r="C816" s="3">
        <v>45700.607152777782</v>
      </c>
      <c r="D816" t="s">
        <v>90</v>
      </c>
      <c r="E816" s="4">
        <v>0.161</v>
      </c>
      <c r="F816" s="4">
        <v>78692.376000000004</v>
      </c>
      <c r="G816" s="4">
        <v>78692.536999999997</v>
      </c>
      <c r="H816" s="5">
        <f>20 / 86400</f>
        <v>2.3148148148148149E-4</v>
      </c>
      <c r="I816" t="s">
        <v>137</v>
      </c>
      <c r="J816" t="s">
        <v>133</v>
      </c>
      <c r="K816" s="5">
        <f>136 / 86400</f>
        <v>1.5740740740740741E-3</v>
      </c>
      <c r="L816" s="5">
        <f>519 / 86400</f>
        <v>6.0069444444444441E-3</v>
      </c>
    </row>
    <row r="817" spans="1:12" x14ac:dyDescent="0.25">
      <c r="A817" s="3">
        <v>45700.613159722227</v>
      </c>
      <c r="B817" t="s">
        <v>90</v>
      </c>
      <c r="C817" s="3">
        <v>45700.706967592589</v>
      </c>
      <c r="D817" t="s">
        <v>286</v>
      </c>
      <c r="E817" s="4">
        <v>43.277000000000001</v>
      </c>
      <c r="F817" s="4">
        <v>78692.536999999997</v>
      </c>
      <c r="G817" s="4">
        <v>78735.813999999998</v>
      </c>
      <c r="H817" s="5">
        <f>2605 / 86400</f>
        <v>3.0150462962962962E-2</v>
      </c>
      <c r="I817" t="s">
        <v>207</v>
      </c>
      <c r="J817" t="s">
        <v>23</v>
      </c>
      <c r="K817" s="5">
        <f>8105 / 86400</f>
        <v>9.3807870370370375E-2</v>
      </c>
      <c r="L817" s="5">
        <f>800 / 86400</f>
        <v>9.2592592592592587E-3</v>
      </c>
    </row>
    <row r="818" spans="1:12" x14ac:dyDescent="0.25">
      <c r="A818" s="3">
        <v>45700.716226851851</v>
      </c>
      <c r="B818" t="s">
        <v>286</v>
      </c>
      <c r="C818" s="3">
        <v>45700.718078703707</v>
      </c>
      <c r="D818" t="s">
        <v>286</v>
      </c>
      <c r="E818" s="4">
        <v>3.5000000000000003E-2</v>
      </c>
      <c r="F818" s="4">
        <v>78735.813999999998</v>
      </c>
      <c r="G818" s="4">
        <v>78735.849000000002</v>
      </c>
      <c r="H818" s="5">
        <f>140 / 86400</f>
        <v>1.6203703703703703E-3</v>
      </c>
      <c r="I818" t="s">
        <v>164</v>
      </c>
      <c r="J818" t="s">
        <v>150</v>
      </c>
      <c r="K818" s="5">
        <f>160 / 86400</f>
        <v>1.8518518518518519E-3</v>
      </c>
      <c r="L818" s="5">
        <f>1179 / 86400</f>
        <v>1.3645833333333333E-2</v>
      </c>
    </row>
    <row r="819" spans="1:12" x14ac:dyDescent="0.25">
      <c r="A819" s="3">
        <v>45700.731724537036</v>
      </c>
      <c r="B819" t="s">
        <v>286</v>
      </c>
      <c r="C819" s="3">
        <v>45700.732986111107</v>
      </c>
      <c r="D819" t="s">
        <v>286</v>
      </c>
      <c r="E819" s="4">
        <v>0.111</v>
      </c>
      <c r="F819" s="4">
        <v>78735.849000000002</v>
      </c>
      <c r="G819" s="4">
        <v>78735.960000000006</v>
      </c>
      <c r="H819" s="5">
        <f>38 / 86400</f>
        <v>4.3981481481481481E-4</v>
      </c>
      <c r="I819" t="s">
        <v>131</v>
      </c>
      <c r="J819" t="s">
        <v>133</v>
      </c>
      <c r="K819" s="5">
        <f>109 / 86400</f>
        <v>1.261574074074074E-3</v>
      </c>
      <c r="L819" s="5">
        <f>775 / 86400</f>
        <v>8.9699074074074073E-3</v>
      </c>
    </row>
    <row r="820" spans="1:12" x14ac:dyDescent="0.25">
      <c r="A820" s="3">
        <v>45700.741956018523</v>
      </c>
      <c r="B820" t="s">
        <v>286</v>
      </c>
      <c r="C820" s="3">
        <v>45700.890439814815</v>
      </c>
      <c r="D820" t="s">
        <v>185</v>
      </c>
      <c r="E820" s="4">
        <v>53.006999999999998</v>
      </c>
      <c r="F820" s="4">
        <v>78735.960000000006</v>
      </c>
      <c r="G820" s="4">
        <v>78788.967000000004</v>
      </c>
      <c r="H820" s="5">
        <f>4482 / 86400</f>
        <v>5.1874999999999998E-2</v>
      </c>
      <c r="I820" t="s">
        <v>97</v>
      </c>
      <c r="J820" t="s">
        <v>20</v>
      </c>
      <c r="K820" s="5">
        <f>12829 / 86400</f>
        <v>0.14848379629629629</v>
      </c>
      <c r="L820" s="5">
        <f>280 / 86400</f>
        <v>3.2407407407407406E-3</v>
      </c>
    </row>
    <row r="821" spans="1:12" x14ac:dyDescent="0.25">
      <c r="A821" s="3">
        <v>45700.893680555557</v>
      </c>
      <c r="B821" t="s">
        <v>185</v>
      </c>
      <c r="C821" s="3">
        <v>45700.899675925924</v>
      </c>
      <c r="D821" t="s">
        <v>103</v>
      </c>
      <c r="E821" s="4">
        <v>1.0309999999999999</v>
      </c>
      <c r="F821" s="4">
        <v>78788.967000000004</v>
      </c>
      <c r="G821" s="4">
        <v>78789.998000000007</v>
      </c>
      <c r="H821" s="5">
        <f>280 / 86400</f>
        <v>3.2407407407407406E-3</v>
      </c>
      <c r="I821" t="s">
        <v>216</v>
      </c>
      <c r="J821" t="s">
        <v>143</v>
      </c>
      <c r="K821" s="5">
        <f>518 / 86400</f>
        <v>5.9953703703703705E-3</v>
      </c>
      <c r="L821" s="5">
        <f>8667 / 86400</f>
        <v>0.1003125</v>
      </c>
    </row>
    <row r="822" spans="1:12" x14ac:dyDescent="0.25">
      <c r="A822" s="12"/>
      <c r="B822" s="12"/>
      <c r="C822" s="12"/>
      <c r="D822" s="12"/>
      <c r="E822" s="12"/>
      <c r="F822" s="12"/>
      <c r="G822" s="12"/>
      <c r="H822" s="12"/>
      <c r="I822" s="12"/>
      <c r="J822" s="12"/>
    </row>
    <row r="823" spans="1:12" x14ac:dyDescent="0.25">
      <c r="A823" s="12"/>
      <c r="B823" s="12"/>
      <c r="C823" s="12"/>
      <c r="D823" s="12"/>
      <c r="E823" s="12"/>
      <c r="F823" s="12"/>
      <c r="G823" s="12"/>
      <c r="H823" s="12"/>
      <c r="I823" s="12"/>
      <c r="J823" s="12"/>
    </row>
    <row r="824" spans="1:12" s="10" customFormat="1" ht="20.100000000000001" customHeight="1" x14ac:dyDescent="0.35">
      <c r="A824" s="15" t="s">
        <v>351</v>
      </c>
      <c r="B824" s="15"/>
      <c r="C824" s="15"/>
      <c r="D824" s="15"/>
      <c r="E824" s="15"/>
      <c r="F824" s="15"/>
      <c r="G824" s="15"/>
      <c r="H824" s="15"/>
      <c r="I824" s="15"/>
      <c r="J824" s="15"/>
    </row>
    <row r="825" spans="1:12" x14ac:dyDescent="0.25">
      <c r="A825" s="12"/>
      <c r="B825" s="12"/>
      <c r="C825" s="12"/>
      <c r="D825" s="12"/>
      <c r="E825" s="12"/>
      <c r="F825" s="12"/>
      <c r="G825" s="12"/>
      <c r="H825" s="12"/>
      <c r="I825" s="12"/>
      <c r="J825" s="12"/>
    </row>
    <row r="826" spans="1:12" ht="30" x14ac:dyDescent="0.25">
      <c r="A826" s="2" t="s">
        <v>6</v>
      </c>
      <c r="B826" s="2" t="s">
        <v>7</v>
      </c>
      <c r="C826" s="2" t="s">
        <v>8</v>
      </c>
      <c r="D826" s="2" t="s">
        <v>9</v>
      </c>
      <c r="E826" s="2" t="s">
        <v>10</v>
      </c>
      <c r="F826" s="2" t="s">
        <v>11</v>
      </c>
      <c r="G826" s="2" t="s">
        <v>12</v>
      </c>
      <c r="H826" s="2" t="s">
        <v>13</v>
      </c>
      <c r="I826" s="2" t="s">
        <v>14</v>
      </c>
      <c r="J826" s="2" t="s">
        <v>15</v>
      </c>
      <c r="K826" s="2" t="s">
        <v>16</v>
      </c>
      <c r="L826" s="2" t="s">
        <v>17</v>
      </c>
    </row>
    <row r="827" spans="1:12" x14ac:dyDescent="0.25">
      <c r="A827" s="3">
        <v>45700</v>
      </c>
      <c r="B827" t="s">
        <v>104</v>
      </c>
      <c r="C827" s="3">
        <v>45700.003900462965</v>
      </c>
      <c r="D827" t="s">
        <v>87</v>
      </c>
      <c r="E827" s="4">
        <v>3.1179999999999999</v>
      </c>
      <c r="F827" s="4">
        <v>40038.510999999999</v>
      </c>
      <c r="G827" s="4">
        <v>40041.629000000001</v>
      </c>
      <c r="H827" s="5">
        <f>60 / 86400</f>
        <v>6.9444444444444447E-4</v>
      </c>
      <c r="I827" t="s">
        <v>159</v>
      </c>
      <c r="J827" t="s">
        <v>146</v>
      </c>
      <c r="K827" s="5">
        <f>337 / 86400</f>
        <v>3.9004629629629628E-3</v>
      </c>
      <c r="L827" s="5">
        <f>620 / 86400</f>
        <v>7.1759259259259259E-3</v>
      </c>
    </row>
    <row r="828" spans="1:12" x14ac:dyDescent="0.25">
      <c r="A828" s="3">
        <v>45700.011076388888</v>
      </c>
      <c r="B828" t="s">
        <v>154</v>
      </c>
      <c r="C828" s="3">
        <v>45700.012384259258</v>
      </c>
      <c r="D828" t="s">
        <v>154</v>
      </c>
      <c r="E828" s="4">
        <v>5.1999999999999998E-2</v>
      </c>
      <c r="F828" s="4">
        <v>40041.629000000001</v>
      </c>
      <c r="G828" s="4">
        <v>40041.680999999997</v>
      </c>
      <c r="H828" s="5">
        <f>31 / 86400</f>
        <v>3.5879629629629629E-4</v>
      </c>
      <c r="I828" t="s">
        <v>143</v>
      </c>
      <c r="J828" t="s">
        <v>128</v>
      </c>
      <c r="K828" s="5">
        <f>113 / 86400</f>
        <v>1.3078703703703703E-3</v>
      </c>
      <c r="L828" s="5">
        <f>1762 / 86400</f>
        <v>2.0393518518518519E-2</v>
      </c>
    </row>
    <row r="829" spans="1:12" x14ac:dyDescent="0.25">
      <c r="A829" s="3">
        <v>45700.032777777778</v>
      </c>
      <c r="B829" t="s">
        <v>154</v>
      </c>
      <c r="C829" s="3">
        <v>45700.039467592593</v>
      </c>
      <c r="D829" t="s">
        <v>287</v>
      </c>
      <c r="E829" s="4">
        <v>3.411</v>
      </c>
      <c r="F829" s="4">
        <v>40041.680999999997</v>
      </c>
      <c r="G829" s="4">
        <v>40045.091999999997</v>
      </c>
      <c r="H829" s="5">
        <f>89 / 86400</f>
        <v>1.0300925925925926E-3</v>
      </c>
      <c r="I829" t="s">
        <v>288</v>
      </c>
      <c r="J829" t="s">
        <v>124</v>
      </c>
      <c r="K829" s="5">
        <f>578 / 86400</f>
        <v>6.6898148148148151E-3</v>
      </c>
      <c r="L829" s="5">
        <f>19244 / 86400</f>
        <v>0.22273148148148147</v>
      </c>
    </row>
    <row r="830" spans="1:12" x14ac:dyDescent="0.25">
      <c r="A830" s="3">
        <v>45700.262199074074</v>
      </c>
      <c r="B830" t="s">
        <v>287</v>
      </c>
      <c r="C830" s="3">
        <v>45700.265532407408</v>
      </c>
      <c r="D830" t="s">
        <v>166</v>
      </c>
      <c r="E830" s="4">
        <v>0.32400000000000001</v>
      </c>
      <c r="F830" s="4">
        <v>40045.091999999997</v>
      </c>
      <c r="G830" s="4">
        <v>40045.415999999997</v>
      </c>
      <c r="H830" s="5">
        <f>90 / 86400</f>
        <v>1.0416666666666667E-3</v>
      </c>
      <c r="I830" t="s">
        <v>148</v>
      </c>
      <c r="J830" t="s">
        <v>133</v>
      </c>
      <c r="K830" s="5">
        <f>288 / 86400</f>
        <v>3.3333333333333335E-3</v>
      </c>
      <c r="L830" s="5">
        <f>26973 / 86400</f>
        <v>0.31218750000000001</v>
      </c>
    </row>
    <row r="831" spans="1:12" x14ac:dyDescent="0.25">
      <c r="A831" s="3">
        <v>45700.577719907407</v>
      </c>
      <c r="B831" t="s">
        <v>166</v>
      </c>
      <c r="C831" s="3">
        <v>45700.583414351851</v>
      </c>
      <c r="D831" t="s">
        <v>32</v>
      </c>
      <c r="E831" s="4">
        <v>1.4059999999999999</v>
      </c>
      <c r="F831" s="4">
        <v>40045.415999999997</v>
      </c>
      <c r="G831" s="4">
        <v>40046.822</v>
      </c>
      <c r="H831" s="5">
        <f>180 / 86400</f>
        <v>2.0833333333333333E-3</v>
      </c>
      <c r="I831" t="s">
        <v>173</v>
      </c>
      <c r="J831" t="s">
        <v>164</v>
      </c>
      <c r="K831" s="5">
        <f>492 / 86400</f>
        <v>5.6944444444444447E-3</v>
      </c>
      <c r="L831" s="5">
        <f>227 / 86400</f>
        <v>2.627314814814815E-3</v>
      </c>
    </row>
    <row r="832" spans="1:12" x14ac:dyDescent="0.25">
      <c r="A832" s="3">
        <v>45700.586041666669</v>
      </c>
      <c r="B832" t="s">
        <v>32</v>
      </c>
      <c r="C832" s="3">
        <v>45700.594201388885</v>
      </c>
      <c r="D832" t="s">
        <v>229</v>
      </c>
      <c r="E832" s="4">
        <v>3.871</v>
      </c>
      <c r="F832" s="4">
        <v>40046.822</v>
      </c>
      <c r="G832" s="4">
        <v>40050.692999999999</v>
      </c>
      <c r="H832" s="5">
        <f>120 / 86400</f>
        <v>1.3888888888888889E-3</v>
      </c>
      <c r="I832" t="s">
        <v>157</v>
      </c>
      <c r="J832" t="s">
        <v>70</v>
      </c>
      <c r="K832" s="5">
        <f>705 / 86400</f>
        <v>8.1597222222222227E-3</v>
      </c>
      <c r="L832" s="5">
        <f>1744 / 86400</f>
        <v>2.0185185185185184E-2</v>
      </c>
    </row>
    <row r="833" spans="1:12" x14ac:dyDescent="0.25">
      <c r="A833" s="3">
        <v>45700.614386574074</v>
      </c>
      <c r="B833" t="s">
        <v>229</v>
      </c>
      <c r="C833" s="3">
        <v>45700.619386574079</v>
      </c>
      <c r="D833" t="s">
        <v>32</v>
      </c>
      <c r="E833" s="4">
        <v>3.282</v>
      </c>
      <c r="F833" s="4">
        <v>40050.692999999999</v>
      </c>
      <c r="G833" s="4">
        <v>40053.974999999999</v>
      </c>
      <c r="H833" s="5">
        <f>31 / 86400</f>
        <v>3.5879629629629629E-4</v>
      </c>
      <c r="I833" t="s">
        <v>289</v>
      </c>
      <c r="J833" t="s">
        <v>200</v>
      </c>
      <c r="K833" s="5">
        <f>432 / 86400</f>
        <v>5.0000000000000001E-3</v>
      </c>
      <c r="L833" s="5">
        <f>76 / 86400</f>
        <v>8.7962962962962962E-4</v>
      </c>
    </row>
    <row r="834" spans="1:12" x14ac:dyDescent="0.25">
      <c r="A834" s="3">
        <v>45700.620266203703</v>
      </c>
      <c r="B834" t="s">
        <v>32</v>
      </c>
      <c r="C834" s="3">
        <v>45700.99998842593</v>
      </c>
      <c r="D834" t="s">
        <v>94</v>
      </c>
      <c r="E834" s="4">
        <v>158.61699999999999</v>
      </c>
      <c r="F834" s="4">
        <v>40053.974999999999</v>
      </c>
      <c r="G834" s="4">
        <v>40212.591999999997</v>
      </c>
      <c r="H834" s="5">
        <f>9788 / 86400</f>
        <v>0.11328703703703703</v>
      </c>
      <c r="I834" t="s">
        <v>65</v>
      </c>
      <c r="J834" t="s">
        <v>28</v>
      </c>
      <c r="K834" s="5">
        <f>32808 / 86400</f>
        <v>0.37972222222222224</v>
      </c>
      <c r="L834" s="5">
        <f>0 / 86400</f>
        <v>0</v>
      </c>
    </row>
    <row r="835" spans="1:12" x14ac:dyDescent="0.25">
      <c r="A835" s="12"/>
      <c r="B835" s="12"/>
      <c r="C835" s="12"/>
      <c r="D835" s="12"/>
      <c r="E835" s="12"/>
      <c r="F835" s="12"/>
      <c r="G835" s="12"/>
      <c r="H835" s="12"/>
      <c r="I835" s="12"/>
      <c r="J835" s="12"/>
    </row>
    <row r="836" spans="1:12" x14ac:dyDescent="0.25">
      <c r="A836" s="12"/>
      <c r="B836" s="12"/>
      <c r="C836" s="12"/>
      <c r="D836" s="12"/>
      <c r="E836" s="12"/>
      <c r="F836" s="12"/>
      <c r="G836" s="12"/>
      <c r="H836" s="12"/>
      <c r="I836" s="12"/>
      <c r="J836" s="12"/>
    </row>
    <row r="837" spans="1:12" s="10" customFormat="1" ht="20.100000000000001" customHeight="1" x14ac:dyDescent="0.35">
      <c r="A837" s="15" t="s">
        <v>352</v>
      </c>
      <c r="B837" s="15"/>
      <c r="C837" s="15"/>
      <c r="D837" s="15"/>
      <c r="E837" s="15"/>
      <c r="F837" s="15"/>
      <c r="G837" s="15"/>
      <c r="H837" s="15"/>
      <c r="I837" s="15"/>
      <c r="J837" s="15"/>
    </row>
    <row r="838" spans="1:12" x14ac:dyDescent="0.25">
      <c r="A838" s="12"/>
      <c r="B838" s="12"/>
      <c r="C838" s="12"/>
      <c r="D838" s="12"/>
      <c r="E838" s="12"/>
      <c r="F838" s="12"/>
      <c r="G838" s="12"/>
      <c r="H838" s="12"/>
      <c r="I838" s="12"/>
      <c r="J838" s="12"/>
    </row>
    <row r="839" spans="1:12" ht="30" x14ac:dyDescent="0.25">
      <c r="A839" s="2" t="s">
        <v>6</v>
      </c>
      <c r="B839" s="2" t="s">
        <v>7</v>
      </c>
      <c r="C839" s="2" t="s">
        <v>8</v>
      </c>
      <c r="D839" s="2" t="s">
        <v>9</v>
      </c>
      <c r="E839" s="2" t="s">
        <v>10</v>
      </c>
      <c r="F839" s="2" t="s">
        <v>11</v>
      </c>
      <c r="G839" s="2" t="s">
        <v>12</v>
      </c>
      <c r="H839" s="2" t="s">
        <v>13</v>
      </c>
      <c r="I839" s="2" t="s">
        <v>14</v>
      </c>
      <c r="J839" s="2" t="s">
        <v>15</v>
      </c>
      <c r="K839" s="2" t="s">
        <v>16</v>
      </c>
      <c r="L839" s="2" t="s">
        <v>17</v>
      </c>
    </row>
    <row r="840" spans="1:12" x14ac:dyDescent="0.25">
      <c r="A840" s="3">
        <v>45700.267824074079</v>
      </c>
      <c r="B840" t="s">
        <v>105</v>
      </c>
      <c r="C840" s="3">
        <v>45700.329212962963</v>
      </c>
      <c r="D840" t="s">
        <v>138</v>
      </c>
      <c r="E840" s="4">
        <v>35.128</v>
      </c>
      <c r="F840" s="4">
        <v>191907.908</v>
      </c>
      <c r="G840" s="4">
        <v>191943.03599999999</v>
      </c>
      <c r="H840" s="5">
        <f>839 / 86400</f>
        <v>9.7106481481481488E-3</v>
      </c>
      <c r="I840" t="s">
        <v>33</v>
      </c>
      <c r="J840" t="s">
        <v>176</v>
      </c>
      <c r="K840" s="5">
        <f>5303 / 86400</f>
        <v>6.1377314814814815E-2</v>
      </c>
      <c r="L840" s="5">
        <f>23284 / 86400</f>
        <v>0.26949074074074075</v>
      </c>
    </row>
    <row r="841" spans="1:12" x14ac:dyDescent="0.25">
      <c r="A841" s="3">
        <v>45700.330879629633</v>
      </c>
      <c r="B841" t="s">
        <v>138</v>
      </c>
      <c r="C841" s="3">
        <v>45700.330891203703</v>
      </c>
      <c r="D841" t="s">
        <v>138</v>
      </c>
      <c r="E841" s="4">
        <v>0</v>
      </c>
      <c r="F841" s="4">
        <v>191943.03599999999</v>
      </c>
      <c r="G841" s="4">
        <v>191943.03599999999</v>
      </c>
      <c r="H841" s="5">
        <f>0 / 86400</f>
        <v>0</v>
      </c>
      <c r="I841" t="s">
        <v>42</v>
      </c>
      <c r="J841" t="s">
        <v>42</v>
      </c>
      <c r="K841" s="5">
        <f>1 / 86400</f>
        <v>1.1574074074074073E-5</v>
      </c>
      <c r="L841" s="5">
        <f>1949 / 86400</f>
        <v>2.255787037037037E-2</v>
      </c>
    </row>
    <row r="842" spans="1:12" x14ac:dyDescent="0.25">
      <c r="A842" s="3">
        <v>45700.353449074071</v>
      </c>
      <c r="B842" t="s">
        <v>138</v>
      </c>
      <c r="C842" s="3">
        <v>45700.492696759262</v>
      </c>
      <c r="D842" t="s">
        <v>274</v>
      </c>
      <c r="E842" s="4">
        <v>51.014000000000003</v>
      </c>
      <c r="F842" s="4">
        <v>191943.03599999999</v>
      </c>
      <c r="G842" s="4">
        <v>191994.05</v>
      </c>
      <c r="H842" s="5">
        <f>4137 / 86400</f>
        <v>4.7881944444444442E-2</v>
      </c>
      <c r="I842" t="s">
        <v>33</v>
      </c>
      <c r="J842" t="s">
        <v>20</v>
      </c>
      <c r="K842" s="5">
        <f>12031 / 86400</f>
        <v>0.13924768518518518</v>
      </c>
      <c r="L842" s="5">
        <f>368 / 86400</f>
        <v>4.2592592592592595E-3</v>
      </c>
    </row>
    <row r="843" spans="1:12" x14ac:dyDescent="0.25">
      <c r="A843" s="3">
        <v>45700.49695601852</v>
      </c>
      <c r="B843" t="s">
        <v>274</v>
      </c>
      <c r="C843" s="3">
        <v>45700.635462962964</v>
      </c>
      <c r="D843" t="s">
        <v>43</v>
      </c>
      <c r="E843" s="4">
        <v>50.356000000000002</v>
      </c>
      <c r="F843" s="4">
        <v>191994.05</v>
      </c>
      <c r="G843" s="4">
        <v>192044.40599999999</v>
      </c>
      <c r="H843" s="5">
        <f>3500 / 86400</f>
        <v>4.0509259259259259E-2</v>
      </c>
      <c r="I843" t="s">
        <v>159</v>
      </c>
      <c r="J843" t="s">
        <v>20</v>
      </c>
      <c r="K843" s="5">
        <f>11966 / 86400</f>
        <v>0.13849537037037038</v>
      </c>
      <c r="L843" s="5">
        <f>3564 / 86400</f>
        <v>4.1250000000000002E-2</v>
      </c>
    </row>
    <row r="844" spans="1:12" x14ac:dyDescent="0.25">
      <c r="A844" s="3">
        <v>45700.676712962959</v>
      </c>
      <c r="B844" t="s">
        <v>43</v>
      </c>
      <c r="C844" s="3">
        <v>45700.680335648147</v>
      </c>
      <c r="D844" t="s">
        <v>62</v>
      </c>
      <c r="E844" s="4">
        <v>1.04</v>
      </c>
      <c r="F844" s="4">
        <v>192044.40599999999</v>
      </c>
      <c r="G844" s="4">
        <v>192045.446</v>
      </c>
      <c r="H844" s="5">
        <f>20 / 86400</f>
        <v>2.3148148148148149E-4</v>
      </c>
      <c r="I844" t="s">
        <v>200</v>
      </c>
      <c r="J844" t="s">
        <v>55</v>
      </c>
      <c r="K844" s="5">
        <f>313 / 86400</f>
        <v>3.6226851851851854E-3</v>
      </c>
      <c r="L844" s="5">
        <f>11 / 86400</f>
        <v>1.273148148148148E-4</v>
      </c>
    </row>
    <row r="845" spans="1:12" x14ac:dyDescent="0.25">
      <c r="A845" s="3">
        <v>45700.680462962962</v>
      </c>
      <c r="B845" t="s">
        <v>62</v>
      </c>
      <c r="C845" s="3">
        <v>45700.811168981483</v>
      </c>
      <c r="D845" t="s">
        <v>276</v>
      </c>
      <c r="E845" s="4">
        <v>47.029000000000003</v>
      </c>
      <c r="F845" s="4">
        <v>192045.446</v>
      </c>
      <c r="G845" s="4">
        <v>192092.47500000001</v>
      </c>
      <c r="H845" s="5">
        <f>3479 / 86400</f>
        <v>4.0266203703703707E-2</v>
      </c>
      <c r="I845" t="s">
        <v>258</v>
      </c>
      <c r="J845" t="s">
        <v>20</v>
      </c>
      <c r="K845" s="5">
        <f>11292 / 86400</f>
        <v>0.13069444444444445</v>
      </c>
      <c r="L845" s="5">
        <f>68 / 86400</f>
        <v>7.8703703703703705E-4</v>
      </c>
    </row>
    <row r="846" spans="1:12" x14ac:dyDescent="0.25">
      <c r="A846" s="3">
        <v>45700.811956018515</v>
      </c>
      <c r="B846" t="s">
        <v>261</v>
      </c>
      <c r="C846" s="3">
        <v>45700.99998842593</v>
      </c>
      <c r="D846" t="s">
        <v>106</v>
      </c>
      <c r="E846" s="4">
        <v>73.561999999999998</v>
      </c>
      <c r="F846" s="4">
        <v>192092.47500000001</v>
      </c>
      <c r="G846" s="4">
        <v>192166.03700000001</v>
      </c>
      <c r="H846" s="5">
        <f>4142 / 86400</f>
        <v>4.7939814814814817E-2</v>
      </c>
      <c r="I846" t="s">
        <v>97</v>
      </c>
      <c r="J846" t="s">
        <v>34</v>
      </c>
      <c r="K846" s="5">
        <f>16246 / 86400</f>
        <v>0.1880324074074074</v>
      </c>
      <c r="L846" s="5">
        <f>0 / 86400</f>
        <v>0</v>
      </c>
    </row>
    <row r="847" spans="1:12" x14ac:dyDescent="0.25">
      <c r="A847" s="12"/>
      <c r="B847" s="12"/>
      <c r="C847" s="12"/>
      <c r="D847" s="12"/>
      <c r="E847" s="12"/>
      <c r="F847" s="12"/>
      <c r="G847" s="12"/>
      <c r="H847" s="12"/>
      <c r="I847" s="12"/>
      <c r="J847" s="12"/>
    </row>
    <row r="848" spans="1:12" x14ac:dyDescent="0.25">
      <c r="A848" s="12"/>
      <c r="B848" s="12"/>
      <c r="C848" s="12"/>
      <c r="D848" s="12"/>
      <c r="E848" s="12"/>
      <c r="F848" s="12"/>
      <c r="G848" s="12"/>
      <c r="H848" s="12"/>
      <c r="I848" s="12"/>
      <c r="J848" s="12"/>
    </row>
    <row r="849" spans="1:12" s="10" customFormat="1" ht="20.100000000000001" customHeight="1" x14ac:dyDescent="0.35">
      <c r="A849" s="15" t="s">
        <v>353</v>
      </c>
      <c r="B849" s="15"/>
      <c r="C849" s="15"/>
      <c r="D849" s="15"/>
      <c r="E849" s="15"/>
      <c r="F849" s="15"/>
      <c r="G849" s="15"/>
      <c r="H849" s="15"/>
      <c r="I849" s="15"/>
      <c r="J849" s="15"/>
    </row>
    <row r="850" spans="1:12" x14ac:dyDescent="0.25">
      <c r="A850" s="12"/>
      <c r="B850" s="12"/>
      <c r="C850" s="12"/>
      <c r="D850" s="12"/>
      <c r="E850" s="12"/>
      <c r="F850" s="12"/>
      <c r="G850" s="12"/>
      <c r="H850" s="12"/>
      <c r="I850" s="12"/>
      <c r="J850" s="12"/>
    </row>
    <row r="851" spans="1:12" ht="30" x14ac:dyDescent="0.25">
      <c r="A851" s="2" t="s">
        <v>6</v>
      </c>
      <c r="B851" s="2" t="s">
        <v>7</v>
      </c>
      <c r="C851" s="2" t="s">
        <v>8</v>
      </c>
      <c r="D851" s="2" t="s">
        <v>9</v>
      </c>
      <c r="E851" s="2" t="s">
        <v>10</v>
      </c>
      <c r="F851" s="2" t="s">
        <v>11</v>
      </c>
      <c r="G851" s="2" t="s">
        <v>12</v>
      </c>
      <c r="H851" s="2" t="s">
        <v>13</v>
      </c>
      <c r="I851" s="2" t="s">
        <v>14</v>
      </c>
      <c r="J851" s="2" t="s">
        <v>15</v>
      </c>
      <c r="K851" s="2" t="s">
        <v>16</v>
      </c>
      <c r="L851" s="2" t="s">
        <v>17</v>
      </c>
    </row>
    <row r="852" spans="1:12" x14ac:dyDescent="0.25">
      <c r="A852" s="3">
        <v>45700</v>
      </c>
      <c r="B852" t="s">
        <v>62</v>
      </c>
      <c r="C852" s="3">
        <v>45700.013958333337</v>
      </c>
      <c r="D852" t="s">
        <v>90</v>
      </c>
      <c r="E852" s="4">
        <v>0.25600000000000001</v>
      </c>
      <c r="F852" s="4">
        <v>522541.50400000002</v>
      </c>
      <c r="G852" s="4">
        <v>522541.76</v>
      </c>
      <c r="H852" s="5">
        <f>1000 / 86400</f>
        <v>1.1574074074074073E-2</v>
      </c>
      <c r="I852" t="s">
        <v>39</v>
      </c>
      <c r="J852" t="s">
        <v>150</v>
      </c>
      <c r="K852" s="5">
        <f>1206 / 86400</f>
        <v>1.3958333333333333E-2</v>
      </c>
      <c r="L852" s="5">
        <f>16342 / 86400</f>
        <v>0.18914351851851852</v>
      </c>
    </row>
    <row r="853" spans="1:12" x14ac:dyDescent="0.25">
      <c r="A853" s="3">
        <v>45700.203101851846</v>
      </c>
      <c r="B853" t="s">
        <v>90</v>
      </c>
      <c r="C853" s="3">
        <v>45700.44295138889</v>
      </c>
      <c r="D853" t="s">
        <v>62</v>
      </c>
      <c r="E853" s="4">
        <v>101.398</v>
      </c>
      <c r="F853" s="4">
        <v>522541.76</v>
      </c>
      <c r="G853" s="4">
        <v>522643.158</v>
      </c>
      <c r="H853" s="5">
        <f>6759 / 86400</f>
        <v>7.8229166666666669E-2</v>
      </c>
      <c r="I853" t="s">
        <v>108</v>
      </c>
      <c r="J853" t="s">
        <v>31</v>
      </c>
      <c r="K853" s="5">
        <f>20722 / 86400</f>
        <v>0.23983796296296298</v>
      </c>
      <c r="L853" s="5">
        <f>496 / 86400</f>
        <v>5.7407407407407407E-3</v>
      </c>
    </row>
    <row r="854" spans="1:12" x14ac:dyDescent="0.25">
      <c r="A854" s="3">
        <v>45700.448692129634</v>
      </c>
      <c r="B854" t="s">
        <v>62</v>
      </c>
      <c r="C854" s="3">
        <v>45700.451354166667</v>
      </c>
      <c r="D854" t="s">
        <v>197</v>
      </c>
      <c r="E854" s="4">
        <v>0.71299999999999997</v>
      </c>
      <c r="F854" s="4">
        <v>522643.158</v>
      </c>
      <c r="G854" s="4">
        <v>522643.87099999998</v>
      </c>
      <c r="H854" s="5">
        <f>40 / 86400</f>
        <v>4.6296296296296298E-4</v>
      </c>
      <c r="I854" t="s">
        <v>208</v>
      </c>
      <c r="J854" t="s">
        <v>126</v>
      </c>
      <c r="K854" s="5">
        <f>230 / 86400</f>
        <v>2.662037037037037E-3</v>
      </c>
      <c r="L854" s="5">
        <f>3625 / 86400</f>
        <v>4.1956018518518517E-2</v>
      </c>
    </row>
    <row r="855" spans="1:12" x14ac:dyDescent="0.25">
      <c r="A855" s="3">
        <v>45700.493310185186</v>
      </c>
      <c r="B855" t="s">
        <v>197</v>
      </c>
      <c r="C855" s="3">
        <v>45700.769016203703</v>
      </c>
      <c r="D855" t="s">
        <v>62</v>
      </c>
      <c r="E855" s="4">
        <v>103.036</v>
      </c>
      <c r="F855" s="4">
        <v>522643.87099999998</v>
      </c>
      <c r="G855" s="4">
        <v>522746.90700000001</v>
      </c>
      <c r="H855" s="5">
        <f>9295 / 86400</f>
        <v>0.10758101851851852</v>
      </c>
      <c r="I855" t="s">
        <v>74</v>
      </c>
      <c r="J855" t="s">
        <v>34</v>
      </c>
      <c r="K855" s="5">
        <f>23820 / 86400</f>
        <v>0.27569444444444446</v>
      </c>
      <c r="L855" s="5">
        <f>934 / 86400</f>
        <v>1.0810185185185185E-2</v>
      </c>
    </row>
    <row r="856" spans="1:12" x14ac:dyDescent="0.25">
      <c r="A856" s="3">
        <v>45700.779826388884</v>
      </c>
      <c r="B856" t="s">
        <v>62</v>
      </c>
      <c r="C856" s="3">
        <v>45700.99998842593</v>
      </c>
      <c r="D856" t="s">
        <v>107</v>
      </c>
      <c r="E856" s="4">
        <v>98.448999999999998</v>
      </c>
      <c r="F856" s="4">
        <v>522746.90700000001</v>
      </c>
      <c r="G856" s="4">
        <v>522845.35600000003</v>
      </c>
      <c r="H856" s="5">
        <f>4999 / 86400</f>
        <v>5.7858796296296297E-2</v>
      </c>
      <c r="I856" t="s">
        <v>155</v>
      </c>
      <c r="J856" t="s">
        <v>23</v>
      </c>
      <c r="K856" s="5">
        <f>19022 / 86400</f>
        <v>0.22016203703703704</v>
      </c>
      <c r="L856" s="5">
        <f>0 / 86400</f>
        <v>0</v>
      </c>
    </row>
    <row r="857" spans="1:12" x14ac:dyDescent="0.25">
      <c r="A857" s="12"/>
      <c r="B857" s="12"/>
      <c r="C857" s="12"/>
      <c r="D857" s="12"/>
      <c r="E857" s="12"/>
      <c r="F857" s="12"/>
      <c r="G857" s="12"/>
      <c r="H857" s="12"/>
      <c r="I857" s="12"/>
      <c r="J857" s="12"/>
    </row>
    <row r="858" spans="1:12" x14ac:dyDescent="0.25">
      <c r="A858" s="12"/>
      <c r="B858" s="12"/>
      <c r="C858" s="12"/>
      <c r="D858" s="12"/>
      <c r="E858" s="12"/>
      <c r="F858" s="12"/>
      <c r="G858" s="12"/>
      <c r="H858" s="12"/>
      <c r="I858" s="12"/>
      <c r="J858" s="12"/>
    </row>
    <row r="859" spans="1:12" s="10" customFormat="1" ht="20.100000000000001" customHeight="1" x14ac:dyDescent="0.35">
      <c r="A859" s="15" t="s">
        <v>354</v>
      </c>
      <c r="B859" s="15"/>
      <c r="C859" s="15"/>
      <c r="D859" s="15"/>
      <c r="E859" s="15"/>
      <c r="F859" s="15"/>
      <c r="G859" s="15"/>
      <c r="H859" s="15"/>
      <c r="I859" s="15"/>
      <c r="J859" s="15"/>
    </row>
    <row r="860" spans="1:12" x14ac:dyDescent="0.25">
      <c r="A860" s="12"/>
      <c r="B860" s="12"/>
      <c r="C860" s="12"/>
      <c r="D860" s="12"/>
      <c r="E860" s="12"/>
      <c r="F860" s="12"/>
      <c r="G860" s="12"/>
      <c r="H860" s="12"/>
      <c r="I860" s="12"/>
      <c r="J860" s="12"/>
    </row>
    <row r="861" spans="1:12" ht="30" x14ac:dyDescent="0.25">
      <c r="A861" s="2" t="s">
        <v>6</v>
      </c>
      <c r="B861" s="2" t="s">
        <v>7</v>
      </c>
      <c r="C861" s="2" t="s">
        <v>8</v>
      </c>
      <c r="D861" s="2" t="s">
        <v>9</v>
      </c>
      <c r="E861" s="2" t="s">
        <v>10</v>
      </c>
      <c r="F861" s="2" t="s">
        <v>11</v>
      </c>
      <c r="G861" s="2" t="s">
        <v>12</v>
      </c>
      <c r="H861" s="2" t="s">
        <v>13</v>
      </c>
      <c r="I861" s="2" t="s">
        <v>14</v>
      </c>
      <c r="J861" s="2" t="s">
        <v>15</v>
      </c>
      <c r="K861" s="2" t="s">
        <v>16</v>
      </c>
      <c r="L861" s="2" t="s">
        <v>17</v>
      </c>
    </row>
    <row r="862" spans="1:12" x14ac:dyDescent="0.25">
      <c r="A862" s="3">
        <v>45700.271261574075</v>
      </c>
      <c r="B862" t="s">
        <v>109</v>
      </c>
      <c r="C862" s="3">
        <v>45700.275509259256</v>
      </c>
      <c r="D862" t="s">
        <v>107</v>
      </c>
      <c r="E862" s="4">
        <v>1.1859999999999999</v>
      </c>
      <c r="F862" s="4">
        <v>22783.260999999999</v>
      </c>
      <c r="G862" s="4">
        <v>22784.447</v>
      </c>
      <c r="H862" s="5">
        <f>19 / 86400</f>
        <v>2.199074074074074E-4</v>
      </c>
      <c r="I862" t="s">
        <v>140</v>
      </c>
      <c r="J862" t="s">
        <v>55</v>
      </c>
      <c r="K862" s="5">
        <f>367 / 86400</f>
        <v>4.2476851851851851E-3</v>
      </c>
      <c r="L862" s="5">
        <f>24174 / 86400</f>
        <v>0.27979166666666666</v>
      </c>
    </row>
    <row r="863" spans="1:12" x14ac:dyDescent="0.25">
      <c r="A863" s="3">
        <v>45700.284039351856</v>
      </c>
      <c r="B863" t="s">
        <v>107</v>
      </c>
      <c r="C863" s="3">
        <v>45700.330543981487</v>
      </c>
      <c r="D863" t="s">
        <v>104</v>
      </c>
      <c r="E863" s="4">
        <v>19.454999999999998</v>
      </c>
      <c r="F863" s="4">
        <v>22784.447</v>
      </c>
      <c r="G863" s="4">
        <v>22803.901999999998</v>
      </c>
      <c r="H863" s="5">
        <f>1618 / 86400</f>
        <v>1.8726851851851852E-2</v>
      </c>
      <c r="I863" t="s">
        <v>30</v>
      </c>
      <c r="J863" t="s">
        <v>28</v>
      </c>
      <c r="K863" s="5">
        <f>4018 / 86400</f>
        <v>4.6504629629629632E-2</v>
      </c>
      <c r="L863" s="5">
        <f>811 / 86400</f>
        <v>9.3865740740740732E-3</v>
      </c>
    </row>
    <row r="864" spans="1:12" x14ac:dyDescent="0.25">
      <c r="A864" s="3">
        <v>45700.33993055555</v>
      </c>
      <c r="B864" t="s">
        <v>104</v>
      </c>
      <c r="C864" s="3">
        <v>45700.340219907404</v>
      </c>
      <c r="D864" t="s">
        <v>104</v>
      </c>
      <c r="E864" s="4">
        <v>0</v>
      </c>
      <c r="F864" s="4">
        <v>22803.901999999998</v>
      </c>
      <c r="G864" s="4">
        <v>22803.901999999998</v>
      </c>
      <c r="H864" s="5">
        <f>19 / 86400</f>
        <v>2.199074074074074E-4</v>
      </c>
      <c r="I864" t="s">
        <v>42</v>
      </c>
      <c r="J864" t="s">
        <v>42</v>
      </c>
      <c r="K864" s="5">
        <f>24 / 86400</f>
        <v>2.7777777777777778E-4</v>
      </c>
      <c r="L864" s="5">
        <f>9361 / 86400</f>
        <v>0.1083449074074074</v>
      </c>
    </row>
    <row r="865" spans="1:12" x14ac:dyDescent="0.25">
      <c r="A865" s="3">
        <v>45700.448564814811</v>
      </c>
      <c r="B865" t="s">
        <v>104</v>
      </c>
      <c r="C865" s="3">
        <v>45700.487905092596</v>
      </c>
      <c r="D865" t="s">
        <v>98</v>
      </c>
      <c r="E865" s="4">
        <v>19.131</v>
      </c>
      <c r="F865" s="4">
        <v>22803.901999999998</v>
      </c>
      <c r="G865" s="4">
        <v>22823.032999999999</v>
      </c>
      <c r="H865" s="5">
        <f>979 / 86400</f>
        <v>1.1331018518518518E-2</v>
      </c>
      <c r="I865" t="s">
        <v>153</v>
      </c>
      <c r="J865" t="s">
        <v>70</v>
      </c>
      <c r="K865" s="5">
        <f>3398 / 86400</f>
        <v>3.9328703703703706E-2</v>
      </c>
      <c r="L865" s="5">
        <f>429 / 86400</f>
        <v>4.9652777777777777E-3</v>
      </c>
    </row>
    <row r="866" spans="1:12" x14ac:dyDescent="0.25">
      <c r="A866" s="3">
        <v>45700.49287037037</v>
      </c>
      <c r="B866" t="s">
        <v>98</v>
      </c>
      <c r="C866" s="3">
        <v>45700.495335648149</v>
      </c>
      <c r="D866" t="s">
        <v>90</v>
      </c>
      <c r="E866" s="4">
        <v>0.379</v>
      </c>
      <c r="F866" s="4">
        <v>22823.032999999999</v>
      </c>
      <c r="G866" s="4">
        <v>22823.412</v>
      </c>
      <c r="H866" s="5">
        <f>80 / 86400</f>
        <v>9.2592592592592596E-4</v>
      </c>
      <c r="I866" t="s">
        <v>142</v>
      </c>
      <c r="J866" t="s">
        <v>131</v>
      </c>
      <c r="K866" s="5">
        <f>213 / 86400</f>
        <v>2.4652777777777776E-3</v>
      </c>
      <c r="L866" s="5">
        <f>15705 / 86400</f>
        <v>0.18177083333333333</v>
      </c>
    </row>
    <row r="867" spans="1:12" x14ac:dyDescent="0.25">
      <c r="A867" s="3">
        <v>45700.677106481482</v>
      </c>
      <c r="B867" t="s">
        <v>90</v>
      </c>
      <c r="C867" s="3">
        <v>45700.681099537032</v>
      </c>
      <c r="D867" t="s">
        <v>62</v>
      </c>
      <c r="E867" s="4">
        <v>0.503</v>
      </c>
      <c r="F867" s="4">
        <v>22823.412</v>
      </c>
      <c r="G867" s="4">
        <v>22823.915000000001</v>
      </c>
      <c r="H867" s="5">
        <f>159 / 86400</f>
        <v>1.8402777777777777E-3</v>
      </c>
      <c r="I867" t="s">
        <v>70</v>
      </c>
      <c r="J867" t="s">
        <v>149</v>
      </c>
      <c r="K867" s="5">
        <f>345 / 86400</f>
        <v>3.9930555555555552E-3</v>
      </c>
      <c r="L867" s="5">
        <f>870 / 86400</f>
        <v>1.0069444444444445E-2</v>
      </c>
    </row>
    <row r="868" spans="1:12" x14ac:dyDescent="0.25">
      <c r="A868" s="3">
        <v>45700.691168981481</v>
      </c>
      <c r="B868" t="s">
        <v>107</v>
      </c>
      <c r="C868" s="3">
        <v>45700.701423611114</v>
      </c>
      <c r="D868" t="s">
        <v>21</v>
      </c>
      <c r="E868" s="4">
        <v>0.65200000000000002</v>
      </c>
      <c r="F868" s="4">
        <v>22823.915000000001</v>
      </c>
      <c r="G868" s="4">
        <v>22824.566999999999</v>
      </c>
      <c r="H868" s="5">
        <f>698 / 86400</f>
        <v>8.0787037037037043E-3</v>
      </c>
      <c r="I868" t="s">
        <v>144</v>
      </c>
      <c r="J868" t="s">
        <v>77</v>
      </c>
      <c r="K868" s="5">
        <f>886 / 86400</f>
        <v>1.0254629629629629E-2</v>
      </c>
      <c r="L868" s="5">
        <f>94 / 86400</f>
        <v>1.0879629629629629E-3</v>
      </c>
    </row>
    <row r="869" spans="1:12" x14ac:dyDescent="0.25">
      <c r="A869" s="3">
        <v>45700.702511574069</v>
      </c>
      <c r="B869" t="s">
        <v>21</v>
      </c>
      <c r="C869" s="3">
        <v>45700.709270833337</v>
      </c>
      <c r="D869" t="s">
        <v>109</v>
      </c>
      <c r="E869" s="4">
        <v>1.8560000000000001</v>
      </c>
      <c r="F869" s="4">
        <v>22824.566999999999</v>
      </c>
      <c r="G869" s="4">
        <v>22826.422999999999</v>
      </c>
      <c r="H869" s="5">
        <f>120 / 86400</f>
        <v>1.3888888888888889E-3</v>
      </c>
      <c r="I869" t="s">
        <v>167</v>
      </c>
      <c r="J869" t="s">
        <v>126</v>
      </c>
      <c r="K869" s="5">
        <f>583 / 86400</f>
        <v>6.7476851851851856E-3</v>
      </c>
      <c r="L869" s="5">
        <f>25118 / 86400</f>
        <v>0.29071759259259261</v>
      </c>
    </row>
    <row r="870" spans="1:12" x14ac:dyDescent="0.25">
      <c r="A870" s="12"/>
      <c r="B870" s="12"/>
      <c r="C870" s="12"/>
      <c r="D870" s="12"/>
      <c r="E870" s="12"/>
      <c r="F870" s="12"/>
      <c r="G870" s="12"/>
      <c r="H870" s="12"/>
      <c r="I870" s="12"/>
      <c r="J870" s="12"/>
    </row>
    <row r="871" spans="1:12" x14ac:dyDescent="0.25">
      <c r="A871" s="12"/>
      <c r="B871" s="12"/>
      <c r="C871" s="12"/>
      <c r="D871" s="12"/>
      <c r="E871" s="12"/>
      <c r="F871" s="12"/>
      <c r="G871" s="12"/>
      <c r="H871" s="12"/>
      <c r="I871" s="12"/>
      <c r="J871" s="12"/>
    </row>
    <row r="872" spans="1:12" s="10" customFormat="1" ht="20.100000000000001" customHeight="1" x14ac:dyDescent="0.35">
      <c r="A872" s="15" t="s">
        <v>355</v>
      </c>
      <c r="B872" s="15"/>
      <c r="C872" s="15"/>
      <c r="D872" s="15"/>
      <c r="E872" s="15"/>
      <c r="F872" s="15"/>
      <c r="G872" s="15"/>
      <c r="H872" s="15"/>
      <c r="I872" s="15"/>
      <c r="J872" s="15"/>
    </row>
    <row r="873" spans="1:12" x14ac:dyDescent="0.25">
      <c r="A873" s="12"/>
      <c r="B873" s="12"/>
      <c r="C873" s="12"/>
      <c r="D873" s="12"/>
      <c r="E873" s="12"/>
      <c r="F873" s="12"/>
      <c r="G873" s="12"/>
      <c r="H873" s="12"/>
      <c r="I873" s="12"/>
      <c r="J873" s="12"/>
    </row>
    <row r="874" spans="1:12" ht="30" x14ac:dyDescent="0.25">
      <c r="A874" s="2" t="s">
        <v>6</v>
      </c>
      <c r="B874" s="2" t="s">
        <v>7</v>
      </c>
      <c r="C874" s="2" t="s">
        <v>8</v>
      </c>
      <c r="D874" s="2" t="s">
        <v>9</v>
      </c>
      <c r="E874" s="2" t="s">
        <v>10</v>
      </c>
      <c r="F874" s="2" t="s">
        <v>11</v>
      </c>
      <c r="G874" s="2" t="s">
        <v>12</v>
      </c>
      <c r="H874" s="2" t="s">
        <v>13</v>
      </c>
      <c r="I874" s="2" t="s">
        <v>14</v>
      </c>
      <c r="J874" s="2" t="s">
        <v>15</v>
      </c>
      <c r="K874" s="2" t="s">
        <v>16</v>
      </c>
      <c r="L874" s="2" t="s">
        <v>17</v>
      </c>
    </row>
    <row r="875" spans="1:12" x14ac:dyDescent="0.25">
      <c r="A875" s="3">
        <v>45700.209907407407</v>
      </c>
      <c r="B875" t="s">
        <v>32</v>
      </c>
      <c r="C875" s="3">
        <v>45700.422986111109</v>
      </c>
      <c r="D875" t="s">
        <v>62</v>
      </c>
      <c r="E875" s="4">
        <v>80.432000000000002</v>
      </c>
      <c r="F875" s="4">
        <v>63838.898999999998</v>
      </c>
      <c r="G875" s="4">
        <v>63919.330999999998</v>
      </c>
      <c r="H875" s="5">
        <f>7378 / 86400</f>
        <v>8.5393518518518521E-2</v>
      </c>
      <c r="I875" t="s">
        <v>53</v>
      </c>
      <c r="J875" t="s">
        <v>34</v>
      </c>
      <c r="K875" s="5">
        <f>18410 / 86400</f>
        <v>0.21307870370370371</v>
      </c>
      <c r="L875" s="5">
        <f>18330 / 86400</f>
        <v>0.21215277777777777</v>
      </c>
    </row>
    <row r="876" spans="1:12" x14ac:dyDescent="0.25">
      <c r="A876" s="3">
        <v>45700.42523148148</v>
      </c>
      <c r="B876" t="s">
        <v>62</v>
      </c>
      <c r="C876" s="3">
        <v>45700.425925925927</v>
      </c>
      <c r="D876" t="s">
        <v>62</v>
      </c>
      <c r="E876" s="4">
        <v>1.6E-2</v>
      </c>
      <c r="F876" s="4">
        <v>63919.330999999998</v>
      </c>
      <c r="G876" s="4">
        <v>63919.347000000002</v>
      </c>
      <c r="H876" s="5">
        <f>39 / 86400</f>
        <v>4.5138888888888887E-4</v>
      </c>
      <c r="I876" t="s">
        <v>42</v>
      </c>
      <c r="J876" t="s">
        <v>150</v>
      </c>
      <c r="K876" s="5">
        <f>59 / 86400</f>
        <v>6.8287037037037036E-4</v>
      </c>
      <c r="L876" s="5">
        <f>2133 / 86400</f>
        <v>2.4687500000000001E-2</v>
      </c>
    </row>
    <row r="877" spans="1:12" x14ac:dyDescent="0.25">
      <c r="A877" s="3">
        <v>45700.450613425928</v>
      </c>
      <c r="B877" t="s">
        <v>62</v>
      </c>
      <c r="C877" s="3">
        <v>45700.456539351857</v>
      </c>
      <c r="D877" t="s">
        <v>138</v>
      </c>
      <c r="E877" s="4">
        <v>1.391</v>
      </c>
      <c r="F877" s="4">
        <v>63919.347000000002</v>
      </c>
      <c r="G877" s="4">
        <v>63920.737999999998</v>
      </c>
      <c r="H877" s="5">
        <f>119 / 86400</f>
        <v>1.3773148148148147E-3</v>
      </c>
      <c r="I877" t="s">
        <v>216</v>
      </c>
      <c r="J877" t="s">
        <v>164</v>
      </c>
      <c r="K877" s="5">
        <f>511 / 86400</f>
        <v>5.9143518518518521E-3</v>
      </c>
      <c r="L877" s="5">
        <f>736 / 86400</f>
        <v>8.518518518518519E-3</v>
      </c>
    </row>
    <row r="878" spans="1:12" x14ac:dyDescent="0.25">
      <c r="A878" s="3">
        <v>45700.465057870373</v>
      </c>
      <c r="B878" t="s">
        <v>138</v>
      </c>
      <c r="C878" s="3">
        <v>45700.667476851857</v>
      </c>
      <c r="D878" t="s">
        <v>32</v>
      </c>
      <c r="E878" s="4">
        <v>83.456999999999994</v>
      </c>
      <c r="F878" s="4">
        <v>63920.737999999998</v>
      </c>
      <c r="G878" s="4">
        <v>64004.195</v>
      </c>
      <c r="H878" s="5">
        <f>5940 / 86400</f>
        <v>6.8750000000000006E-2</v>
      </c>
      <c r="I878" t="s">
        <v>58</v>
      </c>
      <c r="J878" t="s">
        <v>28</v>
      </c>
      <c r="K878" s="5">
        <f>17489 / 86400</f>
        <v>0.20241898148148149</v>
      </c>
      <c r="L878" s="5">
        <f>274 / 86400</f>
        <v>3.1712962962962962E-3</v>
      </c>
    </row>
    <row r="879" spans="1:12" x14ac:dyDescent="0.25">
      <c r="A879" s="3">
        <v>45700.670648148152</v>
      </c>
      <c r="B879" t="s">
        <v>32</v>
      </c>
      <c r="C879" s="3">
        <v>45700.676412037035</v>
      </c>
      <c r="D879" t="s">
        <v>32</v>
      </c>
      <c r="E879" s="4">
        <v>1.3839999999999999</v>
      </c>
      <c r="F879" s="4">
        <v>64004.195</v>
      </c>
      <c r="G879" s="4">
        <v>64005.578999999998</v>
      </c>
      <c r="H879" s="5">
        <f>260 / 86400</f>
        <v>3.0092592592592593E-3</v>
      </c>
      <c r="I879" t="s">
        <v>290</v>
      </c>
      <c r="J879" t="s">
        <v>164</v>
      </c>
      <c r="K879" s="5">
        <f>497 / 86400</f>
        <v>5.7523148148148151E-3</v>
      </c>
      <c r="L879" s="5">
        <f>27957 / 86400</f>
        <v>0.3235763888888889</v>
      </c>
    </row>
    <row r="880" spans="1:12" x14ac:dyDescent="0.25">
      <c r="A880" s="12"/>
      <c r="B880" s="12"/>
      <c r="C880" s="12"/>
      <c r="D880" s="12"/>
      <c r="E880" s="12"/>
      <c r="F880" s="12"/>
      <c r="G880" s="12"/>
      <c r="H880" s="12"/>
      <c r="I880" s="12"/>
      <c r="J880" s="12"/>
    </row>
    <row r="881" spans="1:12" x14ac:dyDescent="0.25">
      <c r="A881" s="12"/>
      <c r="B881" s="12"/>
      <c r="C881" s="12"/>
      <c r="D881" s="12"/>
      <c r="E881" s="12"/>
      <c r="F881" s="12"/>
      <c r="G881" s="12"/>
      <c r="H881" s="12"/>
      <c r="I881" s="12"/>
      <c r="J881" s="12"/>
    </row>
    <row r="882" spans="1:12" s="10" customFormat="1" ht="20.100000000000001" customHeight="1" x14ac:dyDescent="0.35">
      <c r="A882" s="15" t="s">
        <v>356</v>
      </c>
      <c r="B882" s="15"/>
      <c r="C882" s="15"/>
      <c r="D882" s="15"/>
      <c r="E882" s="15"/>
      <c r="F882" s="15"/>
      <c r="G882" s="15"/>
      <c r="H882" s="15"/>
      <c r="I882" s="15"/>
      <c r="J882" s="15"/>
    </row>
    <row r="883" spans="1:12" x14ac:dyDescent="0.25">
      <c r="A883" s="12"/>
      <c r="B883" s="12"/>
      <c r="C883" s="12"/>
      <c r="D883" s="12"/>
      <c r="E883" s="12"/>
      <c r="F883" s="12"/>
      <c r="G883" s="12"/>
      <c r="H883" s="12"/>
      <c r="I883" s="12"/>
      <c r="J883" s="12"/>
    </row>
    <row r="884" spans="1:12" ht="30" x14ac:dyDescent="0.25">
      <c r="A884" s="2" t="s">
        <v>6</v>
      </c>
      <c r="B884" s="2" t="s">
        <v>7</v>
      </c>
      <c r="C884" s="2" t="s">
        <v>8</v>
      </c>
      <c r="D884" s="2" t="s">
        <v>9</v>
      </c>
      <c r="E884" s="2" t="s">
        <v>10</v>
      </c>
      <c r="F884" s="2" t="s">
        <v>11</v>
      </c>
      <c r="G884" s="2" t="s">
        <v>12</v>
      </c>
      <c r="H884" s="2" t="s">
        <v>13</v>
      </c>
      <c r="I884" s="2" t="s">
        <v>14</v>
      </c>
      <c r="J884" s="2" t="s">
        <v>15</v>
      </c>
      <c r="K884" s="2" t="s">
        <v>16</v>
      </c>
      <c r="L884" s="2" t="s">
        <v>17</v>
      </c>
    </row>
    <row r="885" spans="1:12" x14ac:dyDescent="0.25">
      <c r="A885" s="3">
        <v>45700.266550925924</v>
      </c>
      <c r="B885" t="s">
        <v>63</v>
      </c>
      <c r="C885" s="3">
        <v>45700.334780092591</v>
      </c>
      <c r="D885" t="s">
        <v>135</v>
      </c>
      <c r="E885" s="4">
        <v>35.082000000000001</v>
      </c>
      <c r="F885" s="4">
        <v>5271.4780000000001</v>
      </c>
      <c r="G885" s="4">
        <v>5306.56</v>
      </c>
      <c r="H885" s="5">
        <f>1218 / 86400</f>
        <v>1.4097222222222223E-2</v>
      </c>
      <c r="I885" t="s">
        <v>184</v>
      </c>
      <c r="J885" t="s">
        <v>124</v>
      </c>
      <c r="K885" s="5">
        <f>5895 / 86400</f>
        <v>6.822916666666666E-2</v>
      </c>
      <c r="L885" s="5">
        <f>23565 / 86400</f>
        <v>0.27274305555555556</v>
      </c>
    </row>
    <row r="886" spans="1:12" x14ac:dyDescent="0.25">
      <c r="A886" s="3">
        <v>45700.34097222222</v>
      </c>
      <c r="B886" t="s">
        <v>135</v>
      </c>
      <c r="C886" s="3">
        <v>45700.600972222222</v>
      </c>
      <c r="D886" t="s">
        <v>185</v>
      </c>
      <c r="E886" s="4">
        <v>100.271</v>
      </c>
      <c r="F886" s="4">
        <v>5306.56</v>
      </c>
      <c r="G886" s="4">
        <v>5406.8310000000001</v>
      </c>
      <c r="H886" s="5">
        <f>6999 / 86400</f>
        <v>8.1006944444444451E-2</v>
      </c>
      <c r="I886" t="s">
        <v>51</v>
      </c>
      <c r="J886" t="s">
        <v>34</v>
      </c>
      <c r="K886" s="5">
        <f>22463 / 86400</f>
        <v>0.25998842592592591</v>
      </c>
      <c r="L886" s="5">
        <f>213 / 86400</f>
        <v>2.4652777777777776E-3</v>
      </c>
    </row>
    <row r="887" spans="1:12" x14ac:dyDescent="0.25">
      <c r="A887" s="3">
        <v>45700.603437500002</v>
      </c>
      <c r="B887" t="s">
        <v>185</v>
      </c>
      <c r="C887" s="3">
        <v>45700.606238425928</v>
      </c>
      <c r="D887" t="s">
        <v>197</v>
      </c>
      <c r="E887" s="4">
        <v>0.85499999999999998</v>
      </c>
      <c r="F887" s="4">
        <v>5406.8310000000001</v>
      </c>
      <c r="G887" s="4">
        <v>5407.6859999999997</v>
      </c>
      <c r="H887" s="5">
        <f>40 / 86400</f>
        <v>4.6296296296296298E-4</v>
      </c>
      <c r="I887" t="s">
        <v>216</v>
      </c>
      <c r="J887" t="s">
        <v>46</v>
      </c>
      <c r="K887" s="5">
        <f>242 / 86400</f>
        <v>2.8009259259259259E-3</v>
      </c>
      <c r="L887" s="5">
        <f>674 / 86400</f>
        <v>7.8009259259259256E-3</v>
      </c>
    </row>
    <row r="888" spans="1:12" x14ac:dyDescent="0.25">
      <c r="A888" s="3">
        <v>45700.614039351851</v>
      </c>
      <c r="B888" t="s">
        <v>197</v>
      </c>
      <c r="C888" s="3">
        <v>45700.679166666669</v>
      </c>
      <c r="D888" t="s">
        <v>129</v>
      </c>
      <c r="E888" s="4">
        <v>34.546999999999997</v>
      </c>
      <c r="F888" s="4">
        <v>5407.6859999999997</v>
      </c>
      <c r="G888" s="4">
        <v>5442.2330000000002</v>
      </c>
      <c r="H888" s="5">
        <f>1279 / 86400</f>
        <v>1.480324074074074E-2</v>
      </c>
      <c r="I888" t="s">
        <v>184</v>
      </c>
      <c r="J888" t="s">
        <v>134</v>
      </c>
      <c r="K888" s="5">
        <f>5627 / 86400</f>
        <v>6.5127314814814818E-2</v>
      </c>
      <c r="L888" s="5">
        <f>145 / 86400</f>
        <v>1.6782407407407408E-3</v>
      </c>
    </row>
    <row r="889" spans="1:12" x14ac:dyDescent="0.25">
      <c r="A889" s="3">
        <v>45700.680844907409</v>
      </c>
      <c r="B889" t="s">
        <v>129</v>
      </c>
      <c r="C889" s="3">
        <v>45700.683344907404</v>
      </c>
      <c r="D889" t="s">
        <v>18</v>
      </c>
      <c r="E889" s="4">
        <v>0.48899999999999999</v>
      </c>
      <c r="F889" s="4">
        <v>5442.2330000000002</v>
      </c>
      <c r="G889" s="4">
        <v>5442.7219999999998</v>
      </c>
      <c r="H889" s="5">
        <f>80 / 86400</f>
        <v>9.2592592592592596E-4</v>
      </c>
      <c r="I889" t="s">
        <v>70</v>
      </c>
      <c r="J889" t="s">
        <v>148</v>
      </c>
      <c r="K889" s="5">
        <f>216 / 86400</f>
        <v>2.5000000000000001E-3</v>
      </c>
      <c r="L889" s="5">
        <f>14608 / 86400</f>
        <v>0.16907407407407407</v>
      </c>
    </row>
    <row r="890" spans="1:12" x14ac:dyDescent="0.25">
      <c r="A890" s="3">
        <v>45700.852418981478</v>
      </c>
      <c r="B890" t="s">
        <v>18</v>
      </c>
      <c r="C890" s="3">
        <v>45700.857291666667</v>
      </c>
      <c r="D890" t="s">
        <v>63</v>
      </c>
      <c r="E890" s="4">
        <v>0.40400000000000003</v>
      </c>
      <c r="F890" s="4">
        <v>5442.7219999999998</v>
      </c>
      <c r="G890" s="4">
        <v>5443.1260000000002</v>
      </c>
      <c r="H890" s="5">
        <f>239 / 86400</f>
        <v>2.7662037037037039E-3</v>
      </c>
      <c r="I890" t="s">
        <v>164</v>
      </c>
      <c r="J890" t="s">
        <v>77</v>
      </c>
      <c r="K890" s="5">
        <f>420 / 86400</f>
        <v>4.8611111111111112E-3</v>
      </c>
      <c r="L890" s="5">
        <f>55 / 86400</f>
        <v>6.3657407407407413E-4</v>
      </c>
    </row>
    <row r="891" spans="1:12" x14ac:dyDescent="0.25">
      <c r="A891" s="3">
        <v>45700.857928240745</v>
      </c>
      <c r="B891" t="s">
        <v>63</v>
      </c>
      <c r="C891" s="3">
        <v>45700.865891203706</v>
      </c>
      <c r="D891" t="s">
        <v>63</v>
      </c>
      <c r="E891" s="4">
        <v>1.367</v>
      </c>
      <c r="F891" s="4">
        <v>5443.1260000000002</v>
      </c>
      <c r="G891" s="4">
        <v>5444.4930000000004</v>
      </c>
      <c r="H891" s="5">
        <f>199 / 86400</f>
        <v>2.3032407407407407E-3</v>
      </c>
      <c r="I891" t="s">
        <v>70</v>
      </c>
      <c r="J891" t="s">
        <v>143</v>
      </c>
      <c r="K891" s="5">
        <f>688 / 86400</f>
        <v>7.9629629629629634E-3</v>
      </c>
      <c r="L891" s="5">
        <f>11586 / 86400</f>
        <v>0.13409722222222223</v>
      </c>
    </row>
    <row r="892" spans="1:12" x14ac:dyDescent="0.25">
      <c r="A892" s="12"/>
      <c r="B892" s="12"/>
      <c r="C892" s="12"/>
      <c r="D892" s="12"/>
      <c r="E892" s="12"/>
      <c r="F892" s="12"/>
      <c r="G892" s="12"/>
      <c r="H892" s="12"/>
      <c r="I892" s="12"/>
      <c r="J892" s="12"/>
    </row>
    <row r="893" spans="1:12" x14ac:dyDescent="0.25">
      <c r="A893" s="12"/>
      <c r="B893" s="12"/>
      <c r="C893" s="12"/>
      <c r="D893" s="12"/>
      <c r="E893" s="12"/>
      <c r="F893" s="12"/>
      <c r="G893" s="12"/>
      <c r="H893" s="12"/>
      <c r="I893" s="12"/>
      <c r="J893" s="12"/>
    </row>
    <row r="894" spans="1:12" s="10" customFormat="1" ht="20.100000000000001" customHeight="1" x14ac:dyDescent="0.35">
      <c r="A894" s="15" t="s">
        <v>357</v>
      </c>
      <c r="B894" s="15"/>
      <c r="C894" s="15"/>
      <c r="D894" s="15"/>
      <c r="E894" s="15"/>
      <c r="F894" s="15"/>
      <c r="G894" s="15"/>
      <c r="H894" s="15"/>
      <c r="I894" s="15"/>
      <c r="J894" s="15"/>
    </row>
    <row r="895" spans="1:12" x14ac:dyDescent="0.25">
      <c r="A895" s="12"/>
      <c r="B895" s="12"/>
      <c r="C895" s="12"/>
      <c r="D895" s="12"/>
      <c r="E895" s="12"/>
      <c r="F895" s="12"/>
      <c r="G895" s="12"/>
      <c r="H895" s="12"/>
      <c r="I895" s="12"/>
      <c r="J895" s="12"/>
    </row>
    <row r="896" spans="1:12" ht="30" x14ac:dyDescent="0.25">
      <c r="A896" s="2" t="s">
        <v>6</v>
      </c>
      <c r="B896" s="2" t="s">
        <v>7</v>
      </c>
      <c r="C896" s="2" t="s">
        <v>8</v>
      </c>
      <c r="D896" s="2" t="s">
        <v>9</v>
      </c>
      <c r="E896" s="2" t="s">
        <v>10</v>
      </c>
      <c r="F896" s="2" t="s">
        <v>11</v>
      </c>
      <c r="G896" s="2" t="s">
        <v>12</v>
      </c>
      <c r="H896" s="2" t="s">
        <v>13</v>
      </c>
      <c r="I896" s="2" t="s">
        <v>14</v>
      </c>
      <c r="J896" s="2" t="s">
        <v>15</v>
      </c>
      <c r="K896" s="2" t="s">
        <v>16</v>
      </c>
      <c r="L896" s="2" t="s">
        <v>17</v>
      </c>
    </row>
    <row r="897" spans="1:12" x14ac:dyDescent="0.25">
      <c r="A897" s="3">
        <v>45700.220312500001</v>
      </c>
      <c r="B897" t="s">
        <v>29</v>
      </c>
      <c r="C897" s="3">
        <v>45700.222997685181</v>
      </c>
      <c r="D897" t="s">
        <v>29</v>
      </c>
      <c r="E897" s="4">
        <v>0.129</v>
      </c>
      <c r="F897" s="4">
        <v>407803.59899999999</v>
      </c>
      <c r="G897" s="4">
        <v>407803.728</v>
      </c>
      <c r="H897" s="5">
        <f>159 / 86400</f>
        <v>1.8402777777777777E-3</v>
      </c>
      <c r="I897" t="s">
        <v>137</v>
      </c>
      <c r="J897" t="s">
        <v>128</v>
      </c>
      <c r="K897" s="5">
        <f>231 / 86400</f>
        <v>2.673611111111111E-3</v>
      </c>
      <c r="L897" s="5">
        <f>29723 / 86400</f>
        <v>0.34401620370370373</v>
      </c>
    </row>
    <row r="898" spans="1:12" x14ac:dyDescent="0.25">
      <c r="A898" s="3">
        <v>45700.346701388888</v>
      </c>
      <c r="B898" t="s">
        <v>29</v>
      </c>
      <c r="C898" s="3">
        <v>45700.347511574073</v>
      </c>
      <c r="D898" t="s">
        <v>29</v>
      </c>
      <c r="E898" s="4">
        <v>6.0000000000000001E-3</v>
      </c>
      <c r="F898" s="4">
        <v>407803.728</v>
      </c>
      <c r="G898" s="4">
        <v>407803.734</v>
      </c>
      <c r="H898" s="5">
        <f>59 / 86400</f>
        <v>6.8287037037037036E-4</v>
      </c>
      <c r="I898" t="s">
        <v>42</v>
      </c>
      <c r="J898" t="s">
        <v>42</v>
      </c>
      <c r="K898" s="5">
        <f>70 / 86400</f>
        <v>8.1018518518518516E-4</v>
      </c>
      <c r="L898" s="5">
        <f>15440 / 86400</f>
        <v>0.1787037037037037</v>
      </c>
    </row>
    <row r="899" spans="1:12" x14ac:dyDescent="0.25">
      <c r="A899" s="3">
        <v>45700.52621527778</v>
      </c>
      <c r="B899" t="s">
        <v>29</v>
      </c>
      <c r="C899" s="3">
        <v>45700.534652777773</v>
      </c>
      <c r="D899" t="s">
        <v>291</v>
      </c>
      <c r="E899" s="4">
        <v>0.85199999999999998</v>
      </c>
      <c r="F899" s="4">
        <v>407803.734</v>
      </c>
      <c r="G899" s="4">
        <v>407804.58600000001</v>
      </c>
      <c r="H899" s="5">
        <f>499 / 86400</f>
        <v>5.7754629629629631E-3</v>
      </c>
      <c r="I899" t="s">
        <v>144</v>
      </c>
      <c r="J899" t="s">
        <v>133</v>
      </c>
      <c r="K899" s="5">
        <f>728 / 86400</f>
        <v>8.4259259259259253E-3</v>
      </c>
      <c r="L899" s="5">
        <f>737 / 86400</f>
        <v>8.5300925925925926E-3</v>
      </c>
    </row>
    <row r="900" spans="1:12" x14ac:dyDescent="0.25">
      <c r="A900" s="3">
        <v>45700.543182870373</v>
      </c>
      <c r="B900" t="s">
        <v>291</v>
      </c>
      <c r="C900" s="3">
        <v>45700.543229166666</v>
      </c>
      <c r="D900" t="s">
        <v>291</v>
      </c>
      <c r="E900" s="4">
        <v>0</v>
      </c>
      <c r="F900" s="4">
        <v>407804.58600000001</v>
      </c>
      <c r="G900" s="4">
        <v>407804.58600000001</v>
      </c>
      <c r="H900" s="5">
        <f>0 / 86400</f>
        <v>0</v>
      </c>
      <c r="I900" t="s">
        <v>42</v>
      </c>
      <c r="J900" t="s">
        <v>42</v>
      </c>
      <c r="K900" s="5">
        <f>4 / 86400</f>
        <v>4.6296296296296294E-5</v>
      </c>
      <c r="L900" s="5">
        <f>282 / 86400</f>
        <v>3.2638888888888891E-3</v>
      </c>
    </row>
    <row r="901" spans="1:12" x14ac:dyDescent="0.25">
      <c r="A901" s="3">
        <v>45700.546493055561</v>
      </c>
      <c r="B901" t="s">
        <v>291</v>
      </c>
      <c r="C901" s="3">
        <v>45700.549664351856</v>
      </c>
      <c r="D901" t="s">
        <v>154</v>
      </c>
      <c r="E901" s="4">
        <v>1.6659999999999999</v>
      </c>
      <c r="F901" s="4">
        <v>407804.58600000001</v>
      </c>
      <c r="G901" s="4">
        <v>407806.25199999998</v>
      </c>
      <c r="H901" s="5">
        <f>40 / 86400</f>
        <v>4.6296296296296298E-4</v>
      </c>
      <c r="I901" t="s">
        <v>162</v>
      </c>
      <c r="J901" t="s">
        <v>134</v>
      </c>
      <c r="K901" s="5">
        <f>274 / 86400</f>
        <v>3.1712962962962962E-3</v>
      </c>
      <c r="L901" s="5">
        <f>552 / 86400</f>
        <v>6.3888888888888893E-3</v>
      </c>
    </row>
    <row r="902" spans="1:12" x14ac:dyDescent="0.25">
      <c r="A902" s="3">
        <v>45700.55605324074</v>
      </c>
      <c r="B902" t="s">
        <v>154</v>
      </c>
      <c r="C902" s="3">
        <v>45700.602268518516</v>
      </c>
      <c r="D902" t="s">
        <v>92</v>
      </c>
      <c r="E902" s="4">
        <v>22.477</v>
      </c>
      <c r="F902" s="4">
        <v>407806.25199999998</v>
      </c>
      <c r="G902" s="4">
        <v>407828.72899999999</v>
      </c>
      <c r="H902" s="5">
        <f>1124 / 86400</f>
        <v>1.3009259259259259E-2</v>
      </c>
      <c r="I902" t="s">
        <v>180</v>
      </c>
      <c r="J902" t="s">
        <v>70</v>
      </c>
      <c r="K902" s="5">
        <f>3992 / 86400</f>
        <v>4.6203703703703705E-2</v>
      </c>
      <c r="L902" s="5">
        <f>5310 / 86400</f>
        <v>6.145833333333333E-2</v>
      </c>
    </row>
    <row r="903" spans="1:12" x14ac:dyDescent="0.25">
      <c r="A903" s="3">
        <v>45700.663726851853</v>
      </c>
      <c r="B903" t="s">
        <v>92</v>
      </c>
      <c r="C903" s="3">
        <v>45700.66783564815</v>
      </c>
      <c r="D903" t="s">
        <v>187</v>
      </c>
      <c r="E903" s="4">
        <v>0.125</v>
      </c>
      <c r="F903" s="4">
        <v>407828.72899999999</v>
      </c>
      <c r="G903" s="4">
        <v>407828.85399999999</v>
      </c>
      <c r="H903" s="5">
        <f>219 / 86400</f>
        <v>2.5347222222222221E-3</v>
      </c>
      <c r="I903" t="s">
        <v>131</v>
      </c>
      <c r="J903" t="s">
        <v>150</v>
      </c>
      <c r="K903" s="5">
        <f>355 / 86400</f>
        <v>4.1087962962962962E-3</v>
      </c>
      <c r="L903" s="5">
        <f>206 / 86400</f>
        <v>2.3842592592592591E-3</v>
      </c>
    </row>
    <row r="904" spans="1:12" x14ac:dyDescent="0.25">
      <c r="A904" s="3">
        <v>45700.670219907406</v>
      </c>
      <c r="B904" t="s">
        <v>187</v>
      </c>
      <c r="C904" s="3">
        <v>45700.674756944441</v>
      </c>
      <c r="D904" t="s">
        <v>107</v>
      </c>
      <c r="E904" s="4">
        <v>0.81399999999999995</v>
      </c>
      <c r="F904" s="4">
        <v>407828.85399999999</v>
      </c>
      <c r="G904" s="4">
        <v>407829.66800000001</v>
      </c>
      <c r="H904" s="5">
        <f>240 / 86400</f>
        <v>2.7777777777777779E-3</v>
      </c>
      <c r="I904" t="s">
        <v>211</v>
      </c>
      <c r="J904" t="s">
        <v>143</v>
      </c>
      <c r="K904" s="5">
        <f>392 / 86400</f>
        <v>4.5370370370370373E-3</v>
      </c>
      <c r="L904" s="5">
        <f>2222 / 86400</f>
        <v>2.5717592592592594E-2</v>
      </c>
    </row>
    <row r="905" spans="1:12" x14ac:dyDescent="0.25">
      <c r="A905" s="3">
        <v>45700.700474537036</v>
      </c>
      <c r="B905" t="s">
        <v>62</v>
      </c>
      <c r="C905" s="3">
        <v>45700.714791666665</v>
      </c>
      <c r="D905" t="s">
        <v>197</v>
      </c>
      <c r="E905" s="4">
        <v>1.724</v>
      </c>
      <c r="F905" s="4">
        <v>407829.66800000001</v>
      </c>
      <c r="G905" s="4">
        <v>407831.39199999999</v>
      </c>
      <c r="H905" s="5">
        <f>799 / 86400</f>
        <v>9.2476851851851852E-3</v>
      </c>
      <c r="I905" t="s">
        <v>216</v>
      </c>
      <c r="J905" t="s">
        <v>149</v>
      </c>
      <c r="K905" s="5">
        <f>1236 / 86400</f>
        <v>1.4305555555555556E-2</v>
      </c>
      <c r="L905" s="5">
        <f>205 / 86400</f>
        <v>2.3726851851851851E-3</v>
      </c>
    </row>
    <row r="906" spans="1:12" x14ac:dyDescent="0.25">
      <c r="A906" s="3">
        <v>45700.717164351852</v>
      </c>
      <c r="B906" t="s">
        <v>197</v>
      </c>
      <c r="C906" s="3">
        <v>45700.717222222222</v>
      </c>
      <c r="D906" t="s">
        <v>197</v>
      </c>
      <c r="E906" s="4">
        <v>0</v>
      </c>
      <c r="F906" s="4">
        <v>407831.39199999999</v>
      </c>
      <c r="G906" s="4">
        <v>407831.39199999999</v>
      </c>
      <c r="H906" s="5">
        <f>0 / 86400</f>
        <v>0</v>
      </c>
      <c r="I906" t="s">
        <v>42</v>
      </c>
      <c r="J906" t="s">
        <v>42</v>
      </c>
      <c r="K906" s="5">
        <f>4 / 86400</f>
        <v>4.6296296296296294E-5</v>
      </c>
      <c r="L906" s="5">
        <f>49 / 86400</f>
        <v>5.6712962962962967E-4</v>
      </c>
    </row>
    <row r="907" spans="1:12" x14ac:dyDescent="0.25">
      <c r="A907" s="3">
        <v>45700.717789351853</v>
      </c>
      <c r="B907" t="s">
        <v>197</v>
      </c>
      <c r="C907" s="3">
        <v>45700.717847222222</v>
      </c>
      <c r="D907" t="s">
        <v>197</v>
      </c>
      <c r="E907" s="4">
        <v>0</v>
      </c>
      <c r="F907" s="4">
        <v>407831.39199999999</v>
      </c>
      <c r="G907" s="4">
        <v>407831.39199999999</v>
      </c>
      <c r="H907" s="5">
        <f>0 / 86400</f>
        <v>0</v>
      </c>
      <c r="I907" t="s">
        <v>42</v>
      </c>
      <c r="J907" t="s">
        <v>42</v>
      </c>
      <c r="K907" s="5">
        <f>4 / 86400</f>
        <v>4.6296296296296294E-5</v>
      </c>
      <c r="L907" s="5">
        <f>63 / 86400</f>
        <v>7.291666666666667E-4</v>
      </c>
    </row>
    <row r="908" spans="1:12" x14ac:dyDescent="0.25">
      <c r="A908" s="3">
        <v>45700.718576388885</v>
      </c>
      <c r="B908" t="s">
        <v>197</v>
      </c>
      <c r="C908" s="3">
        <v>45700.879178240742</v>
      </c>
      <c r="D908" t="s">
        <v>292</v>
      </c>
      <c r="E908" s="4">
        <v>57.954000000000001</v>
      </c>
      <c r="F908" s="4">
        <v>407831.39199999999</v>
      </c>
      <c r="G908" s="4">
        <v>407889.34600000002</v>
      </c>
      <c r="H908" s="5">
        <f>5120 / 86400</f>
        <v>5.9259259259259262E-2</v>
      </c>
      <c r="I908" t="s">
        <v>53</v>
      </c>
      <c r="J908" t="s">
        <v>20</v>
      </c>
      <c r="K908" s="5">
        <f>13875 / 86400</f>
        <v>0.16059027777777779</v>
      </c>
      <c r="L908" s="5">
        <f>165 / 86400</f>
        <v>1.9097222222222222E-3</v>
      </c>
    </row>
    <row r="909" spans="1:12" x14ac:dyDescent="0.25">
      <c r="A909" s="3">
        <v>45700.88108796296</v>
      </c>
      <c r="B909" t="s">
        <v>292</v>
      </c>
      <c r="C909" s="3">
        <v>45700.997025462959</v>
      </c>
      <c r="D909" t="s">
        <v>151</v>
      </c>
      <c r="E909" s="4">
        <v>53.918999999999997</v>
      </c>
      <c r="F909" s="4">
        <v>407889.34600000002</v>
      </c>
      <c r="G909" s="4">
        <v>407943.26500000001</v>
      </c>
      <c r="H909" s="5">
        <f>2320 / 86400</f>
        <v>2.6851851851851852E-2</v>
      </c>
      <c r="I909" t="s">
        <v>97</v>
      </c>
      <c r="J909" t="s">
        <v>23</v>
      </c>
      <c r="K909" s="5">
        <f>10017 / 86400</f>
        <v>0.1159375</v>
      </c>
      <c r="L909" s="5">
        <f>84 / 86400</f>
        <v>9.7222222222222219E-4</v>
      </c>
    </row>
    <row r="910" spans="1:12" x14ac:dyDescent="0.25">
      <c r="A910" s="3">
        <v>45700.99799768519</v>
      </c>
      <c r="B910" t="s">
        <v>151</v>
      </c>
      <c r="C910" s="3">
        <v>45700.99998842593</v>
      </c>
      <c r="D910" t="s">
        <v>80</v>
      </c>
      <c r="E910" s="4">
        <v>6.6000000000000003E-2</v>
      </c>
      <c r="F910" s="4">
        <v>407943.26500000001</v>
      </c>
      <c r="G910" s="4">
        <v>407943.33100000001</v>
      </c>
      <c r="H910" s="5">
        <f>160 / 86400</f>
        <v>1.8518518518518519E-3</v>
      </c>
      <c r="I910" t="s">
        <v>137</v>
      </c>
      <c r="J910" t="s">
        <v>150</v>
      </c>
      <c r="K910" s="5">
        <f>172 / 86400</f>
        <v>1.9907407407407408E-3</v>
      </c>
      <c r="L910" s="5">
        <f>0 / 86400</f>
        <v>0</v>
      </c>
    </row>
    <row r="911" spans="1:12" x14ac:dyDescent="0.25">
      <c r="A911" s="12"/>
      <c r="B911" s="12"/>
      <c r="C911" s="12"/>
      <c r="D911" s="12"/>
      <c r="E911" s="12"/>
      <c r="F911" s="12"/>
      <c r="G911" s="12"/>
      <c r="H911" s="12"/>
      <c r="I911" s="12"/>
      <c r="J911" s="12"/>
    </row>
    <row r="912" spans="1:12" x14ac:dyDescent="0.25">
      <c r="A912" s="12"/>
      <c r="B912" s="12"/>
      <c r="C912" s="12"/>
      <c r="D912" s="12"/>
      <c r="E912" s="12"/>
      <c r="F912" s="12"/>
      <c r="G912" s="12"/>
      <c r="H912" s="12"/>
      <c r="I912" s="12"/>
      <c r="J912" s="12"/>
    </row>
    <row r="913" spans="1:12" s="10" customFormat="1" ht="20.100000000000001" customHeight="1" x14ac:dyDescent="0.35">
      <c r="A913" s="15" t="s">
        <v>358</v>
      </c>
      <c r="B913" s="15"/>
      <c r="C913" s="15"/>
      <c r="D913" s="15"/>
      <c r="E913" s="15"/>
      <c r="F913" s="15"/>
      <c r="G913" s="15"/>
      <c r="H913" s="15"/>
      <c r="I913" s="15"/>
      <c r="J913" s="15"/>
    </row>
    <row r="914" spans="1:12" x14ac:dyDescent="0.25">
      <c r="A914" s="12"/>
      <c r="B914" s="12"/>
      <c r="C914" s="12"/>
      <c r="D914" s="12"/>
      <c r="E914" s="12"/>
      <c r="F914" s="12"/>
      <c r="G914" s="12"/>
      <c r="H914" s="12"/>
      <c r="I914" s="12"/>
      <c r="J914" s="12"/>
    </row>
    <row r="915" spans="1:12" ht="30" x14ac:dyDescent="0.25">
      <c r="A915" s="2" t="s">
        <v>6</v>
      </c>
      <c r="B915" s="2" t="s">
        <v>7</v>
      </c>
      <c r="C915" s="2" t="s">
        <v>8</v>
      </c>
      <c r="D915" s="2" t="s">
        <v>9</v>
      </c>
      <c r="E915" s="2" t="s">
        <v>10</v>
      </c>
      <c r="F915" s="2" t="s">
        <v>11</v>
      </c>
      <c r="G915" s="2" t="s">
        <v>12</v>
      </c>
      <c r="H915" s="2" t="s">
        <v>13</v>
      </c>
      <c r="I915" s="2" t="s">
        <v>14</v>
      </c>
      <c r="J915" s="2" t="s">
        <v>15</v>
      </c>
      <c r="K915" s="2" t="s">
        <v>16</v>
      </c>
      <c r="L915" s="2" t="s">
        <v>17</v>
      </c>
    </row>
    <row r="916" spans="1:12" x14ac:dyDescent="0.25">
      <c r="A916" s="3">
        <v>45700</v>
      </c>
      <c r="B916" t="s">
        <v>110</v>
      </c>
      <c r="C916" s="3">
        <v>45700.054548611108</v>
      </c>
      <c r="D916" t="s">
        <v>87</v>
      </c>
      <c r="E916" s="4">
        <v>31.794</v>
      </c>
      <c r="F916" s="4">
        <v>549727.33499999996</v>
      </c>
      <c r="G916" s="4">
        <v>549759.12899999996</v>
      </c>
      <c r="H916" s="5">
        <f>1080 / 86400</f>
        <v>1.2500000000000001E-2</v>
      </c>
      <c r="I916" t="s">
        <v>112</v>
      </c>
      <c r="J916" t="s">
        <v>176</v>
      </c>
      <c r="K916" s="5">
        <f>4713 / 86400</f>
        <v>5.454861111111111E-2</v>
      </c>
      <c r="L916" s="5">
        <f>374 / 86400</f>
        <v>4.3287037037037035E-3</v>
      </c>
    </row>
    <row r="917" spans="1:12" x14ac:dyDescent="0.25">
      <c r="A917" s="3">
        <v>45700.058877314819</v>
      </c>
      <c r="B917" t="s">
        <v>87</v>
      </c>
      <c r="C917" s="3">
        <v>45700.060567129629</v>
      </c>
      <c r="D917" t="s">
        <v>154</v>
      </c>
      <c r="E917" s="4">
        <v>3.5000000000000003E-2</v>
      </c>
      <c r="F917" s="4">
        <v>549759.12899999996</v>
      </c>
      <c r="G917" s="4">
        <v>549759.16399999999</v>
      </c>
      <c r="H917" s="5">
        <f>119 / 86400</f>
        <v>1.3773148148148147E-3</v>
      </c>
      <c r="I917" t="s">
        <v>131</v>
      </c>
      <c r="J917" t="s">
        <v>150</v>
      </c>
      <c r="K917" s="5">
        <f>145 / 86400</f>
        <v>1.6782407407407408E-3</v>
      </c>
      <c r="L917" s="5">
        <f>1637 / 86400</f>
        <v>1.894675925925926E-2</v>
      </c>
    </row>
    <row r="918" spans="1:12" x14ac:dyDescent="0.25">
      <c r="A918" s="3">
        <v>45700.079513888893</v>
      </c>
      <c r="B918" t="s">
        <v>154</v>
      </c>
      <c r="C918" s="3">
        <v>45700.083275462966</v>
      </c>
      <c r="D918" t="s">
        <v>79</v>
      </c>
      <c r="E918" s="4">
        <v>0.74199999999999999</v>
      </c>
      <c r="F918" s="4">
        <v>549759.16399999999</v>
      </c>
      <c r="G918" s="4">
        <v>549759.90599999996</v>
      </c>
      <c r="H918" s="5">
        <f>99 / 86400</f>
        <v>1.1458333333333333E-3</v>
      </c>
      <c r="I918" t="s">
        <v>189</v>
      </c>
      <c r="J918" t="s">
        <v>148</v>
      </c>
      <c r="K918" s="5">
        <f>324 / 86400</f>
        <v>3.7499999999999999E-3</v>
      </c>
      <c r="L918" s="5">
        <f>13496 / 86400</f>
        <v>0.15620370370370371</v>
      </c>
    </row>
    <row r="919" spans="1:12" x14ac:dyDescent="0.25">
      <c r="A919" s="3">
        <v>45700.239479166667</v>
      </c>
      <c r="B919" t="s">
        <v>79</v>
      </c>
      <c r="C919" s="3">
        <v>45700.442152777774</v>
      </c>
      <c r="D919" t="s">
        <v>138</v>
      </c>
      <c r="E919" s="4">
        <v>89.278000000000006</v>
      </c>
      <c r="F919" s="4">
        <v>549759.90599999996</v>
      </c>
      <c r="G919" s="4">
        <v>549849.18400000001</v>
      </c>
      <c r="H919" s="5">
        <f>4860 / 86400</f>
        <v>5.6250000000000001E-2</v>
      </c>
      <c r="I919" t="s">
        <v>225</v>
      </c>
      <c r="J919" t="s">
        <v>31</v>
      </c>
      <c r="K919" s="5">
        <f>17511 / 86400</f>
        <v>0.20267361111111112</v>
      </c>
      <c r="L919" s="5">
        <f>783 / 86400</f>
        <v>9.0624999999999994E-3</v>
      </c>
    </row>
    <row r="920" spans="1:12" x14ac:dyDescent="0.25">
      <c r="A920" s="3">
        <v>45700.451215277775</v>
      </c>
      <c r="B920" t="s">
        <v>138</v>
      </c>
      <c r="C920" s="3">
        <v>45700.67114583333</v>
      </c>
      <c r="D920" t="s">
        <v>62</v>
      </c>
      <c r="E920" s="4">
        <v>93.688999999999993</v>
      </c>
      <c r="F920" s="4">
        <v>549849.18400000001</v>
      </c>
      <c r="G920" s="4">
        <v>549942.87300000002</v>
      </c>
      <c r="H920" s="5">
        <f>5098 / 86400</f>
        <v>5.9004629629629629E-2</v>
      </c>
      <c r="I920" t="s">
        <v>41</v>
      </c>
      <c r="J920" t="s">
        <v>31</v>
      </c>
      <c r="K920" s="5">
        <f>19001 / 86400</f>
        <v>0.21991898148148148</v>
      </c>
      <c r="L920" s="5">
        <f>360 / 86400</f>
        <v>4.1666666666666666E-3</v>
      </c>
    </row>
    <row r="921" spans="1:12" x14ac:dyDescent="0.25">
      <c r="A921" s="3">
        <v>45700.675312499996</v>
      </c>
      <c r="B921" t="s">
        <v>62</v>
      </c>
      <c r="C921" s="3">
        <v>45700.67664351852</v>
      </c>
      <c r="D921" t="s">
        <v>139</v>
      </c>
      <c r="E921" s="4">
        <v>0.25700000000000001</v>
      </c>
      <c r="F921" s="4">
        <v>549942.87300000002</v>
      </c>
      <c r="G921" s="4">
        <v>549943.13</v>
      </c>
      <c r="H921" s="5">
        <f>20 / 86400</f>
        <v>2.3148148148148149E-4</v>
      </c>
      <c r="I921" t="s">
        <v>23</v>
      </c>
      <c r="J921" t="s">
        <v>148</v>
      </c>
      <c r="K921" s="5">
        <f>114 / 86400</f>
        <v>1.3194444444444445E-3</v>
      </c>
      <c r="L921" s="5">
        <f>1215 / 86400</f>
        <v>1.40625E-2</v>
      </c>
    </row>
    <row r="922" spans="1:12" x14ac:dyDescent="0.25">
      <c r="A922" s="3">
        <v>45700.690706018519</v>
      </c>
      <c r="B922" t="s">
        <v>139</v>
      </c>
      <c r="C922" s="3">
        <v>45700.99998842593</v>
      </c>
      <c r="D922" t="s">
        <v>111</v>
      </c>
      <c r="E922" s="4">
        <v>107.979</v>
      </c>
      <c r="F922" s="4">
        <v>549943.13</v>
      </c>
      <c r="G922" s="4">
        <v>550051.10900000005</v>
      </c>
      <c r="H922" s="5">
        <f>9580 / 86400</f>
        <v>0.11087962962962963</v>
      </c>
      <c r="I922" t="s">
        <v>65</v>
      </c>
      <c r="J922" t="s">
        <v>20</v>
      </c>
      <c r="K922" s="5">
        <f>26722 / 86400</f>
        <v>0.30928240740740742</v>
      </c>
      <c r="L922" s="5">
        <f>0 / 86400</f>
        <v>0</v>
      </c>
    </row>
    <row r="923" spans="1:12" x14ac:dyDescent="0.25">
      <c r="A923" s="12"/>
      <c r="B923" s="12"/>
      <c r="C923" s="12"/>
      <c r="D923" s="12"/>
      <c r="E923" s="12"/>
      <c r="F923" s="12"/>
      <c r="G923" s="12"/>
      <c r="H923" s="12"/>
      <c r="I923" s="12"/>
      <c r="J923" s="12"/>
    </row>
    <row r="924" spans="1:12" x14ac:dyDescent="0.25">
      <c r="A924" s="12"/>
      <c r="B924" s="12"/>
      <c r="C924" s="12"/>
      <c r="D924" s="12"/>
      <c r="E924" s="12"/>
      <c r="F924" s="12"/>
      <c r="G924" s="12"/>
      <c r="H924" s="12"/>
      <c r="I924" s="12"/>
      <c r="J924" s="12"/>
    </row>
    <row r="925" spans="1:12" s="10" customFormat="1" ht="20.100000000000001" customHeight="1" x14ac:dyDescent="0.35">
      <c r="A925" s="15" t="s">
        <v>359</v>
      </c>
      <c r="B925" s="15"/>
      <c r="C925" s="15"/>
      <c r="D925" s="15"/>
      <c r="E925" s="15"/>
      <c r="F925" s="15"/>
      <c r="G925" s="15"/>
      <c r="H925" s="15"/>
      <c r="I925" s="15"/>
      <c r="J925" s="15"/>
    </row>
    <row r="926" spans="1:12" x14ac:dyDescent="0.25">
      <c r="A926" s="12"/>
      <c r="B926" s="12"/>
      <c r="C926" s="12"/>
      <c r="D926" s="12"/>
      <c r="E926" s="12"/>
      <c r="F926" s="12"/>
      <c r="G926" s="12"/>
      <c r="H926" s="12"/>
      <c r="I926" s="12"/>
      <c r="J926" s="12"/>
    </row>
    <row r="927" spans="1:12" ht="30" x14ac:dyDescent="0.25">
      <c r="A927" s="2" t="s">
        <v>6</v>
      </c>
      <c r="B927" s="2" t="s">
        <v>7</v>
      </c>
      <c r="C927" s="2" t="s">
        <v>8</v>
      </c>
      <c r="D927" s="2" t="s">
        <v>9</v>
      </c>
      <c r="E927" s="2" t="s">
        <v>10</v>
      </c>
      <c r="F927" s="2" t="s">
        <v>11</v>
      </c>
      <c r="G927" s="2" t="s">
        <v>12</v>
      </c>
      <c r="H927" s="2" t="s">
        <v>13</v>
      </c>
      <c r="I927" s="2" t="s">
        <v>14</v>
      </c>
      <c r="J927" s="2" t="s">
        <v>15</v>
      </c>
      <c r="K927" s="2" t="s">
        <v>16</v>
      </c>
      <c r="L927" s="2" t="s">
        <v>17</v>
      </c>
    </row>
    <row r="928" spans="1:12" x14ac:dyDescent="0.25">
      <c r="A928" s="3">
        <v>45700.002152777779</v>
      </c>
      <c r="B928" t="s">
        <v>80</v>
      </c>
      <c r="C928" s="3">
        <v>45700.002187499995</v>
      </c>
      <c r="D928" t="s">
        <v>151</v>
      </c>
      <c r="E928" s="4">
        <v>0</v>
      </c>
      <c r="F928" s="4">
        <v>50458.145000000004</v>
      </c>
      <c r="G928" s="4">
        <v>50458.145000000004</v>
      </c>
      <c r="H928" s="5">
        <f>0 / 86400</f>
        <v>0</v>
      </c>
      <c r="I928" t="s">
        <v>42</v>
      </c>
      <c r="J928" t="s">
        <v>42</v>
      </c>
      <c r="K928" s="5">
        <f>2 / 86400</f>
        <v>2.3148148148148147E-5</v>
      </c>
      <c r="L928" s="5">
        <f>188 / 86400</f>
        <v>2.1759259259259258E-3</v>
      </c>
    </row>
    <row r="929" spans="1:12" x14ac:dyDescent="0.25">
      <c r="A929" s="3">
        <v>45700.002210648148</v>
      </c>
      <c r="B929" t="s">
        <v>151</v>
      </c>
      <c r="C929" s="3">
        <v>45700.003321759257</v>
      </c>
      <c r="D929" t="s">
        <v>151</v>
      </c>
      <c r="E929" s="4">
        <v>3.9999999992549419E-2</v>
      </c>
      <c r="F929" s="4">
        <v>50458.145000000004</v>
      </c>
      <c r="G929" s="4">
        <v>50458.184999999998</v>
      </c>
      <c r="H929" s="5">
        <f>75 / 86400</f>
        <v>8.6805555555555551E-4</v>
      </c>
      <c r="I929" t="s">
        <v>77</v>
      </c>
      <c r="J929" t="s">
        <v>150</v>
      </c>
      <c r="K929" s="5">
        <f>96 / 86400</f>
        <v>1.1111111111111111E-3</v>
      </c>
      <c r="L929" s="5">
        <f>775 / 86400</f>
        <v>8.9699074074074073E-3</v>
      </c>
    </row>
    <row r="930" spans="1:12" x14ac:dyDescent="0.25">
      <c r="A930" s="3">
        <v>45700.012291666666</v>
      </c>
      <c r="B930" t="s">
        <v>151</v>
      </c>
      <c r="C930" s="3">
        <v>45700.114699074074</v>
      </c>
      <c r="D930" t="s">
        <v>271</v>
      </c>
      <c r="E930" s="4">
        <v>223.965</v>
      </c>
      <c r="F930" s="4">
        <v>50458.184999999998</v>
      </c>
      <c r="G930" s="4">
        <v>50682.15</v>
      </c>
      <c r="H930" s="5">
        <f>3020 / 86400</f>
        <v>3.4953703703703702E-2</v>
      </c>
      <c r="I930" t="s">
        <v>162</v>
      </c>
      <c r="J930" t="s">
        <v>73</v>
      </c>
      <c r="K930" s="5">
        <f>8847 / 86400</f>
        <v>0.10239583333333334</v>
      </c>
      <c r="L930" s="5">
        <f>815 / 86400</f>
        <v>9.432870370370371E-3</v>
      </c>
    </row>
    <row r="931" spans="1:12" x14ac:dyDescent="0.25">
      <c r="A931" s="3">
        <v>45700.124131944445</v>
      </c>
      <c r="B931" t="s">
        <v>293</v>
      </c>
      <c r="C931" s="3">
        <v>45700.174259259264</v>
      </c>
      <c r="D931" t="s">
        <v>294</v>
      </c>
      <c r="E931" s="4">
        <v>146.84</v>
      </c>
      <c r="F931" s="4">
        <v>50682.15</v>
      </c>
      <c r="G931" s="4">
        <v>50828.99</v>
      </c>
      <c r="H931" s="5">
        <f>400 / 86400</f>
        <v>4.6296296296296294E-3</v>
      </c>
      <c r="I931" t="s">
        <v>54</v>
      </c>
      <c r="J931" t="s">
        <v>295</v>
      </c>
      <c r="K931" s="5">
        <f>4330 / 86400</f>
        <v>5.0115740740740738E-2</v>
      </c>
      <c r="L931" s="5">
        <f>556 / 86400</f>
        <v>6.4351851851851853E-3</v>
      </c>
    </row>
    <row r="932" spans="1:12" x14ac:dyDescent="0.25">
      <c r="A932" s="3">
        <v>45700.18069444444</v>
      </c>
      <c r="B932" t="s">
        <v>294</v>
      </c>
      <c r="C932" s="3">
        <v>45700.182546296295</v>
      </c>
      <c r="D932" t="s">
        <v>296</v>
      </c>
      <c r="E932" s="4">
        <v>2.06</v>
      </c>
      <c r="F932" s="4">
        <v>50828.99</v>
      </c>
      <c r="G932" s="4">
        <v>50831.05</v>
      </c>
      <c r="H932" s="5">
        <f>20 / 86400</f>
        <v>2.3148148148148149E-4</v>
      </c>
      <c r="I932" t="s">
        <v>20</v>
      </c>
      <c r="J932" t="s">
        <v>168</v>
      </c>
      <c r="K932" s="5">
        <f>159 / 86400</f>
        <v>1.8402777777777777E-3</v>
      </c>
      <c r="L932" s="5">
        <f>3632 / 86400</f>
        <v>4.2037037037037039E-2</v>
      </c>
    </row>
    <row r="933" spans="1:12" x14ac:dyDescent="0.25">
      <c r="A933" s="3">
        <v>45700.224583333329</v>
      </c>
      <c r="B933" t="s">
        <v>296</v>
      </c>
      <c r="C933" s="3">
        <v>45700.230254629627</v>
      </c>
      <c r="D933" t="s">
        <v>296</v>
      </c>
      <c r="E933" s="4">
        <v>6</v>
      </c>
      <c r="F933" s="4">
        <v>50831.05</v>
      </c>
      <c r="G933" s="4">
        <v>50837.05</v>
      </c>
      <c r="H933" s="5">
        <f>119 / 86400</f>
        <v>1.3773148148148147E-3</v>
      </c>
      <c r="I933" t="s">
        <v>124</v>
      </c>
      <c r="J933" t="s">
        <v>226</v>
      </c>
      <c r="K933" s="5">
        <f>489 / 86400</f>
        <v>5.6597222222222222E-3</v>
      </c>
      <c r="L933" s="5">
        <f>1292 / 86400</f>
        <v>1.4953703703703703E-2</v>
      </c>
    </row>
    <row r="934" spans="1:12" x14ac:dyDescent="0.25">
      <c r="A934" s="3">
        <v>45700.245208333334</v>
      </c>
      <c r="B934" t="s">
        <v>296</v>
      </c>
      <c r="C934" s="3">
        <v>45700.282141203701</v>
      </c>
      <c r="D934" t="s">
        <v>138</v>
      </c>
      <c r="E934" s="4">
        <v>125.05500000000001</v>
      </c>
      <c r="F934" s="4">
        <v>50837.05</v>
      </c>
      <c r="G934" s="4">
        <v>50962.105000000003</v>
      </c>
      <c r="H934" s="5">
        <f>479 / 86400</f>
        <v>5.5439814814814813E-3</v>
      </c>
      <c r="I934" t="s">
        <v>207</v>
      </c>
      <c r="J934" t="s">
        <v>297</v>
      </c>
      <c r="K934" s="5">
        <f>3191 / 86400</f>
        <v>3.6932870370370373E-2</v>
      </c>
      <c r="L934" s="5">
        <f>499 / 86400</f>
        <v>5.7754629629629631E-3</v>
      </c>
    </row>
    <row r="935" spans="1:12" x14ac:dyDescent="0.25">
      <c r="A935" s="3">
        <v>45700.287916666668</v>
      </c>
      <c r="B935" t="s">
        <v>138</v>
      </c>
      <c r="C935" s="3">
        <v>45700.288078703699</v>
      </c>
      <c r="D935" t="s">
        <v>138</v>
      </c>
      <c r="E935" s="4">
        <v>0</v>
      </c>
      <c r="F935" s="4">
        <v>50962.105000000003</v>
      </c>
      <c r="G935" s="4">
        <v>50962.105000000003</v>
      </c>
      <c r="H935" s="5">
        <f>0 / 86400</f>
        <v>0</v>
      </c>
      <c r="I935" t="s">
        <v>42</v>
      </c>
      <c r="J935" t="s">
        <v>42</v>
      </c>
      <c r="K935" s="5">
        <f>13 / 86400</f>
        <v>1.5046296296296297E-4</v>
      </c>
      <c r="L935" s="5">
        <f>122 / 86400</f>
        <v>1.4120370370370369E-3</v>
      </c>
    </row>
    <row r="936" spans="1:12" x14ac:dyDescent="0.25">
      <c r="A936" s="3">
        <v>45700.289490740739</v>
      </c>
      <c r="B936" t="s">
        <v>138</v>
      </c>
      <c r="C936" s="3">
        <v>45700.477465277778</v>
      </c>
      <c r="D936" t="s">
        <v>92</v>
      </c>
      <c r="E936" s="4">
        <v>396.59500000000747</v>
      </c>
      <c r="F936" s="4">
        <v>50962.105000000003</v>
      </c>
      <c r="G936" s="4">
        <v>51358.700000000004</v>
      </c>
      <c r="H936" s="5">
        <f>5718 / 86400</f>
        <v>6.6180555555555562E-2</v>
      </c>
      <c r="I936" t="s">
        <v>114</v>
      </c>
      <c r="J936" t="s">
        <v>100</v>
      </c>
      <c r="K936" s="5">
        <f>16240 / 86400</f>
        <v>0.18796296296296297</v>
      </c>
      <c r="L936" s="5">
        <f>151 / 86400</f>
        <v>1.7476851851851852E-3</v>
      </c>
    </row>
    <row r="937" spans="1:12" x14ac:dyDescent="0.25">
      <c r="A937" s="3">
        <v>45700.479212962964</v>
      </c>
      <c r="B937" t="s">
        <v>92</v>
      </c>
      <c r="C937" s="3">
        <v>45700.480868055558</v>
      </c>
      <c r="D937" t="s">
        <v>92</v>
      </c>
      <c r="E937" s="4">
        <v>1.25</v>
      </c>
      <c r="F937" s="4">
        <v>51358.700000000004</v>
      </c>
      <c r="G937" s="4">
        <v>51359.950000000004</v>
      </c>
      <c r="H937" s="5">
        <f>0 / 86400</f>
        <v>0</v>
      </c>
      <c r="I937" t="s">
        <v>20</v>
      </c>
      <c r="J937" t="s">
        <v>189</v>
      </c>
      <c r="K937" s="5">
        <f>143 / 86400</f>
        <v>1.6550925925925926E-3</v>
      </c>
      <c r="L937" s="5">
        <f>750 / 86400</f>
        <v>8.6805555555555559E-3</v>
      </c>
    </row>
    <row r="938" spans="1:12" x14ac:dyDescent="0.25">
      <c r="A938" s="3">
        <v>45700.489548611113</v>
      </c>
      <c r="B938" t="s">
        <v>92</v>
      </c>
      <c r="C938" s="3">
        <v>45700.491562499999</v>
      </c>
      <c r="D938" t="s">
        <v>197</v>
      </c>
      <c r="E938" s="4">
        <v>1.5349999999925494</v>
      </c>
      <c r="F938" s="4">
        <v>51359.950000000004</v>
      </c>
      <c r="G938" s="4">
        <v>51361.485000000001</v>
      </c>
      <c r="H938" s="5">
        <f>40 / 86400</f>
        <v>4.6296296296296298E-4</v>
      </c>
      <c r="I938" t="s">
        <v>46</v>
      </c>
      <c r="J938" t="s">
        <v>173</v>
      </c>
      <c r="K938" s="5">
        <f>173 / 86400</f>
        <v>2.0023148148148148E-3</v>
      </c>
      <c r="L938" s="5">
        <f>1403 / 86400</f>
        <v>1.6238425925925927E-2</v>
      </c>
    </row>
    <row r="939" spans="1:12" x14ac:dyDescent="0.25">
      <c r="A939" s="3">
        <v>45700.50780092593</v>
      </c>
      <c r="B939" t="s">
        <v>197</v>
      </c>
      <c r="C939" s="3">
        <v>45700.508576388893</v>
      </c>
      <c r="D939" t="s">
        <v>197</v>
      </c>
      <c r="E939" s="4">
        <v>0.16000000000745057</v>
      </c>
      <c r="F939" s="4">
        <v>51361.485000000001</v>
      </c>
      <c r="G939" s="4">
        <v>51361.645000000004</v>
      </c>
      <c r="H939" s="5">
        <f>20 / 86400</f>
        <v>2.3148148148148149E-4</v>
      </c>
      <c r="I939" t="s">
        <v>133</v>
      </c>
      <c r="J939" t="s">
        <v>137</v>
      </c>
      <c r="K939" s="5">
        <f>67 / 86400</f>
        <v>7.7546296296296293E-4</v>
      </c>
      <c r="L939" s="5">
        <f>153 / 86400</f>
        <v>1.7708333333333332E-3</v>
      </c>
    </row>
    <row r="940" spans="1:12" x14ac:dyDescent="0.25">
      <c r="A940" s="3">
        <v>45700.510347222225</v>
      </c>
      <c r="B940" t="s">
        <v>197</v>
      </c>
      <c r="C940" s="3">
        <v>45700.574490740742</v>
      </c>
      <c r="D940" t="s">
        <v>236</v>
      </c>
      <c r="E940" s="4">
        <v>175.71999999999255</v>
      </c>
      <c r="F940" s="4">
        <v>51361.645000000004</v>
      </c>
      <c r="G940" s="4">
        <v>51537.364999999998</v>
      </c>
      <c r="H940" s="5">
        <f>1320 / 86400</f>
        <v>1.5277777777777777E-2</v>
      </c>
      <c r="I940" t="s">
        <v>85</v>
      </c>
      <c r="J940" t="s">
        <v>298</v>
      </c>
      <c r="K940" s="5">
        <f>5541 / 86400</f>
        <v>6.413194444444445E-2</v>
      </c>
      <c r="L940" s="5">
        <f>155 / 86400</f>
        <v>1.7939814814814815E-3</v>
      </c>
    </row>
    <row r="941" spans="1:12" x14ac:dyDescent="0.25">
      <c r="A941" s="3">
        <v>45700.576284722221</v>
      </c>
      <c r="B941" t="s">
        <v>236</v>
      </c>
      <c r="C941" s="3">
        <v>45700.658495370371</v>
      </c>
      <c r="D941" t="s">
        <v>107</v>
      </c>
      <c r="E941" s="4">
        <v>169.04499999999999</v>
      </c>
      <c r="F941" s="4">
        <v>51537.364999999998</v>
      </c>
      <c r="G941" s="4">
        <v>51706.41</v>
      </c>
      <c r="H941" s="5">
        <f>2581 / 86400</f>
        <v>2.9872685185185186E-2</v>
      </c>
      <c r="I941" t="s">
        <v>207</v>
      </c>
      <c r="J941" t="s">
        <v>85</v>
      </c>
      <c r="K941" s="5">
        <f>7103 / 86400</f>
        <v>8.2210648148148144E-2</v>
      </c>
      <c r="L941" s="5">
        <f>33 / 86400</f>
        <v>3.8194444444444446E-4</v>
      </c>
    </row>
    <row r="942" spans="1:12" x14ac:dyDescent="0.25">
      <c r="A942" s="3">
        <v>45700.658877314811</v>
      </c>
      <c r="B942" t="s">
        <v>107</v>
      </c>
      <c r="C942" s="3">
        <v>45700.659768518519</v>
      </c>
      <c r="D942" t="s">
        <v>62</v>
      </c>
      <c r="E942" s="4">
        <v>0.155</v>
      </c>
      <c r="F942" s="4">
        <v>51706.41</v>
      </c>
      <c r="G942" s="4">
        <v>51706.565000000002</v>
      </c>
      <c r="H942" s="5">
        <f>40 / 86400</f>
        <v>4.6296296296296298E-4</v>
      </c>
      <c r="I942" t="s">
        <v>143</v>
      </c>
      <c r="J942" t="s">
        <v>143</v>
      </c>
      <c r="K942" s="5">
        <f>76 / 86400</f>
        <v>8.7962962962962962E-4</v>
      </c>
      <c r="L942" s="5">
        <f>8 / 86400</f>
        <v>9.2592592592592588E-5</v>
      </c>
    </row>
    <row r="943" spans="1:12" x14ac:dyDescent="0.25">
      <c r="A943" s="3">
        <v>45700.659861111111</v>
      </c>
      <c r="B943" t="s">
        <v>107</v>
      </c>
      <c r="C943" s="3">
        <v>45700.667094907403</v>
      </c>
      <c r="D943" t="s">
        <v>183</v>
      </c>
      <c r="E943" s="4">
        <v>7.16</v>
      </c>
      <c r="F943" s="4">
        <v>51706.565000000002</v>
      </c>
      <c r="G943" s="4">
        <v>51713.724999999999</v>
      </c>
      <c r="H943" s="5">
        <f>262 / 86400</f>
        <v>3.0324074074074073E-3</v>
      </c>
      <c r="I943" t="s">
        <v>23</v>
      </c>
      <c r="J943" t="s">
        <v>265</v>
      </c>
      <c r="K943" s="5">
        <f>625 / 86400</f>
        <v>7.2337962962962963E-3</v>
      </c>
      <c r="L943" s="5">
        <f>180 / 86400</f>
        <v>2.0833333333333333E-3</v>
      </c>
    </row>
    <row r="944" spans="1:12" x14ac:dyDescent="0.25">
      <c r="A944" s="3">
        <v>45700.669178240743</v>
      </c>
      <c r="B944" t="s">
        <v>183</v>
      </c>
      <c r="C944" s="3">
        <v>45700.926157407404</v>
      </c>
      <c r="D944" t="s">
        <v>299</v>
      </c>
      <c r="E944" s="4">
        <v>392.65</v>
      </c>
      <c r="F944" s="4">
        <v>51713.724999999999</v>
      </c>
      <c r="G944" s="4">
        <v>52106.375</v>
      </c>
      <c r="H944" s="5">
        <f>9679 / 86400</f>
        <v>0.11202546296296297</v>
      </c>
      <c r="I944" t="s">
        <v>225</v>
      </c>
      <c r="J944" t="s">
        <v>159</v>
      </c>
      <c r="K944" s="5">
        <f>22202 / 86400</f>
        <v>0.25696759259259261</v>
      </c>
      <c r="L944" s="5">
        <f>1701 / 86400</f>
        <v>1.96875E-2</v>
      </c>
    </row>
    <row r="945" spans="1:12" x14ac:dyDescent="0.25">
      <c r="A945" s="3">
        <v>45700.945844907408</v>
      </c>
      <c r="B945" t="s">
        <v>299</v>
      </c>
      <c r="C945" s="3">
        <v>45700.949907407412</v>
      </c>
      <c r="D945" t="s">
        <v>296</v>
      </c>
      <c r="E945" s="4">
        <v>9.5850000000000009</v>
      </c>
      <c r="F945" s="4">
        <v>52106.375</v>
      </c>
      <c r="G945" s="4">
        <v>52115.96</v>
      </c>
      <c r="H945" s="5">
        <f>119 / 86400</f>
        <v>1.3773148148148147E-3</v>
      </c>
      <c r="I945" t="s">
        <v>161</v>
      </c>
      <c r="J945" t="s">
        <v>108</v>
      </c>
      <c r="K945" s="5">
        <f>350 / 86400</f>
        <v>4.0509259259259257E-3</v>
      </c>
      <c r="L945" s="5">
        <f>496 / 86400</f>
        <v>5.7407407407407407E-3</v>
      </c>
    </row>
    <row r="946" spans="1:12" x14ac:dyDescent="0.25">
      <c r="A946" s="3">
        <v>45700.955648148149</v>
      </c>
      <c r="B946" t="s">
        <v>296</v>
      </c>
      <c r="C946" s="3">
        <v>45700.958125000005</v>
      </c>
      <c r="D946" t="s">
        <v>113</v>
      </c>
      <c r="E946" s="4">
        <v>2.1549999999999998</v>
      </c>
      <c r="F946" s="4">
        <v>52115.96</v>
      </c>
      <c r="G946" s="4">
        <v>52118.114999999998</v>
      </c>
      <c r="H946" s="5">
        <f>80 / 86400</f>
        <v>9.2592592592592596E-4</v>
      </c>
      <c r="I946" t="s">
        <v>28</v>
      </c>
      <c r="J946" t="s">
        <v>208</v>
      </c>
      <c r="K946" s="5">
        <f>214 / 86400</f>
        <v>2.476851851851852E-3</v>
      </c>
      <c r="L946" s="5">
        <f>3617 / 86400</f>
        <v>4.1863425925925929E-2</v>
      </c>
    </row>
    <row r="947" spans="1:12" x14ac:dyDescent="0.25">
      <c r="A947" s="12"/>
      <c r="B947" s="12"/>
      <c r="C947" s="12"/>
      <c r="D947" s="12"/>
      <c r="E947" s="12"/>
      <c r="F947" s="12"/>
      <c r="G947" s="12"/>
      <c r="H947" s="12"/>
      <c r="I947" s="12"/>
      <c r="J947" s="12"/>
    </row>
    <row r="948" spans="1:12" x14ac:dyDescent="0.25">
      <c r="A948" s="12"/>
      <c r="B948" s="12"/>
      <c r="C948" s="12"/>
      <c r="D948" s="12"/>
      <c r="E948" s="12"/>
      <c r="F948" s="12"/>
      <c r="G948" s="12"/>
      <c r="H948" s="12"/>
      <c r="I948" s="12"/>
      <c r="J948" s="12"/>
    </row>
    <row r="949" spans="1:12" s="10" customFormat="1" ht="20.100000000000001" customHeight="1" x14ac:dyDescent="0.35">
      <c r="A949" s="15" t="s">
        <v>360</v>
      </c>
      <c r="B949" s="15"/>
      <c r="C949" s="15"/>
      <c r="D949" s="15"/>
      <c r="E949" s="15"/>
      <c r="F949" s="15"/>
      <c r="G949" s="15"/>
      <c r="H949" s="15"/>
      <c r="I949" s="15"/>
      <c r="J949" s="15"/>
    </row>
    <row r="950" spans="1:12" x14ac:dyDescent="0.25">
      <c r="A950" s="12"/>
      <c r="B950" s="12"/>
      <c r="C950" s="12"/>
      <c r="D950" s="12"/>
      <c r="E950" s="12"/>
      <c r="F950" s="12"/>
      <c r="G950" s="12"/>
      <c r="H950" s="12"/>
      <c r="I950" s="12"/>
      <c r="J950" s="12"/>
    </row>
    <row r="951" spans="1:12" ht="30" x14ac:dyDescent="0.25">
      <c r="A951" s="2" t="s">
        <v>6</v>
      </c>
      <c r="B951" s="2" t="s">
        <v>7</v>
      </c>
      <c r="C951" s="2" t="s">
        <v>8</v>
      </c>
      <c r="D951" s="2" t="s">
        <v>9</v>
      </c>
      <c r="E951" s="2" t="s">
        <v>10</v>
      </c>
      <c r="F951" s="2" t="s">
        <v>11</v>
      </c>
      <c r="G951" s="2" t="s">
        <v>12</v>
      </c>
      <c r="H951" s="2" t="s">
        <v>13</v>
      </c>
      <c r="I951" s="2" t="s">
        <v>14</v>
      </c>
      <c r="J951" s="2" t="s">
        <v>15</v>
      </c>
      <c r="K951" s="2" t="s">
        <v>16</v>
      </c>
      <c r="L951" s="2" t="s">
        <v>17</v>
      </c>
    </row>
    <row r="952" spans="1:12" x14ac:dyDescent="0.25">
      <c r="A952" s="3">
        <v>45700.192303240736</v>
      </c>
      <c r="B952" t="s">
        <v>115</v>
      </c>
      <c r="C952" s="3">
        <v>45700.396817129629</v>
      </c>
      <c r="D952" t="s">
        <v>300</v>
      </c>
      <c r="E952" s="4">
        <v>86.820999999999998</v>
      </c>
      <c r="F952" s="4">
        <v>59112.646999999997</v>
      </c>
      <c r="G952" s="4">
        <v>59199.468000000001</v>
      </c>
      <c r="H952" s="5">
        <f>4998 / 86400</f>
        <v>5.7847222222222223E-2</v>
      </c>
      <c r="I952" t="s">
        <v>27</v>
      </c>
      <c r="J952" t="s">
        <v>31</v>
      </c>
      <c r="K952" s="5">
        <f>17669 / 86400</f>
        <v>0.20450231481481482</v>
      </c>
      <c r="L952" s="5">
        <f>16637 / 86400</f>
        <v>0.19255787037037037</v>
      </c>
    </row>
    <row r="953" spans="1:12" x14ac:dyDescent="0.25">
      <c r="A953" s="3">
        <v>45700.39707175926</v>
      </c>
      <c r="B953" t="s">
        <v>300</v>
      </c>
      <c r="C953" s="3">
        <v>45700.421990740739</v>
      </c>
      <c r="D953" t="s">
        <v>188</v>
      </c>
      <c r="E953" s="4">
        <v>7.75</v>
      </c>
      <c r="F953" s="4">
        <v>59199.468000000001</v>
      </c>
      <c r="G953" s="4">
        <v>59207.218000000001</v>
      </c>
      <c r="H953" s="5">
        <f>859 / 86400</f>
        <v>9.9421296296296289E-3</v>
      </c>
      <c r="I953" t="s">
        <v>153</v>
      </c>
      <c r="J953" t="s">
        <v>46</v>
      </c>
      <c r="K953" s="5">
        <f>2153 / 86400</f>
        <v>2.4918981481481483E-2</v>
      </c>
      <c r="L953" s="5">
        <f>119 / 86400</f>
        <v>1.3773148148148147E-3</v>
      </c>
    </row>
    <row r="954" spans="1:12" x14ac:dyDescent="0.25">
      <c r="A954" s="3">
        <v>45700.423368055555</v>
      </c>
      <c r="B954" t="s">
        <v>188</v>
      </c>
      <c r="C954" s="3">
        <v>45700.571493055555</v>
      </c>
      <c r="D954" t="s">
        <v>185</v>
      </c>
      <c r="E954" s="4">
        <v>52.17</v>
      </c>
      <c r="F954" s="4">
        <v>59207.218000000001</v>
      </c>
      <c r="G954" s="4">
        <v>59259.387999999999</v>
      </c>
      <c r="H954" s="5">
        <f>4559 / 86400</f>
        <v>5.2766203703703704E-2</v>
      </c>
      <c r="I954" t="s">
        <v>49</v>
      </c>
      <c r="J954" t="s">
        <v>20</v>
      </c>
      <c r="K954" s="5">
        <f>12798 / 86400</f>
        <v>0.14812500000000001</v>
      </c>
      <c r="L954" s="5">
        <f>1359 / 86400</f>
        <v>1.5729166666666666E-2</v>
      </c>
    </row>
    <row r="955" spans="1:12" x14ac:dyDescent="0.25">
      <c r="A955" s="3">
        <v>45700.587222222224</v>
      </c>
      <c r="B955" t="s">
        <v>185</v>
      </c>
      <c r="C955" s="3">
        <v>45700.587488425925</v>
      </c>
      <c r="D955" t="s">
        <v>62</v>
      </c>
      <c r="E955" s="4">
        <v>0.01</v>
      </c>
      <c r="F955" s="4">
        <v>59259.387999999999</v>
      </c>
      <c r="G955" s="4">
        <v>59259.398000000001</v>
      </c>
      <c r="H955" s="5">
        <f>0 / 86400</f>
        <v>0</v>
      </c>
      <c r="I955" t="s">
        <v>128</v>
      </c>
      <c r="J955" t="s">
        <v>128</v>
      </c>
      <c r="K955" s="5">
        <f>23 / 86400</f>
        <v>2.6620370370370372E-4</v>
      </c>
      <c r="L955" s="5">
        <f>574 / 86400</f>
        <v>6.6435185185185182E-3</v>
      </c>
    </row>
    <row r="956" spans="1:12" x14ac:dyDescent="0.25">
      <c r="A956" s="3">
        <v>45700.594131944439</v>
      </c>
      <c r="B956" t="s">
        <v>62</v>
      </c>
      <c r="C956" s="3">
        <v>45700.594375000001</v>
      </c>
      <c r="D956" t="s">
        <v>62</v>
      </c>
      <c r="E956" s="4">
        <v>8.9999999999999993E-3</v>
      </c>
      <c r="F956" s="4">
        <v>59259.398000000001</v>
      </c>
      <c r="G956" s="4">
        <v>59259.406999999999</v>
      </c>
      <c r="H956" s="5">
        <f>19 / 86400</f>
        <v>2.199074074074074E-4</v>
      </c>
      <c r="I956" t="s">
        <v>42</v>
      </c>
      <c r="J956" t="s">
        <v>128</v>
      </c>
      <c r="K956" s="5">
        <f>21 / 86400</f>
        <v>2.4305555555555555E-4</v>
      </c>
      <c r="L956" s="5">
        <f>1623 / 86400</f>
        <v>1.8784722222222223E-2</v>
      </c>
    </row>
    <row r="957" spans="1:12" x14ac:dyDescent="0.25">
      <c r="A957" s="3">
        <v>45700.613159722227</v>
      </c>
      <c r="B957" t="s">
        <v>62</v>
      </c>
      <c r="C957" s="3">
        <v>45700.614363425921</v>
      </c>
      <c r="D957" t="s">
        <v>62</v>
      </c>
      <c r="E957" s="4">
        <v>0.127</v>
      </c>
      <c r="F957" s="4">
        <v>59259.406999999999</v>
      </c>
      <c r="G957" s="4">
        <v>59259.534</v>
      </c>
      <c r="H957" s="5">
        <f>19 / 86400</f>
        <v>2.199074074074074E-4</v>
      </c>
      <c r="I957" t="s">
        <v>126</v>
      </c>
      <c r="J957" t="s">
        <v>133</v>
      </c>
      <c r="K957" s="5">
        <f>104 / 86400</f>
        <v>1.2037037037037038E-3</v>
      </c>
      <c r="L957" s="5">
        <f>34 / 86400</f>
        <v>3.9351851851851852E-4</v>
      </c>
    </row>
    <row r="958" spans="1:12" x14ac:dyDescent="0.25">
      <c r="A958" s="3">
        <v>45700.614756944444</v>
      </c>
      <c r="B958" t="s">
        <v>62</v>
      </c>
      <c r="C958" s="3">
        <v>45700.622141203705</v>
      </c>
      <c r="D958" t="s">
        <v>62</v>
      </c>
      <c r="E958" s="4">
        <v>0.106</v>
      </c>
      <c r="F958" s="4">
        <v>59259.534</v>
      </c>
      <c r="G958" s="4">
        <v>59259.64</v>
      </c>
      <c r="H958" s="5">
        <f>541 / 86400</f>
        <v>6.2615740740740739E-3</v>
      </c>
      <c r="I958" t="s">
        <v>131</v>
      </c>
      <c r="J958" t="s">
        <v>150</v>
      </c>
      <c r="K958" s="5">
        <f>638 / 86400</f>
        <v>7.3842592592592597E-3</v>
      </c>
      <c r="L958" s="5">
        <f>502 / 86400</f>
        <v>5.8101851851851856E-3</v>
      </c>
    </row>
    <row r="959" spans="1:12" x14ac:dyDescent="0.25">
      <c r="A959" s="3">
        <v>45700.627951388888</v>
      </c>
      <c r="B959" t="s">
        <v>62</v>
      </c>
      <c r="C959" s="3">
        <v>45700.629710648151</v>
      </c>
      <c r="D959" t="s">
        <v>115</v>
      </c>
      <c r="E959" s="4">
        <v>0.20499999999999999</v>
      </c>
      <c r="F959" s="4">
        <v>59259.64</v>
      </c>
      <c r="G959" s="4">
        <v>59259.845000000001</v>
      </c>
      <c r="H959" s="5">
        <f>60 / 86400</f>
        <v>6.9444444444444447E-4</v>
      </c>
      <c r="I959" t="s">
        <v>46</v>
      </c>
      <c r="J959" t="s">
        <v>149</v>
      </c>
      <c r="K959" s="5">
        <f>152 / 86400</f>
        <v>1.7592592592592592E-3</v>
      </c>
      <c r="L959" s="5">
        <f>323 / 86400</f>
        <v>3.7384259259259259E-3</v>
      </c>
    </row>
    <row r="960" spans="1:12" x14ac:dyDescent="0.25">
      <c r="A960" s="3">
        <v>45700.63344907407</v>
      </c>
      <c r="B960" t="s">
        <v>115</v>
      </c>
      <c r="C960" s="3">
        <v>45700.634421296301</v>
      </c>
      <c r="D960" t="s">
        <v>115</v>
      </c>
      <c r="E960" s="4">
        <v>3.4000000000000002E-2</v>
      </c>
      <c r="F960" s="4">
        <v>59259.845000000001</v>
      </c>
      <c r="G960" s="4">
        <v>59259.879000000001</v>
      </c>
      <c r="H960" s="5">
        <f>39 / 86400</f>
        <v>4.5138888888888887E-4</v>
      </c>
      <c r="I960" t="s">
        <v>149</v>
      </c>
      <c r="J960" t="s">
        <v>150</v>
      </c>
      <c r="K960" s="5">
        <f>83 / 86400</f>
        <v>9.6064814814814819E-4</v>
      </c>
      <c r="L960" s="5">
        <f>3 / 86400</f>
        <v>3.4722222222222222E-5</v>
      </c>
    </row>
    <row r="961" spans="1:12" x14ac:dyDescent="0.25">
      <c r="A961" s="3">
        <v>45700.634456018517</v>
      </c>
      <c r="B961" t="s">
        <v>115</v>
      </c>
      <c r="C961" s="3">
        <v>45700.634502314817</v>
      </c>
      <c r="D961" t="s">
        <v>115</v>
      </c>
      <c r="E961" s="4">
        <v>0</v>
      </c>
      <c r="F961" s="4">
        <v>59259.879000000001</v>
      </c>
      <c r="G961" s="4">
        <v>59259.879000000001</v>
      </c>
      <c r="H961" s="5">
        <f>2 / 86400</f>
        <v>2.3148148148148147E-5</v>
      </c>
      <c r="I961" t="s">
        <v>42</v>
      </c>
      <c r="J961" t="s">
        <v>42</v>
      </c>
      <c r="K961" s="5">
        <f>4 / 86400</f>
        <v>4.6296296296296294E-5</v>
      </c>
      <c r="L961" s="5">
        <f>312 / 86400</f>
        <v>3.6111111111111109E-3</v>
      </c>
    </row>
    <row r="962" spans="1:12" x14ac:dyDescent="0.25">
      <c r="A962" s="3">
        <v>45700.638113425928</v>
      </c>
      <c r="B962" t="s">
        <v>115</v>
      </c>
      <c r="C962" s="3">
        <v>45700.638124999998</v>
      </c>
      <c r="D962" t="s">
        <v>115</v>
      </c>
      <c r="E962" s="4">
        <v>0</v>
      </c>
      <c r="F962" s="4">
        <v>59259.879000000001</v>
      </c>
      <c r="G962" s="4">
        <v>59259.879000000001</v>
      </c>
      <c r="H962" s="5">
        <f>0 / 86400</f>
        <v>0</v>
      </c>
      <c r="I962" t="s">
        <v>42</v>
      </c>
      <c r="J962" t="s">
        <v>42</v>
      </c>
      <c r="K962" s="5">
        <f>0 / 86400</f>
        <v>0</v>
      </c>
      <c r="L962" s="5">
        <f>4010 / 86400</f>
        <v>4.6412037037037036E-2</v>
      </c>
    </row>
    <row r="963" spans="1:12" x14ac:dyDescent="0.25">
      <c r="A963" s="3">
        <v>45700.684537037036</v>
      </c>
      <c r="B963" t="s">
        <v>115</v>
      </c>
      <c r="C963" s="3">
        <v>45700.688796296294</v>
      </c>
      <c r="D963" t="s">
        <v>192</v>
      </c>
      <c r="E963" s="4">
        <v>1.1000000000000001</v>
      </c>
      <c r="F963" s="4">
        <v>59259.879000000001</v>
      </c>
      <c r="G963" s="4">
        <v>59260.978999999999</v>
      </c>
      <c r="H963" s="5">
        <f>40 / 86400</f>
        <v>4.6296296296296298E-4</v>
      </c>
      <c r="I963" t="s">
        <v>140</v>
      </c>
      <c r="J963" t="s">
        <v>126</v>
      </c>
      <c r="K963" s="5">
        <f>368 / 86400</f>
        <v>4.2592592592592595E-3</v>
      </c>
      <c r="L963" s="5">
        <f>127 / 86400</f>
        <v>1.4699074074074074E-3</v>
      </c>
    </row>
    <row r="964" spans="1:12" x14ac:dyDescent="0.25">
      <c r="A964" s="3">
        <v>45700.690266203703</v>
      </c>
      <c r="B964" t="s">
        <v>192</v>
      </c>
      <c r="C964" s="3">
        <v>45700.691921296297</v>
      </c>
      <c r="D964" t="s">
        <v>192</v>
      </c>
      <c r="E964" s="4">
        <v>0</v>
      </c>
      <c r="F964" s="4">
        <v>59260.978999999999</v>
      </c>
      <c r="G964" s="4">
        <v>59260.978999999999</v>
      </c>
      <c r="H964" s="5">
        <f>139 / 86400</f>
        <v>1.6087962962962963E-3</v>
      </c>
      <c r="I964" t="s">
        <v>42</v>
      </c>
      <c r="J964" t="s">
        <v>42</v>
      </c>
      <c r="K964" s="5">
        <f>143 / 86400</f>
        <v>1.6550925925925926E-3</v>
      </c>
      <c r="L964" s="5">
        <f>286 / 86400</f>
        <v>3.3101851851851851E-3</v>
      </c>
    </row>
    <row r="965" spans="1:12" x14ac:dyDescent="0.25">
      <c r="A965" s="3">
        <v>45700.695231481484</v>
      </c>
      <c r="B965" t="s">
        <v>193</v>
      </c>
      <c r="C965" s="3">
        <v>45700.69532407407</v>
      </c>
      <c r="D965" t="s">
        <v>193</v>
      </c>
      <c r="E965" s="4">
        <v>5.0000000000000001E-3</v>
      </c>
      <c r="F965" s="4">
        <v>59260.978999999999</v>
      </c>
      <c r="G965" s="4">
        <v>59260.983999999997</v>
      </c>
      <c r="H965" s="5">
        <f>0 / 86400</f>
        <v>0</v>
      </c>
      <c r="I965" t="s">
        <v>149</v>
      </c>
      <c r="J965" t="s">
        <v>77</v>
      </c>
      <c r="K965" s="5">
        <f>7 / 86400</f>
        <v>8.1018518518518516E-5</v>
      </c>
      <c r="L965" s="5">
        <f>70 / 86400</f>
        <v>8.1018518518518516E-4</v>
      </c>
    </row>
    <row r="966" spans="1:12" x14ac:dyDescent="0.25">
      <c r="A966" s="3">
        <v>45700.696134259255</v>
      </c>
      <c r="B966" t="s">
        <v>193</v>
      </c>
      <c r="C966" s="3">
        <v>45700.696157407408</v>
      </c>
      <c r="D966" t="s">
        <v>193</v>
      </c>
      <c r="E966" s="4">
        <v>0</v>
      </c>
      <c r="F966" s="4">
        <v>59260.983999999997</v>
      </c>
      <c r="G966" s="4">
        <v>59260.983999999997</v>
      </c>
      <c r="H966" s="5">
        <f>0 / 86400</f>
        <v>0</v>
      </c>
      <c r="I966" t="s">
        <v>42</v>
      </c>
      <c r="J966" t="s">
        <v>42</v>
      </c>
      <c r="K966" s="5">
        <f>1 / 86400</f>
        <v>1.1574074074074073E-5</v>
      </c>
      <c r="L966" s="5">
        <f>30 / 86400</f>
        <v>3.4722222222222224E-4</v>
      </c>
    </row>
    <row r="967" spans="1:12" x14ac:dyDescent="0.25">
      <c r="A967" s="3">
        <v>45700.696504629625</v>
      </c>
      <c r="B967" t="s">
        <v>193</v>
      </c>
      <c r="C967" s="3">
        <v>45700.697349537033</v>
      </c>
      <c r="D967" t="s">
        <v>193</v>
      </c>
      <c r="E967" s="4">
        <v>2E-3</v>
      </c>
      <c r="F967" s="4">
        <v>59260.983999999997</v>
      </c>
      <c r="G967" s="4">
        <v>59260.985999999997</v>
      </c>
      <c r="H967" s="5">
        <f>59 / 86400</f>
        <v>6.8287037037037036E-4</v>
      </c>
      <c r="I967" t="s">
        <v>42</v>
      </c>
      <c r="J967" t="s">
        <v>42</v>
      </c>
      <c r="K967" s="5">
        <f>72 / 86400</f>
        <v>8.3333333333333339E-4</v>
      </c>
      <c r="L967" s="5">
        <f>38 / 86400</f>
        <v>4.3981481481481481E-4</v>
      </c>
    </row>
    <row r="968" spans="1:12" x14ac:dyDescent="0.25">
      <c r="A968" s="3">
        <v>45700.697789351849</v>
      </c>
      <c r="B968" t="s">
        <v>193</v>
      </c>
      <c r="C968" s="3">
        <v>45700.840543981481</v>
      </c>
      <c r="D968" t="s">
        <v>301</v>
      </c>
      <c r="E968" s="4">
        <v>49.627000000000002</v>
      </c>
      <c r="F968" s="4">
        <v>59260.985999999997</v>
      </c>
      <c r="G968" s="4">
        <v>59310.612999999998</v>
      </c>
      <c r="H968" s="5">
        <f>4799 / 86400</f>
        <v>5.5543981481481479E-2</v>
      </c>
      <c r="I968" t="s">
        <v>155</v>
      </c>
      <c r="J968" t="s">
        <v>39</v>
      </c>
      <c r="K968" s="5">
        <f>12333 / 86400</f>
        <v>0.14274305555555555</v>
      </c>
      <c r="L968" s="5">
        <f>27 / 86400</f>
        <v>3.1250000000000001E-4</v>
      </c>
    </row>
    <row r="969" spans="1:12" x14ac:dyDescent="0.25">
      <c r="A969" s="3">
        <v>45700.840856481482</v>
      </c>
      <c r="B969" t="s">
        <v>301</v>
      </c>
      <c r="C969" s="3">
        <v>45700.929537037038</v>
      </c>
      <c r="D969" t="s">
        <v>221</v>
      </c>
      <c r="E969" s="4">
        <v>29.785</v>
      </c>
      <c r="F969" s="4">
        <v>59310.612999999998</v>
      </c>
      <c r="G969" s="4">
        <v>59340.398000000001</v>
      </c>
      <c r="H969" s="5">
        <f>2643 / 86400</f>
        <v>3.0590277777777779E-2</v>
      </c>
      <c r="I969" t="s">
        <v>65</v>
      </c>
      <c r="J969" t="s">
        <v>39</v>
      </c>
      <c r="K969" s="5">
        <f>7662 / 86400</f>
        <v>8.8680555555555554E-2</v>
      </c>
      <c r="L969" s="5">
        <f>136 / 86400</f>
        <v>1.5740740740740741E-3</v>
      </c>
    </row>
    <row r="970" spans="1:12" x14ac:dyDescent="0.25">
      <c r="A970" s="3">
        <v>45700.931111111116</v>
      </c>
      <c r="B970" t="s">
        <v>221</v>
      </c>
      <c r="C970" s="3">
        <v>45700.931400462963</v>
      </c>
      <c r="D970" t="s">
        <v>71</v>
      </c>
      <c r="E970" s="4">
        <v>1.0999999999999999E-2</v>
      </c>
      <c r="F970" s="4">
        <v>59340.398000000001</v>
      </c>
      <c r="G970" s="4">
        <v>59340.409</v>
      </c>
      <c r="H970" s="5">
        <f>19 / 86400</f>
        <v>2.199074074074074E-4</v>
      </c>
      <c r="I970" t="s">
        <v>42</v>
      </c>
      <c r="J970" t="s">
        <v>128</v>
      </c>
      <c r="K970" s="5">
        <f>24 / 86400</f>
        <v>2.7777777777777778E-4</v>
      </c>
      <c r="L970" s="5">
        <f>254 / 86400</f>
        <v>2.9398148148148148E-3</v>
      </c>
    </row>
    <row r="971" spans="1:12" x14ac:dyDescent="0.25">
      <c r="A971" s="3">
        <v>45700.934340277774</v>
      </c>
      <c r="B971" t="s">
        <v>71</v>
      </c>
      <c r="C971" s="3">
        <v>45700.93450231482</v>
      </c>
      <c r="D971" t="s">
        <v>71</v>
      </c>
      <c r="E971" s="4">
        <v>4.0000000000000001E-3</v>
      </c>
      <c r="F971" s="4">
        <v>59340.409</v>
      </c>
      <c r="G971" s="4">
        <v>59340.413</v>
      </c>
      <c r="H971" s="5">
        <f>0 / 86400</f>
        <v>0</v>
      </c>
      <c r="I971" t="s">
        <v>42</v>
      </c>
      <c r="J971" t="s">
        <v>150</v>
      </c>
      <c r="K971" s="5">
        <f>13 / 86400</f>
        <v>1.5046296296296297E-4</v>
      </c>
      <c r="L971" s="5">
        <f>3 / 86400</f>
        <v>3.4722222222222222E-5</v>
      </c>
    </row>
    <row r="972" spans="1:12" x14ac:dyDescent="0.25">
      <c r="A972" s="3">
        <v>45700.934537037036</v>
      </c>
      <c r="B972" t="s">
        <v>71</v>
      </c>
      <c r="C972" s="3">
        <v>45700.934756944444</v>
      </c>
      <c r="D972" t="s">
        <v>71</v>
      </c>
      <c r="E972" s="4">
        <v>0</v>
      </c>
      <c r="F972" s="4">
        <v>59340.413</v>
      </c>
      <c r="G972" s="4">
        <v>59340.413</v>
      </c>
      <c r="H972" s="5">
        <f>3 / 86400</f>
        <v>3.4722222222222222E-5</v>
      </c>
      <c r="I972" t="s">
        <v>42</v>
      </c>
      <c r="J972" t="s">
        <v>42</v>
      </c>
      <c r="K972" s="5">
        <f>19 / 86400</f>
        <v>2.199074074074074E-4</v>
      </c>
      <c r="L972" s="5">
        <f>384 / 86400</f>
        <v>4.4444444444444444E-3</v>
      </c>
    </row>
    <row r="973" spans="1:12" x14ac:dyDescent="0.25">
      <c r="A973" s="3">
        <v>45700.939201388886</v>
      </c>
      <c r="B973" t="s">
        <v>71</v>
      </c>
      <c r="C973" s="3">
        <v>45700.99998842593</v>
      </c>
      <c r="D973" t="s">
        <v>72</v>
      </c>
      <c r="E973" s="4">
        <v>22.588000000000001</v>
      </c>
      <c r="F973" s="4">
        <v>59340.413</v>
      </c>
      <c r="G973" s="4">
        <v>59363.000999999997</v>
      </c>
      <c r="H973" s="5">
        <f>1939 / 86400</f>
        <v>2.2442129629629631E-2</v>
      </c>
      <c r="I973" t="s">
        <v>177</v>
      </c>
      <c r="J973" t="s">
        <v>20</v>
      </c>
      <c r="K973" s="5">
        <f>5252 / 86400</f>
        <v>6.0787037037037035E-2</v>
      </c>
      <c r="L973" s="5">
        <f>0 / 86400</f>
        <v>0</v>
      </c>
    </row>
    <row r="974" spans="1:12" x14ac:dyDescent="0.25">
      <c r="A974" s="12"/>
      <c r="B974" s="12"/>
      <c r="C974" s="12"/>
      <c r="D974" s="12"/>
      <c r="E974" s="12"/>
      <c r="F974" s="12"/>
      <c r="G974" s="12"/>
      <c r="H974" s="12"/>
      <c r="I974" s="12"/>
      <c r="J974" s="12"/>
    </row>
    <row r="975" spans="1:12" x14ac:dyDescent="0.25">
      <c r="A975" s="12"/>
      <c r="B975" s="12"/>
      <c r="C975" s="12"/>
      <c r="D975" s="12"/>
      <c r="E975" s="12"/>
      <c r="F975" s="12"/>
      <c r="G975" s="12"/>
      <c r="H975" s="12"/>
      <c r="I975" s="12"/>
      <c r="J975" s="12"/>
    </row>
    <row r="976" spans="1:12" s="10" customFormat="1" ht="20.100000000000001" customHeight="1" x14ac:dyDescent="0.35">
      <c r="A976" s="15" t="s">
        <v>361</v>
      </c>
      <c r="B976" s="15"/>
      <c r="C976" s="15"/>
      <c r="D976" s="15"/>
      <c r="E976" s="15"/>
      <c r="F976" s="15"/>
      <c r="G976" s="15"/>
      <c r="H976" s="15"/>
      <c r="I976" s="15"/>
      <c r="J976" s="15"/>
    </row>
    <row r="977" spans="1:12" x14ac:dyDescent="0.25">
      <c r="A977" s="12"/>
      <c r="B977" s="12"/>
      <c r="C977" s="12"/>
      <c r="D977" s="12"/>
      <c r="E977" s="12"/>
      <c r="F977" s="12"/>
      <c r="G977" s="12"/>
      <c r="H977" s="12"/>
      <c r="I977" s="12"/>
      <c r="J977" s="12"/>
    </row>
    <row r="978" spans="1:12" ht="30" x14ac:dyDescent="0.25">
      <c r="A978" s="2" t="s">
        <v>6</v>
      </c>
      <c r="B978" s="2" t="s">
        <v>7</v>
      </c>
      <c r="C978" s="2" t="s">
        <v>8</v>
      </c>
      <c r="D978" s="2" t="s">
        <v>9</v>
      </c>
      <c r="E978" s="2" t="s">
        <v>10</v>
      </c>
      <c r="F978" s="2" t="s">
        <v>11</v>
      </c>
      <c r="G978" s="2" t="s">
        <v>12</v>
      </c>
      <c r="H978" s="2" t="s">
        <v>13</v>
      </c>
      <c r="I978" s="2" t="s">
        <v>14</v>
      </c>
      <c r="J978" s="2" t="s">
        <v>15</v>
      </c>
      <c r="K978" s="2" t="s">
        <v>16</v>
      </c>
      <c r="L978" s="2" t="s">
        <v>17</v>
      </c>
    </row>
    <row r="979" spans="1:12" x14ac:dyDescent="0.25">
      <c r="A979" s="3">
        <v>45700.003321759257</v>
      </c>
      <c r="B979" t="s">
        <v>36</v>
      </c>
      <c r="C979" s="3">
        <v>45700.004305555558</v>
      </c>
      <c r="D979" t="s">
        <v>92</v>
      </c>
      <c r="E979" s="4">
        <v>1.4999999999999999E-2</v>
      </c>
      <c r="F979" s="4">
        <v>62556.364999999998</v>
      </c>
      <c r="G979" s="4">
        <v>62556.38</v>
      </c>
      <c r="H979" s="5">
        <f>79 / 86400</f>
        <v>9.1435185185185185E-4</v>
      </c>
      <c r="I979" t="s">
        <v>42</v>
      </c>
      <c r="J979" t="s">
        <v>150</v>
      </c>
      <c r="K979" s="5">
        <f>84 / 86400</f>
        <v>9.7222222222222219E-4</v>
      </c>
      <c r="L979" s="5">
        <f>22643 / 86400</f>
        <v>0.26207175925925924</v>
      </c>
    </row>
    <row r="980" spans="1:12" x14ac:dyDescent="0.25">
      <c r="A980" s="3">
        <v>45700.263055555552</v>
      </c>
      <c r="B980" t="s">
        <v>92</v>
      </c>
      <c r="C980" s="3">
        <v>45700.40896990741</v>
      </c>
      <c r="D980" t="s">
        <v>138</v>
      </c>
      <c r="E980" s="4">
        <v>72.043000000000006</v>
      </c>
      <c r="F980" s="4">
        <v>62556.38</v>
      </c>
      <c r="G980" s="4">
        <v>62628.423000000003</v>
      </c>
      <c r="H980" s="5">
        <f>3719 / 86400</f>
        <v>4.3043981481481482E-2</v>
      </c>
      <c r="I980" t="s">
        <v>114</v>
      </c>
      <c r="J980" t="s">
        <v>124</v>
      </c>
      <c r="K980" s="5">
        <f>12607 / 86400</f>
        <v>0.14591435185185186</v>
      </c>
      <c r="L980" s="5">
        <f>607 / 86400</f>
        <v>7.0254629629629634E-3</v>
      </c>
    </row>
    <row r="981" spans="1:12" x14ac:dyDescent="0.25">
      <c r="A981" s="3">
        <v>45700.415995370371</v>
      </c>
      <c r="B981" t="s">
        <v>138</v>
      </c>
      <c r="C981" s="3">
        <v>45700.419791666667</v>
      </c>
      <c r="D981" t="s">
        <v>214</v>
      </c>
      <c r="E981" s="4">
        <v>0.97199999999999998</v>
      </c>
      <c r="F981" s="4">
        <v>62628.423000000003</v>
      </c>
      <c r="G981" s="4">
        <v>62629.394999999997</v>
      </c>
      <c r="H981" s="5">
        <f>79 / 86400</f>
        <v>9.1435185185185185E-4</v>
      </c>
      <c r="I981" t="s">
        <v>181</v>
      </c>
      <c r="J981" t="s">
        <v>126</v>
      </c>
      <c r="K981" s="5">
        <f>328 / 86400</f>
        <v>3.7962962962962963E-3</v>
      </c>
      <c r="L981" s="5">
        <f>1515 / 86400</f>
        <v>1.7534722222222222E-2</v>
      </c>
    </row>
    <row r="982" spans="1:12" x14ac:dyDescent="0.25">
      <c r="A982" s="3">
        <v>45700.437326388885</v>
      </c>
      <c r="B982" t="s">
        <v>214</v>
      </c>
      <c r="C982" s="3">
        <v>45700.622928240744</v>
      </c>
      <c r="D982" t="s">
        <v>138</v>
      </c>
      <c r="E982" s="4">
        <v>79.097999999999999</v>
      </c>
      <c r="F982" s="4">
        <v>62629.394999999997</v>
      </c>
      <c r="G982" s="4">
        <v>62708.493000000002</v>
      </c>
      <c r="H982" s="5">
        <f>4830 / 86400</f>
        <v>5.590277777777778E-2</v>
      </c>
      <c r="I982" t="s">
        <v>33</v>
      </c>
      <c r="J982" t="s">
        <v>31</v>
      </c>
      <c r="K982" s="5">
        <f>16035 / 86400</f>
        <v>0.18559027777777778</v>
      </c>
      <c r="L982" s="5">
        <f>688 / 86400</f>
        <v>7.9629629629629634E-3</v>
      </c>
    </row>
    <row r="983" spans="1:12" x14ac:dyDescent="0.25">
      <c r="A983" s="3">
        <v>45700.630891203706</v>
      </c>
      <c r="B983" t="s">
        <v>138</v>
      </c>
      <c r="C983" s="3">
        <v>45700.631585648152</v>
      </c>
      <c r="D983" t="s">
        <v>138</v>
      </c>
      <c r="E983" s="4">
        <v>3.6999999999999998E-2</v>
      </c>
      <c r="F983" s="4">
        <v>62708.493000000002</v>
      </c>
      <c r="G983" s="4">
        <v>62708.53</v>
      </c>
      <c r="H983" s="5">
        <f>20 / 86400</f>
        <v>2.3148148148148149E-4</v>
      </c>
      <c r="I983" t="s">
        <v>149</v>
      </c>
      <c r="J983" t="s">
        <v>128</v>
      </c>
      <c r="K983" s="5">
        <f>60 / 86400</f>
        <v>6.9444444444444447E-4</v>
      </c>
      <c r="L983" s="5">
        <f>964 / 86400</f>
        <v>1.1157407407407408E-2</v>
      </c>
    </row>
    <row r="984" spans="1:12" x14ac:dyDescent="0.25">
      <c r="A984" s="3">
        <v>45700.642743055556</v>
      </c>
      <c r="B984" t="s">
        <v>138</v>
      </c>
      <c r="C984" s="3">
        <v>45700.647118055553</v>
      </c>
      <c r="D984" t="s">
        <v>92</v>
      </c>
      <c r="E984" s="4">
        <v>0.93200000000000005</v>
      </c>
      <c r="F984" s="4">
        <v>62708.53</v>
      </c>
      <c r="G984" s="4">
        <v>62709.462</v>
      </c>
      <c r="H984" s="5">
        <f>79 / 86400</f>
        <v>9.1435185185185185E-4</v>
      </c>
      <c r="I984" t="s">
        <v>70</v>
      </c>
      <c r="J984" t="s">
        <v>137</v>
      </c>
      <c r="K984" s="5">
        <f>378 / 86400</f>
        <v>4.3750000000000004E-3</v>
      </c>
      <c r="L984" s="5">
        <f>511 / 86400</f>
        <v>5.9143518518518521E-3</v>
      </c>
    </row>
    <row r="985" spans="1:12" x14ac:dyDescent="0.25">
      <c r="A985" s="3">
        <v>45700.653032407412</v>
      </c>
      <c r="B985" t="s">
        <v>92</v>
      </c>
      <c r="C985" s="3">
        <v>45700.990810185191</v>
      </c>
      <c r="D985" t="s">
        <v>98</v>
      </c>
      <c r="E985" s="4">
        <v>156.38</v>
      </c>
      <c r="F985" s="4">
        <v>62709.462</v>
      </c>
      <c r="G985" s="4">
        <v>62865.841999999997</v>
      </c>
      <c r="H985" s="5">
        <f>8281 / 86400</f>
        <v>9.5844907407407406E-2</v>
      </c>
      <c r="I985" t="s">
        <v>51</v>
      </c>
      <c r="J985" t="s">
        <v>23</v>
      </c>
      <c r="K985" s="5">
        <f>29184 / 86400</f>
        <v>0.33777777777777779</v>
      </c>
      <c r="L985" s="5">
        <f>793 / 86400</f>
        <v>9.1782407407407403E-3</v>
      </c>
    </row>
    <row r="986" spans="1:12" x14ac:dyDescent="0.25">
      <c r="A986" s="12"/>
      <c r="B986" s="12"/>
      <c r="C986" s="12"/>
      <c r="D986" s="12"/>
      <c r="E986" s="12"/>
      <c r="F986" s="12"/>
      <c r="G986" s="12"/>
      <c r="H986" s="12"/>
      <c r="I986" s="12"/>
      <c r="J986" s="12"/>
    </row>
    <row r="987" spans="1:12" x14ac:dyDescent="0.25">
      <c r="A987" s="12"/>
      <c r="B987" s="12"/>
      <c r="C987" s="12"/>
      <c r="D987" s="12"/>
      <c r="E987" s="12"/>
      <c r="F987" s="12"/>
      <c r="G987" s="12"/>
      <c r="H987" s="12"/>
      <c r="I987" s="12"/>
      <c r="J987" s="12"/>
    </row>
    <row r="988" spans="1:12" s="10" customFormat="1" ht="20.100000000000001" customHeight="1" x14ac:dyDescent="0.35">
      <c r="A988" s="15" t="s">
        <v>362</v>
      </c>
      <c r="B988" s="15"/>
      <c r="C988" s="15"/>
      <c r="D988" s="15"/>
      <c r="E988" s="15"/>
      <c r="F988" s="15"/>
      <c r="G988" s="15"/>
      <c r="H988" s="15"/>
      <c r="I988" s="15"/>
      <c r="J988" s="15"/>
    </row>
    <row r="989" spans="1:12" x14ac:dyDescent="0.25">
      <c r="A989" s="12"/>
      <c r="B989" s="12"/>
      <c r="C989" s="12"/>
      <c r="D989" s="12"/>
      <c r="E989" s="12"/>
      <c r="F989" s="12"/>
      <c r="G989" s="12"/>
      <c r="H989" s="12"/>
      <c r="I989" s="12"/>
      <c r="J989" s="12"/>
    </row>
    <row r="990" spans="1:12" ht="30" x14ac:dyDescent="0.25">
      <c r="A990" s="2" t="s">
        <v>6</v>
      </c>
      <c r="B990" s="2" t="s">
        <v>7</v>
      </c>
      <c r="C990" s="2" t="s">
        <v>8</v>
      </c>
      <c r="D990" s="2" t="s">
        <v>9</v>
      </c>
      <c r="E990" s="2" t="s">
        <v>10</v>
      </c>
      <c r="F990" s="2" t="s">
        <v>11</v>
      </c>
      <c r="G990" s="2" t="s">
        <v>12</v>
      </c>
      <c r="H990" s="2" t="s">
        <v>13</v>
      </c>
      <c r="I990" s="2" t="s">
        <v>14</v>
      </c>
      <c r="J990" s="2" t="s">
        <v>15</v>
      </c>
      <c r="K990" s="2" t="s">
        <v>16</v>
      </c>
      <c r="L990" s="2" t="s">
        <v>17</v>
      </c>
    </row>
    <row r="991" spans="1:12" x14ac:dyDescent="0.25">
      <c r="A991" s="3">
        <v>45700</v>
      </c>
      <c r="B991" t="s">
        <v>72</v>
      </c>
      <c r="C991" s="3">
        <v>45700.05305555556</v>
      </c>
      <c r="D991" t="s">
        <v>92</v>
      </c>
      <c r="E991" s="4">
        <v>29.007000000000001</v>
      </c>
      <c r="F991" s="4">
        <v>291619.18699999998</v>
      </c>
      <c r="G991" s="4">
        <v>291648.19400000002</v>
      </c>
      <c r="H991" s="5">
        <f>1660 / 86400</f>
        <v>1.9212962962962963E-2</v>
      </c>
      <c r="I991" t="s">
        <v>37</v>
      </c>
      <c r="J991" t="s">
        <v>116</v>
      </c>
      <c r="K991" s="5">
        <f>4584 / 86400</f>
        <v>5.3055555555555557E-2</v>
      </c>
      <c r="L991" s="5">
        <f>81815 / 86400</f>
        <v>0.94693287037037033</v>
      </c>
    </row>
    <row r="992" spans="1:12" x14ac:dyDescent="0.25">
      <c r="A992" s="12"/>
      <c r="B992" s="12"/>
      <c r="C992" s="12"/>
      <c r="D992" s="12"/>
      <c r="E992" s="12"/>
      <c r="F992" s="12"/>
      <c r="G992" s="12"/>
      <c r="H992" s="12"/>
      <c r="I992" s="12"/>
      <c r="J992" s="12"/>
    </row>
    <row r="993" spans="1:10" x14ac:dyDescent="0.25">
      <c r="A993" s="12" t="s">
        <v>118</v>
      </c>
      <c r="B993" s="12"/>
      <c r="C993" s="12"/>
      <c r="D993" s="12"/>
      <c r="E993" s="12"/>
      <c r="F993" s="12"/>
      <c r="G993" s="12"/>
      <c r="H993" s="12"/>
      <c r="I993" s="12"/>
      <c r="J993" s="12"/>
    </row>
  </sheetData>
  <mergeCells count="254">
    <mergeCell ref="A989:J989"/>
    <mergeCell ref="A992:J992"/>
    <mergeCell ref="A993:J993"/>
    <mergeCell ref="A949:J949"/>
    <mergeCell ref="A950:J950"/>
    <mergeCell ref="A974:J974"/>
    <mergeCell ref="A975:J975"/>
    <mergeCell ref="A976:J976"/>
    <mergeCell ref="A977:J977"/>
    <mergeCell ref="A986:J986"/>
    <mergeCell ref="A987:J987"/>
    <mergeCell ref="A988:J988"/>
    <mergeCell ref="A912:J912"/>
    <mergeCell ref="A913:J913"/>
    <mergeCell ref="A914:J914"/>
    <mergeCell ref="A923:J923"/>
    <mergeCell ref="A924:J924"/>
    <mergeCell ref="A925:J925"/>
    <mergeCell ref="A926:J926"/>
    <mergeCell ref="A947:J947"/>
    <mergeCell ref="A948:J948"/>
    <mergeCell ref="A880:J880"/>
    <mergeCell ref="A881:J881"/>
    <mergeCell ref="A882:J882"/>
    <mergeCell ref="A883:J883"/>
    <mergeCell ref="A892:J892"/>
    <mergeCell ref="A893:J893"/>
    <mergeCell ref="A894:J894"/>
    <mergeCell ref="A895:J895"/>
    <mergeCell ref="A911:J911"/>
    <mergeCell ref="A850:J850"/>
    <mergeCell ref="A857:J857"/>
    <mergeCell ref="A858:J858"/>
    <mergeCell ref="A859:J859"/>
    <mergeCell ref="A860:J860"/>
    <mergeCell ref="A870:J870"/>
    <mergeCell ref="A871:J871"/>
    <mergeCell ref="A872:J872"/>
    <mergeCell ref="A873:J873"/>
    <mergeCell ref="A824:J824"/>
    <mergeCell ref="A825:J825"/>
    <mergeCell ref="A835:J835"/>
    <mergeCell ref="A836:J836"/>
    <mergeCell ref="A837:J837"/>
    <mergeCell ref="A838:J838"/>
    <mergeCell ref="A847:J847"/>
    <mergeCell ref="A848:J848"/>
    <mergeCell ref="A849:J849"/>
    <mergeCell ref="A792:J792"/>
    <mergeCell ref="A793:J793"/>
    <mergeCell ref="A794:J794"/>
    <mergeCell ref="A803:J803"/>
    <mergeCell ref="A804:J804"/>
    <mergeCell ref="A805:J805"/>
    <mergeCell ref="A806:J806"/>
    <mergeCell ref="A822:J822"/>
    <mergeCell ref="A823:J823"/>
    <mergeCell ref="A752:J752"/>
    <mergeCell ref="A753:J753"/>
    <mergeCell ref="A754:J754"/>
    <mergeCell ref="A755:J755"/>
    <mergeCell ref="A772:J772"/>
    <mergeCell ref="A773:J773"/>
    <mergeCell ref="A774:J774"/>
    <mergeCell ref="A775:J775"/>
    <mergeCell ref="A791:J791"/>
    <mergeCell ref="A723:J723"/>
    <mergeCell ref="A732:J732"/>
    <mergeCell ref="A733:J733"/>
    <mergeCell ref="A734:J734"/>
    <mergeCell ref="A735:J735"/>
    <mergeCell ref="A739:J739"/>
    <mergeCell ref="A740:J740"/>
    <mergeCell ref="A741:J741"/>
    <mergeCell ref="A742:J742"/>
    <mergeCell ref="A694:J694"/>
    <mergeCell ref="A695:J695"/>
    <mergeCell ref="A704:J704"/>
    <mergeCell ref="A705:J705"/>
    <mergeCell ref="A706:J706"/>
    <mergeCell ref="A707:J707"/>
    <mergeCell ref="A720:J720"/>
    <mergeCell ref="A721:J721"/>
    <mergeCell ref="A722:J722"/>
    <mergeCell ref="A659:J659"/>
    <mergeCell ref="A660:J660"/>
    <mergeCell ref="A661:J661"/>
    <mergeCell ref="A678:J678"/>
    <mergeCell ref="A679:J679"/>
    <mergeCell ref="A680:J680"/>
    <mergeCell ref="A681:J681"/>
    <mergeCell ref="A692:J692"/>
    <mergeCell ref="A693:J693"/>
    <mergeCell ref="A631:J631"/>
    <mergeCell ref="A632:J632"/>
    <mergeCell ref="A633:J633"/>
    <mergeCell ref="A634:J634"/>
    <mergeCell ref="A646:J646"/>
    <mergeCell ref="A647:J647"/>
    <mergeCell ref="A648:J648"/>
    <mergeCell ref="A649:J649"/>
    <mergeCell ref="A658:J658"/>
    <mergeCell ref="A582:J582"/>
    <mergeCell ref="A597:J597"/>
    <mergeCell ref="A598:J598"/>
    <mergeCell ref="A599:J599"/>
    <mergeCell ref="A600:J600"/>
    <mergeCell ref="A615:J615"/>
    <mergeCell ref="A616:J616"/>
    <mergeCell ref="A617:J617"/>
    <mergeCell ref="A618:J618"/>
    <mergeCell ref="A557:J557"/>
    <mergeCell ref="A558:J558"/>
    <mergeCell ref="A566:J566"/>
    <mergeCell ref="A567:J567"/>
    <mergeCell ref="A568:J568"/>
    <mergeCell ref="A569:J569"/>
    <mergeCell ref="A579:J579"/>
    <mergeCell ref="A580:J580"/>
    <mergeCell ref="A581:J581"/>
    <mergeCell ref="A532:J532"/>
    <mergeCell ref="A533:J533"/>
    <mergeCell ref="A534:J534"/>
    <mergeCell ref="A537:J537"/>
    <mergeCell ref="A538:J538"/>
    <mergeCell ref="A539:J539"/>
    <mergeCell ref="A540:J540"/>
    <mergeCell ref="A555:J555"/>
    <mergeCell ref="A556:J556"/>
    <mergeCell ref="A478:J478"/>
    <mergeCell ref="A479:J479"/>
    <mergeCell ref="A480:J480"/>
    <mergeCell ref="A481:J481"/>
    <mergeCell ref="A509:J509"/>
    <mergeCell ref="A510:J510"/>
    <mergeCell ref="A511:J511"/>
    <mergeCell ref="A512:J512"/>
    <mergeCell ref="A531:J531"/>
    <mergeCell ref="A422:J422"/>
    <mergeCell ref="A440:J440"/>
    <mergeCell ref="A441:J441"/>
    <mergeCell ref="A442:J442"/>
    <mergeCell ref="A443:J443"/>
    <mergeCell ref="A459:J459"/>
    <mergeCell ref="A460:J460"/>
    <mergeCell ref="A461:J461"/>
    <mergeCell ref="A462:J462"/>
    <mergeCell ref="A395:J395"/>
    <mergeCell ref="A396:J396"/>
    <mergeCell ref="A403:J403"/>
    <mergeCell ref="A404:J404"/>
    <mergeCell ref="A405:J405"/>
    <mergeCell ref="A406:J406"/>
    <mergeCell ref="A419:J419"/>
    <mergeCell ref="A420:J420"/>
    <mergeCell ref="A421:J421"/>
    <mergeCell ref="A354:J354"/>
    <mergeCell ref="A355:J355"/>
    <mergeCell ref="A356:J356"/>
    <mergeCell ref="A369:J369"/>
    <mergeCell ref="A370:J370"/>
    <mergeCell ref="A371:J371"/>
    <mergeCell ref="A372:J372"/>
    <mergeCell ref="A393:J393"/>
    <mergeCell ref="A394:J394"/>
    <mergeCell ref="A333:J333"/>
    <mergeCell ref="A334:J334"/>
    <mergeCell ref="A335:J335"/>
    <mergeCell ref="A336:J336"/>
    <mergeCell ref="A343:J343"/>
    <mergeCell ref="A344:J344"/>
    <mergeCell ref="A345:J345"/>
    <mergeCell ref="A346:J346"/>
    <mergeCell ref="A353:J353"/>
    <mergeCell ref="A298:J298"/>
    <mergeCell ref="A309:J309"/>
    <mergeCell ref="A310:J310"/>
    <mergeCell ref="A311:J311"/>
    <mergeCell ref="A312:J312"/>
    <mergeCell ref="A320:J320"/>
    <mergeCell ref="A321:J321"/>
    <mergeCell ref="A322:J322"/>
    <mergeCell ref="A323:J323"/>
    <mergeCell ref="A257:J257"/>
    <mergeCell ref="A258:J258"/>
    <mergeCell ref="A275:J275"/>
    <mergeCell ref="A276:J276"/>
    <mergeCell ref="A277:J277"/>
    <mergeCell ref="A278:J278"/>
    <mergeCell ref="A295:J295"/>
    <mergeCell ref="A296:J296"/>
    <mergeCell ref="A297:J297"/>
    <mergeCell ref="A227:J227"/>
    <mergeCell ref="A228:J228"/>
    <mergeCell ref="A229:J229"/>
    <mergeCell ref="A238:J238"/>
    <mergeCell ref="A239:J239"/>
    <mergeCell ref="A240:J240"/>
    <mergeCell ref="A241:J241"/>
    <mergeCell ref="A255:J255"/>
    <mergeCell ref="A256:J256"/>
    <mergeCell ref="A208:J208"/>
    <mergeCell ref="A209:J209"/>
    <mergeCell ref="A210:J210"/>
    <mergeCell ref="A211:J211"/>
    <mergeCell ref="A218:J218"/>
    <mergeCell ref="A219:J219"/>
    <mergeCell ref="A220:J220"/>
    <mergeCell ref="A221:J221"/>
    <mergeCell ref="A226:J226"/>
    <mergeCell ref="A173:J173"/>
    <mergeCell ref="A177:J177"/>
    <mergeCell ref="A178:J178"/>
    <mergeCell ref="A179:J179"/>
    <mergeCell ref="A180:J180"/>
    <mergeCell ref="A189:J189"/>
    <mergeCell ref="A190:J190"/>
    <mergeCell ref="A191:J191"/>
    <mergeCell ref="A192:J192"/>
    <mergeCell ref="A143:J143"/>
    <mergeCell ref="A144:J144"/>
    <mergeCell ref="A155:J155"/>
    <mergeCell ref="A156:J156"/>
    <mergeCell ref="A157:J157"/>
    <mergeCell ref="A158:J158"/>
    <mergeCell ref="A170:J170"/>
    <mergeCell ref="A171:J171"/>
    <mergeCell ref="A172:J172"/>
    <mergeCell ref="A100:J100"/>
    <mergeCell ref="A101:J101"/>
    <mergeCell ref="A102:J102"/>
    <mergeCell ref="A123:J123"/>
    <mergeCell ref="A124:J124"/>
    <mergeCell ref="A125:J125"/>
    <mergeCell ref="A126:J126"/>
    <mergeCell ref="A141:J141"/>
    <mergeCell ref="A142:J142"/>
    <mergeCell ref="A72:J72"/>
    <mergeCell ref="A73:J73"/>
    <mergeCell ref="A74:J74"/>
    <mergeCell ref="A75:J75"/>
    <mergeCell ref="A87:J87"/>
    <mergeCell ref="A88:J88"/>
    <mergeCell ref="A89:J89"/>
    <mergeCell ref="A90:J90"/>
    <mergeCell ref="A99:J99"/>
    <mergeCell ref="A1:J1"/>
    <mergeCell ref="A2:J2"/>
    <mergeCell ref="A3:J3"/>
    <mergeCell ref="A4:J4"/>
    <mergeCell ref="A5:J5"/>
    <mergeCell ref="A6:J6"/>
    <mergeCell ref="A70:J70"/>
    <mergeCell ref="A71:J71"/>
  </mergeCell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2025-09-22T19:52:24Z</dcterms:created>
  <dcterms:modified xsi:type="dcterms:W3CDTF">2025-09-23T05:31:48Z</dcterms:modified>
</cp:coreProperties>
</file>