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codeName="ThisWorkbook"/>
  <xr:revisionPtr revIDLastSave="0" documentId="13_ncr:1_{8EDF4141-694C-487A-B1B1-C64F952FDC00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L1329" i="1" l="1"/>
  <c r="K1329" i="1"/>
  <c r="H1329" i="1"/>
  <c r="L1323" i="1"/>
  <c r="K1323" i="1"/>
  <c r="H1323" i="1"/>
  <c r="L1322" i="1"/>
  <c r="K1322" i="1"/>
  <c r="H1322" i="1"/>
  <c r="L1321" i="1"/>
  <c r="K1321" i="1"/>
  <c r="H1321" i="1"/>
  <c r="L1320" i="1"/>
  <c r="K1320" i="1"/>
  <c r="H1320" i="1"/>
  <c r="L1319" i="1"/>
  <c r="K1319" i="1"/>
  <c r="H1319" i="1"/>
  <c r="L1318" i="1"/>
  <c r="K1318" i="1"/>
  <c r="H1318" i="1"/>
  <c r="L1317" i="1"/>
  <c r="K1317" i="1"/>
  <c r="H1317" i="1"/>
  <c r="L1316" i="1"/>
  <c r="K1316" i="1"/>
  <c r="H1316" i="1"/>
  <c r="L1315" i="1"/>
  <c r="K1315" i="1"/>
  <c r="H1315" i="1"/>
  <c r="L1314" i="1"/>
  <c r="K1314" i="1"/>
  <c r="H1314" i="1"/>
  <c r="L1313" i="1"/>
  <c r="K1313" i="1"/>
  <c r="H1313" i="1"/>
  <c r="L1312" i="1"/>
  <c r="K1312" i="1"/>
  <c r="H1312" i="1"/>
  <c r="L1306" i="1"/>
  <c r="K1306" i="1"/>
  <c r="H1306" i="1"/>
  <c r="L1305" i="1"/>
  <c r="K1305" i="1"/>
  <c r="H1305" i="1"/>
  <c r="L1304" i="1"/>
  <c r="K1304" i="1"/>
  <c r="H1304" i="1"/>
  <c r="L1303" i="1"/>
  <c r="K1303" i="1"/>
  <c r="H1303" i="1"/>
  <c r="L1302" i="1"/>
  <c r="K1302" i="1"/>
  <c r="H1302" i="1"/>
  <c r="L1301" i="1"/>
  <c r="K1301" i="1"/>
  <c r="H1301" i="1"/>
  <c r="L1300" i="1"/>
  <c r="K1300" i="1"/>
  <c r="H1300" i="1"/>
  <c r="L1299" i="1"/>
  <c r="K1299" i="1"/>
  <c r="H1299" i="1"/>
  <c r="L1298" i="1"/>
  <c r="K1298" i="1"/>
  <c r="H1298" i="1"/>
  <c r="L1297" i="1"/>
  <c r="K1297" i="1"/>
  <c r="H1297" i="1"/>
  <c r="L1296" i="1"/>
  <c r="K1296" i="1"/>
  <c r="H1296" i="1"/>
  <c r="L1290" i="1"/>
  <c r="K1290" i="1"/>
  <c r="H1290" i="1"/>
  <c r="L1289" i="1"/>
  <c r="K1289" i="1"/>
  <c r="H1289" i="1"/>
  <c r="L1288" i="1"/>
  <c r="K1288" i="1"/>
  <c r="H1288" i="1"/>
  <c r="L1287" i="1"/>
  <c r="K1287" i="1"/>
  <c r="H1287" i="1"/>
  <c r="L1286" i="1"/>
  <c r="K1286" i="1"/>
  <c r="H1286" i="1"/>
  <c r="L1285" i="1"/>
  <c r="K1285" i="1"/>
  <c r="H1285" i="1"/>
  <c r="L1284" i="1"/>
  <c r="K1284" i="1"/>
  <c r="H1284" i="1"/>
  <c r="L1283" i="1"/>
  <c r="K1283" i="1"/>
  <c r="H1283" i="1"/>
  <c r="L1282" i="1"/>
  <c r="K1282" i="1"/>
  <c r="H1282" i="1"/>
  <c r="L1276" i="1"/>
  <c r="K1276" i="1"/>
  <c r="H1276" i="1"/>
  <c r="L1275" i="1"/>
  <c r="K1275" i="1"/>
  <c r="H1275" i="1"/>
  <c r="L1274" i="1"/>
  <c r="K1274" i="1"/>
  <c r="H1274" i="1"/>
  <c r="L1273" i="1"/>
  <c r="K1273" i="1"/>
  <c r="H1273" i="1"/>
  <c r="L1272" i="1"/>
  <c r="K1272" i="1"/>
  <c r="H1272" i="1"/>
  <c r="L1271" i="1"/>
  <c r="K1271" i="1"/>
  <c r="H1271" i="1"/>
  <c r="L1265" i="1"/>
  <c r="K1265" i="1"/>
  <c r="H1265" i="1"/>
  <c r="L1264" i="1"/>
  <c r="K1264" i="1"/>
  <c r="H1264" i="1"/>
  <c r="L1263" i="1"/>
  <c r="K1263" i="1"/>
  <c r="H1263" i="1"/>
  <c r="L1262" i="1"/>
  <c r="K1262" i="1"/>
  <c r="H1262" i="1"/>
  <c r="L1261" i="1"/>
  <c r="K1261" i="1"/>
  <c r="H1261" i="1"/>
  <c r="L1260" i="1"/>
  <c r="K1260" i="1"/>
  <c r="H1260" i="1"/>
  <c r="L1259" i="1"/>
  <c r="K1259" i="1"/>
  <c r="H1259" i="1"/>
  <c r="L1258" i="1"/>
  <c r="K1258" i="1"/>
  <c r="H1258" i="1"/>
  <c r="L1257" i="1"/>
  <c r="K1257" i="1"/>
  <c r="H1257" i="1"/>
  <c r="L1256" i="1"/>
  <c r="K1256" i="1"/>
  <c r="H1256" i="1"/>
  <c r="L1255" i="1"/>
  <c r="K1255" i="1"/>
  <c r="H1255" i="1"/>
  <c r="L1254" i="1"/>
  <c r="K1254" i="1"/>
  <c r="H1254" i="1"/>
  <c r="L1253" i="1"/>
  <c r="K1253" i="1"/>
  <c r="H1253" i="1"/>
  <c r="L1252" i="1"/>
  <c r="K1252" i="1"/>
  <c r="H1252" i="1"/>
  <c r="L1251" i="1"/>
  <c r="K1251" i="1"/>
  <c r="H1251" i="1"/>
  <c r="L1250" i="1"/>
  <c r="K1250" i="1"/>
  <c r="H1250" i="1"/>
  <c r="L1249" i="1"/>
  <c r="K1249" i="1"/>
  <c r="H1249" i="1"/>
  <c r="L1248" i="1"/>
  <c r="K1248" i="1"/>
  <c r="H1248" i="1"/>
  <c r="L1247" i="1"/>
  <c r="K1247" i="1"/>
  <c r="H1247" i="1"/>
  <c r="L1246" i="1"/>
  <c r="K1246" i="1"/>
  <c r="H1246" i="1"/>
  <c r="L1245" i="1"/>
  <c r="K1245" i="1"/>
  <c r="H1245" i="1"/>
  <c r="L1244" i="1"/>
  <c r="K1244" i="1"/>
  <c r="H1244" i="1"/>
  <c r="L1243" i="1"/>
  <c r="K1243" i="1"/>
  <c r="H1243" i="1"/>
  <c r="L1242" i="1"/>
  <c r="K1242" i="1"/>
  <c r="H1242" i="1"/>
  <c r="L1236" i="1"/>
  <c r="K1236" i="1"/>
  <c r="H1236" i="1"/>
  <c r="L1235" i="1"/>
  <c r="K1235" i="1"/>
  <c r="H1235" i="1"/>
  <c r="L1229" i="1"/>
  <c r="K1229" i="1"/>
  <c r="H1229" i="1"/>
  <c r="L1228" i="1"/>
  <c r="K1228" i="1"/>
  <c r="H1228" i="1"/>
  <c r="L1227" i="1"/>
  <c r="K1227" i="1"/>
  <c r="H1227" i="1"/>
  <c r="L1226" i="1"/>
  <c r="K1226" i="1"/>
  <c r="H1226" i="1"/>
  <c r="L1225" i="1"/>
  <c r="K1225" i="1"/>
  <c r="H1225" i="1"/>
  <c r="L1224" i="1"/>
  <c r="K1224" i="1"/>
  <c r="H1224" i="1"/>
  <c r="L1223" i="1"/>
  <c r="K1223" i="1"/>
  <c r="H1223" i="1"/>
  <c r="L1222" i="1"/>
  <c r="K1222" i="1"/>
  <c r="H1222" i="1"/>
  <c r="L1216" i="1"/>
  <c r="K1216" i="1"/>
  <c r="H1216" i="1"/>
  <c r="L1215" i="1"/>
  <c r="K1215" i="1"/>
  <c r="H1215" i="1"/>
  <c r="L1214" i="1"/>
  <c r="K1214" i="1"/>
  <c r="H1214" i="1"/>
  <c r="L1213" i="1"/>
  <c r="K1213" i="1"/>
  <c r="H1213" i="1"/>
  <c r="L1212" i="1"/>
  <c r="K1212" i="1"/>
  <c r="H1212" i="1"/>
  <c r="L1211" i="1"/>
  <c r="K1211" i="1"/>
  <c r="H1211" i="1"/>
  <c r="L1210" i="1"/>
  <c r="K1210" i="1"/>
  <c r="H1210" i="1"/>
  <c r="L1204" i="1"/>
  <c r="K1204" i="1"/>
  <c r="H1204" i="1"/>
  <c r="L1203" i="1"/>
  <c r="K1203" i="1"/>
  <c r="H1203" i="1"/>
  <c r="L1202" i="1"/>
  <c r="K1202" i="1"/>
  <c r="H1202" i="1"/>
  <c r="L1201" i="1"/>
  <c r="K1201" i="1"/>
  <c r="H1201" i="1"/>
  <c r="L1200" i="1"/>
  <c r="K1200" i="1"/>
  <c r="H1200" i="1"/>
  <c r="L1199" i="1"/>
  <c r="K1199" i="1"/>
  <c r="H1199" i="1"/>
  <c r="L1198" i="1"/>
  <c r="K1198" i="1"/>
  <c r="H1198" i="1"/>
  <c r="L1192" i="1"/>
  <c r="K1192" i="1"/>
  <c r="H1192" i="1"/>
  <c r="L1191" i="1"/>
  <c r="K1191" i="1"/>
  <c r="H1191" i="1"/>
  <c r="L1190" i="1"/>
  <c r="K1190" i="1"/>
  <c r="H1190" i="1"/>
  <c r="L1189" i="1"/>
  <c r="K1189" i="1"/>
  <c r="H1189" i="1"/>
  <c r="L1188" i="1"/>
  <c r="K1188" i="1"/>
  <c r="H1188" i="1"/>
  <c r="L1187" i="1"/>
  <c r="K1187" i="1"/>
  <c r="H1187" i="1"/>
  <c r="L1186" i="1"/>
  <c r="K1186" i="1"/>
  <c r="H1186" i="1"/>
  <c r="L1185" i="1"/>
  <c r="K1185" i="1"/>
  <c r="H1185" i="1"/>
  <c r="L1184" i="1"/>
  <c r="K1184" i="1"/>
  <c r="H1184" i="1"/>
  <c r="L1183" i="1"/>
  <c r="K1183" i="1"/>
  <c r="H1183" i="1"/>
  <c r="L1182" i="1"/>
  <c r="K1182" i="1"/>
  <c r="H1182" i="1"/>
  <c r="L1181" i="1"/>
  <c r="K1181" i="1"/>
  <c r="H1181" i="1"/>
  <c r="L1175" i="1"/>
  <c r="K1175" i="1"/>
  <c r="H1175" i="1"/>
  <c r="L1174" i="1"/>
  <c r="K1174" i="1"/>
  <c r="H1174" i="1"/>
  <c r="L1173" i="1"/>
  <c r="K1173" i="1"/>
  <c r="H1173" i="1"/>
  <c r="L1172" i="1"/>
  <c r="K1172" i="1"/>
  <c r="H1172" i="1"/>
  <c r="L1171" i="1"/>
  <c r="K1171" i="1"/>
  <c r="H1171" i="1"/>
  <c r="L1170" i="1"/>
  <c r="K1170" i="1"/>
  <c r="H1170" i="1"/>
  <c r="L1169" i="1"/>
  <c r="K1169" i="1"/>
  <c r="H1169" i="1"/>
  <c r="L1168" i="1"/>
  <c r="K1168" i="1"/>
  <c r="H1168" i="1"/>
  <c r="L1167" i="1"/>
  <c r="K1167" i="1"/>
  <c r="H1167" i="1"/>
  <c r="L1166" i="1"/>
  <c r="K1166" i="1"/>
  <c r="H1166" i="1"/>
  <c r="L1165" i="1"/>
  <c r="K1165" i="1"/>
  <c r="H1165" i="1"/>
  <c r="L1164" i="1"/>
  <c r="K1164" i="1"/>
  <c r="H1164" i="1"/>
  <c r="L1158" i="1"/>
  <c r="K1158" i="1"/>
  <c r="H1158" i="1"/>
  <c r="L1157" i="1"/>
  <c r="K1157" i="1"/>
  <c r="H1157" i="1"/>
  <c r="L1156" i="1"/>
  <c r="K1156" i="1"/>
  <c r="H1156" i="1"/>
  <c r="L1155" i="1"/>
  <c r="K1155" i="1"/>
  <c r="H1155" i="1"/>
  <c r="L1154" i="1"/>
  <c r="K1154" i="1"/>
  <c r="H1154" i="1"/>
  <c r="L1153" i="1"/>
  <c r="K1153" i="1"/>
  <c r="H1153" i="1"/>
  <c r="L1152" i="1"/>
  <c r="K1152" i="1"/>
  <c r="H1152" i="1"/>
  <c r="L1151" i="1"/>
  <c r="K1151" i="1"/>
  <c r="H1151" i="1"/>
  <c r="L1150" i="1"/>
  <c r="K1150" i="1"/>
  <c r="H1150" i="1"/>
  <c r="L1149" i="1"/>
  <c r="K1149" i="1"/>
  <c r="H1149" i="1"/>
  <c r="L1148" i="1"/>
  <c r="K1148" i="1"/>
  <c r="H1148" i="1"/>
  <c r="L1147" i="1"/>
  <c r="K1147" i="1"/>
  <c r="H1147" i="1"/>
  <c r="L1146" i="1"/>
  <c r="K1146" i="1"/>
  <c r="H1146" i="1"/>
  <c r="L1145" i="1"/>
  <c r="K1145" i="1"/>
  <c r="H1145" i="1"/>
  <c r="L1144" i="1"/>
  <c r="K1144" i="1"/>
  <c r="H1144" i="1"/>
  <c r="L1143" i="1"/>
  <c r="K1143" i="1"/>
  <c r="H1143" i="1"/>
  <c r="L1142" i="1"/>
  <c r="K1142" i="1"/>
  <c r="H1142" i="1"/>
  <c r="L1141" i="1"/>
  <c r="K1141" i="1"/>
  <c r="H1141" i="1"/>
  <c r="L1140" i="1"/>
  <c r="K1140" i="1"/>
  <c r="H1140" i="1"/>
  <c r="L1139" i="1"/>
  <c r="K1139" i="1"/>
  <c r="H1139" i="1"/>
  <c r="L1133" i="1"/>
  <c r="K1133" i="1"/>
  <c r="H1133" i="1"/>
  <c r="L1132" i="1"/>
  <c r="K1132" i="1"/>
  <c r="H1132" i="1"/>
  <c r="L1131" i="1"/>
  <c r="K1131" i="1"/>
  <c r="H1131" i="1"/>
  <c r="L1130" i="1"/>
  <c r="K1130" i="1"/>
  <c r="H1130" i="1"/>
  <c r="L1129" i="1"/>
  <c r="K1129" i="1"/>
  <c r="H1129" i="1"/>
  <c r="L1128" i="1"/>
  <c r="K1128" i="1"/>
  <c r="H1128" i="1"/>
  <c r="L1127" i="1"/>
  <c r="K1127" i="1"/>
  <c r="H1127" i="1"/>
  <c r="L1121" i="1"/>
  <c r="K1121" i="1"/>
  <c r="H1121" i="1"/>
  <c r="L1120" i="1"/>
  <c r="K1120" i="1"/>
  <c r="H1120" i="1"/>
  <c r="L1119" i="1"/>
  <c r="K1119" i="1"/>
  <c r="H1119" i="1"/>
  <c r="L1118" i="1"/>
  <c r="K1118" i="1"/>
  <c r="H1118" i="1"/>
  <c r="L1117" i="1"/>
  <c r="K1117" i="1"/>
  <c r="H1117" i="1"/>
  <c r="L1116" i="1"/>
  <c r="K1116" i="1"/>
  <c r="H1116" i="1"/>
  <c r="L1115" i="1"/>
  <c r="K1115" i="1"/>
  <c r="H1115" i="1"/>
  <c r="L1114" i="1"/>
  <c r="K1114" i="1"/>
  <c r="H1114" i="1"/>
  <c r="L1113" i="1"/>
  <c r="K1113" i="1"/>
  <c r="H1113" i="1"/>
  <c r="L1112" i="1"/>
  <c r="K1112" i="1"/>
  <c r="H1112" i="1"/>
  <c r="L1111" i="1"/>
  <c r="K1111" i="1"/>
  <c r="H1111" i="1"/>
  <c r="L1110" i="1"/>
  <c r="K1110" i="1"/>
  <c r="H1110" i="1"/>
  <c r="L1109" i="1"/>
  <c r="K1109" i="1"/>
  <c r="H1109" i="1"/>
  <c r="L1108" i="1"/>
  <c r="K1108" i="1"/>
  <c r="H1108" i="1"/>
  <c r="L1107" i="1"/>
  <c r="K1107" i="1"/>
  <c r="H1107" i="1"/>
  <c r="L1106" i="1"/>
  <c r="K1106" i="1"/>
  <c r="H1106" i="1"/>
  <c r="L1105" i="1"/>
  <c r="K1105" i="1"/>
  <c r="H1105" i="1"/>
  <c r="L1104" i="1"/>
  <c r="K1104" i="1"/>
  <c r="H1104" i="1"/>
  <c r="L1103" i="1"/>
  <c r="K1103" i="1"/>
  <c r="H1103" i="1"/>
  <c r="L1102" i="1"/>
  <c r="K1102" i="1"/>
  <c r="H1102" i="1"/>
  <c r="L1101" i="1"/>
  <c r="K1101" i="1"/>
  <c r="H1101" i="1"/>
  <c r="L1095" i="1"/>
  <c r="K1095" i="1"/>
  <c r="H1095" i="1"/>
  <c r="L1094" i="1"/>
  <c r="K1094" i="1"/>
  <c r="H1094" i="1"/>
  <c r="L1093" i="1"/>
  <c r="K1093" i="1"/>
  <c r="H1093" i="1"/>
  <c r="L1092" i="1"/>
  <c r="K1092" i="1"/>
  <c r="H1092" i="1"/>
  <c r="L1091" i="1"/>
  <c r="K1091" i="1"/>
  <c r="H1091" i="1"/>
  <c r="L1090" i="1"/>
  <c r="K1090" i="1"/>
  <c r="H1090" i="1"/>
  <c r="L1089" i="1"/>
  <c r="K1089" i="1"/>
  <c r="H1089" i="1"/>
  <c r="L1088" i="1"/>
  <c r="K1088" i="1"/>
  <c r="H1088" i="1"/>
  <c r="L1087" i="1"/>
  <c r="K1087" i="1"/>
  <c r="H1087" i="1"/>
  <c r="L1086" i="1"/>
  <c r="K1086" i="1"/>
  <c r="H1086" i="1"/>
  <c r="L1085" i="1"/>
  <c r="K1085" i="1"/>
  <c r="H1085" i="1"/>
  <c r="L1084" i="1"/>
  <c r="K1084" i="1"/>
  <c r="H1084" i="1"/>
  <c r="L1083" i="1"/>
  <c r="K1083" i="1"/>
  <c r="H1083" i="1"/>
  <c r="L1082" i="1"/>
  <c r="K1082" i="1"/>
  <c r="H1082" i="1"/>
  <c r="L1081" i="1"/>
  <c r="K1081" i="1"/>
  <c r="H1081" i="1"/>
  <c r="L1080" i="1"/>
  <c r="K1080" i="1"/>
  <c r="H1080" i="1"/>
  <c r="L1079" i="1"/>
  <c r="K1079" i="1"/>
  <c r="H1079" i="1"/>
  <c r="L1073" i="1"/>
  <c r="K1073" i="1"/>
  <c r="H1073" i="1"/>
  <c r="L1072" i="1"/>
  <c r="K1072" i="1"/>
  <c r="H1072" i="1"/>
  <c r="L1071" i="1"/>
  <c r="K1071" i="1"/>
  <c r="H1071" i="1"/>
  <c r="L1070" i="1"/>
  <c r="K1070" i="1"/>
  <c r="H1070" i="1"/>
  <c r="L1069" i="1"/>
  <c r="K1069" i="1"/>
  <c r="H1069" i="1"/>
  <c r="L1068" i="1"/>
  <c r="K1068" i="1"/>
  <c r="H1068" i="1"/>
  <c r="L1067" i="1"/>
  <c r="K1067" i="1"/>
  <c r="H1067" i="1"/>
  <c r="L1066" i="1"/>
  <c r="K1066" i="1"/>
  <c r="H1066" i="1"/>
  <c r="L1065" i="1"/>
  <c r="K1065" i="1"/>
  <c r="H1065" i="1"/>
  <c r="L1064" i="1"/>
  <c r="K1064" i="1"/>
  <c r="H1064" i="1"/>
  <c r="L1063" i="1"/>
  <c r="K1063" i="1"/>
  <c r="H1063" i="1"/>
  <c r="L1057" i="1"/>
  <c r="K1057" i="1"/>
  <c r="H1057" i="1"/>
  <c r="L1056" i="1"/>
  <c r="K1056" i="1"/>
  <c r="H1056" i="1"/>
  <c r="L1055" i="1"/>
  <c r="K1055" i="1"/>
  <c r="H1055" i="1"/>
  <c r="L1054" i="1"/>
  <c r="K1054" i="1"/>
  <c r="H1054" i="1"/>
  <c r="L1053" i="1"/>
  <c r="K1053" i="1"/>
  <c r="H1053" i="1"/>
  <c r="L1052" i="1"/>
  <c r="K1052" i="1"/>
  <c r="H1052" i="1"/>
  <c r="L1051" i="1"/>
  <c r="K1051" i="1"/>
  <c r="H1051" i="1"/>
  <c r="L1050" i="1"/>
  <c r="K1050" i="1"/>
  <c r="H1050" i="1"/>
  <c r="L1049" i="1"/>
  <c r="K1049" i="1"/>
  <c r="H1049" i="1"/>
  <c r="L1048" i="1"/>
  <c r="K1048" i="1"/>
  <c r="H1048" i="1"/>
  <c r="L1047" i="1"/>
  <c r="K1047" i="1"/>
  <c r="H1047" i="1"/>
  <c r="L1046" i="1"/>
  <c r="K1046" i="1"/>
  <c r="H1046" i="1"/>
  <c r="L1040" i="1"/>
  <c r="K1040" i="1"/>
  <c r="H1040" i="1"/>
  <c r="L1039" i="1"/>
  <c r="K1039" i="1"/>
  <c r="H1039" i="1"/>
  <c r="L1038" i="1"/>
  <c r="K1038" i="1"/>
  <c r="H1038" i="1"/>
  <c r="L1037" i="1"/>
  <c r="K1037" i="1"/>
  <c r="H1037" i="1"/>
  <c r="L1036" i="1"/>
  <c r="K1036" i="1"/>
  <c r="H1036" i="1"/>
  <c r="L1035" i="1"/>
  <c r="K1035" i="1"/>
  <c r="H1035" i="1"/>
  <c r="L1029" i="1"/>
  <c r="K1029" i="1"/>
  <c r="H1029" i="1"/>
  <c r="L1028" i="1"/>
  <c r="K1028" i="1"/>
  <c r="H1028" i="1"/>
  <c r="L1027" i="1"/>
  <c r="K1027" i="1"/>
  <c r="H1027" i="1"/>
  <c r="L1026" i="1"/>
  <c r="K1026" i="1"/>
  <c r="H1026" i="1"/>
  <c r="L1025" i="1"/>
  <c r="K1025" i="1"/>
  <c r="H1025" i="1"/>
  <c r="L1019" i="1"/>
  <c r="K1019" i="1"/>
  <c r="H1019" i="1"/>
  <c r="L1018" i="1"/>
  <c r="K1018" i="1"/>
  <c r="H1018" i="1"/>
  <c r="L1017" i="1"/>
  <c r="K1017" i="1"/>
  <c r="H1017" i="1"/>
  <c r="L1016" i="1"/>
  <c r="K1016" i="1"/>
  <c r="H1016" i="1"/>
  <c r="L1015" i="1"/>
  <c r="K1015" i="1"/>
  <c r="H1015" i="1"/>
  <c r="L1014" i="1"/>
  <c r="K1014" i="1"/>
  <c r="H1014" i="1"/>
  <c r="L1013" i="1"/>
  <c r="K1013" i="1"/>
  <c r="H1013" i="1"/>
  <c r="L1012" i="1"/>
  <c r="K1012" i="1"/>
  <c r="H1012" i="1"/>
  <c r="L1011" i="1"/>
  <c r="K1011" i="1"/>
  <c r="H1011" i="1"/>
  <c r="L1010" i="1"/>
  <c r="K1010" i="1"/>
  <c r="H1010" i="1"/>
  <c r="L1009" i="1"/>
  <c r="K1009" i="1"/>
  <c r="H1009" i="1"/>
  <c r="L1003" i="1"/>
  <c r="K1003" i="1"/>
  <c r="H1003" i="1"/>
  <c r="L1002" i="1"/>
  <c r="K1002" i="1"/>
  <c r="H1002" i="1"/>
  <c r="L1001" i="1"/>
  <c r="K1001" i="1"/>
  <c r="H1001" i="1"/>
  <c r="L1000" i="1"/>
  <c r="K1000" i="1"/>
  <c r="H1000" i="1"/>
  <c r="L999" i="1"/>
  <c r="K999" i="1"/>
  <c r="H999" i="1"/>
  <c r="L998" i="1"/>
  <c r="K998" i="1"/>
  <c r="H998" i="1"/>
  <c r="L997" i="1"/>
  <c r="K997" i="1"/>
  <c r="H997" i="1"/>
  <c r="L996" i="1"/>
  <c r="K996" i="1"/>
  <c r="H996" i="1"/>
  <c r="L995" i="1"/>
  <c r="K995" i="1"/>
  <c r="H995" i="1"/>
  <c r="L994" i="1"/>
  <c r="K994" i="1"/>
  <c r="H994" i="1"/>
  <c r="L993" i="1"/>
  <c r="K993" i="1"/>
  <c r="H993" i="1"/>
  <c r="L992" i="1"/>
  <c r="K992" i="1"/>
  <c r="H992" i="1"/>
  <c r="L991" i="1"/>
  <c r="K991" i="1"/>
  <c r="H991" i="1"/>
  <c r="L990" i="1"/>
  <c r="K990" i="1"/>
  <c r="H990" i="1"/>
  <c r="L989" i="1"/>
  <c r="K989" i="1"/>
  <c r="H989" i="1"/>
  <c r="L983" i="1"/>
  <c r="K983" i="1"/>
  <c r="H983" i="1"/>
  <c r="L982" i="1"/>
  <c r="K982" i="1"/>
  <c r="H982" i="1"/>
  <c r="L981" i="1"/>
  <c r="K981" i="1"/>
  <c r="H981" i="1"/>
  <c r="L980" i="1"/>
  <c r="K980" i="1"/>
  <c r="H980" i="1"/>
  <c r="L979" i="1"/>
  <c r="K979" i="1"/>
  <c r="H979" i="1"/>
  <c r="L978" i="1"/>
  <c r="K978" i="1"/>
  <c r="H978" i="1"/>
  <c r="L977" i="1"/>
  <c r="K977" i="1"/>
  <c r="H977" i="1"/>
  <c r="L976" i="1"/>
  <c r="K976" i="1"/>
  <c r="H976" i="1"/>
  <c r="L975" i="1"/>
  <c r="K975" i="1"/>
  <c r="H975" i="1"/>
  <c r="L974" i="1"/>
  <c r="K974" i="1"/>
  <c r="H974" i="1"/>
  <c r="L973" i="1"/>
  <c r="K973" i="1"/>
  <c r="H973" i="1"/>
  <c r="L972" i="1"/>
  <c r="K972" i="1"/>
  <c r="H972" i="1"/>
  <c r="L971" i="1"/>
  <c r="K971" i="1"/>
  <c r="H971" i="1"/>
  <c r="L970" i="1"/>
  <c r="K970" i="1"/>
  <c r="H970" i="1"/>
  <c r="L969" i="1"/>
  <c r="K969" i="1"/>
  <c r="H969" i="1"/>
  <c r="L968" i="1"/>
  <c r="K968" i="1"/>
  <c r="H968" i="1"/>
  <c r="L962" i="1"/>
  <c r="K962" i="1"/>
  <c r="H962" i="1"/>
  <c r="L961" i="1"/>
  <c r="K961" i="1"/>
  <c r="H961" i="1"/>
  <c r="L960" i="1"/>
  <c r="K960" i="1"/>
  <c r="H960" i="1"/>
  <c r="L959" i="1"/>
  <c r="K959" i="1"/>
  <c r="H959" i="1"/>
  <c r="L958" i="1"/>
  <c r="K958" i="1"/>
  <c r="H958" i="1"/>
  <c r="L957" i="1"/>
  <c r="K957" i="1"/>
  <c r="H957" i="1"/>
  <c r="L956" i="1"/>
  <c r="K956" i="1"/>
  <c r="H956" i="1"/>
  <c r="L950" i="1"/>
  <c r="K950" i="1"/>
  <c r="H950" i="1"/>
  <c r="L949" i="1"/>
  <c r="K949" i="1"/>
  <c r="H949" i="1"/>
  <c r="L948" i="1"/>
  <c r="K948" i="1"/>
  <c r="H948" i="1"/>
  <c r="L947" i="1"/>
  <c r="K947" i="1"/>
  <c r="H947" i="1"/>
  <c r="L946" i="1"/>
  <c r="K946" i="1"/>
  <c r="H946" i="1"/>
  <c r="L945" i="1"/>
  <c r="K945" i="1"/>
  <c r="H945" i="1"/>
  <c r="L944" i="1"/>
  <c r="K944" i="1"/>
  <c r="H944" i="1"/>
  <c r="L943" i="1"/>
  <c r="K943" i="1"/>
  <c r="H943" i="1"/>
  <c r="L942" i="1"/>
  <c r="K942" i="1"/>
  <c r="H942" i="1"/>
  <c r="L936" i="1"/>
  <c r="K936" i="1"/>
  <c r="H936" i="1"/>
  <c r="L935" i="1"/>
  <c r="K935" i="1"/>
  <c r="H935" i="1"/>
  <c r="L934" i="1"/>
  <c r="K934" i="1"/>
  <c r="H934" i="1"/>
  <c r="L933" i="1"/>
  <c r="K933" i="1"/>
  <c r="H933" i="1"/>
  <c r="L932" i="1"/>
  <c r="K932" i="1"/>
  <c r="H932" i="1"/>
  <c r="L931" i="1"/>
  <c r="K931" i="1"/>
  <c r="H931" i="1"/>
  <c r="L930" i="1"/>
  <c r="K930" i="1"/>
  <c r="H930" i="1"/>
  <c r="L929" i="1"/>
  <c r="K929" i="1"/>
  <c r="H929" i="1"/>
  <c r="L928" i="1"/>
  <c r="K928" i="1"/>
  <c r="H928" i="1"/>
  <c r="L927" i="1"/>
  <c r="K927" i="1"/>
  <c r="H927" i="1"/>
  <c r="L926" i="1"/>
  <c r="K926" i="1"/>
  <c r="H926" i="1"/>
  <c r="L925" i="1"/>
  <c r="K925" i="1"/>
  <c r="H925" i="1"/>
  <c r="L924" i="1"/>
  <c r="K924" i="1"/>
  <c r="H924" i="1"/>
  <c r="L923" i="1"/>
  <c r="K923" i="1"/>
  <c r="H923" i="1"/>
  <c r="L922" i="1"/>
  <c r="K922" i="1"/>
  <c r="H922" i="1"/>
  <c r="L921" i="1"/>
  <c r="K921" i="1"/>
  <c r="H921" i="1"/>
  <c r="L915" i="1"/>
  <c r="K915" i="1"/>
  <c r="H915" i="1"/>
  <c r="L914" i="1"/>
  <c r="K914" i="1"/>
  <c r="H914" i="1"/>
  <c r="L913" i="1"/>
  <c r="K913" i="1"/>
  <c r="H913" i="1"/>
  <c r="L912" i="1"/>
  <c r="K912" i="1"/>
  <c r="H912" i="1"/>
  <c r="L911" i="1"/>
  <c r="K911" i="1"/>
  <c r="H911" i="1"/>
  <c r="L910" i="1"/>
  <c r="K910" i="1"/>
  <c r="H910" i="1"/>
  <c r="L909" i="1"/>
  <c r="K909" i="1"/>
  <c r="H909" i="1"/>
  <c r="L908" i="1"/>
  <c r="K908" i="1"/>
  <c r="H908" i="1"/>
  <c r="L902" i="1"/>
  <c r="K902" i="1"/>
  <c r="H902" i="1"/>
  <c r="L901" i="1"/>
  <c r="K901" i="1"/>
  <c r="H901" i="1"/>
  <c r="L900" i="1"/>
  <c r="K900" i="1"/>
  <c r="H900" i="1"/>
  <c r="L899" i="1"/>
  <c r="K899" i="1"/>
  <c r="H899" i="1"/>
  <c r="L898" i="1"/>
  <c r="K898" i="1"/>
  <c r="H898" i="1"/>
  <c r="L897" i="1"/>
  <c r="K897" i="1"/>
  <c r="H897" i="1"/>
  <c r="L891" i="1"/>
  <c r="K891" i="1"/>
  <c r="H891" i="1"/>
  <c r="L890" i="1"/>
  <c r="K890" i="1"/>
  <c r="H890" i="1"/>
  <c r="L889" i="1"/>
  <c r="K889" i="1"/>
  <c r="H889" i="1"/>
  <c r="L888" i="1"/>
  <c r="K888" i="1"/>
  <c r="H888" i="1"/>
  <c r="L887" i="1"/>
  <c r="K887" i="1"/>
  <c r="H887" i="1"/>
  <c r="L886" i="1"/>
  <c r="K886" i="1"/>
  <c r="H886" i="1"/>
  <c r="L880" i="1"/>
  <c r="K880" i="1"/>
  <c r="H880" i="1"/>
  <c r="L879" i="1"/>
  <c r="K879" i="1"/>
  <c r="H879" i="1"/>
  <c r="L878" i="1"/>
  <c r="K878" i="1"/>
  <c r="H878" i="1"/>
  <c r="L877" i="1"/>
  <c r="K877" i="1"/>
  <c r="H877" i="1"/>
  <c r="L876" i="1"/>
  <c r="K876" i="1"/>
  <c r="H876" i="1"/>
  <c r="L875" i="1"/>
  <c r="K875" i="1"/>
  <c r="H875" i="1"/>
  <c r="L874" i="1"/>
  <c r="K874" i="1"/>
  <c r="H874" i="1"/>
  <c r="L873" i="1"/>
  <c r="K873" i="1"/>
  <c r="H873" i="1"/>
  <c r="L872" i="1"/>
  <c r="K872" i="1"/>
  <c r="H872" i="1"/>
  <c r="L871" i="1"/>
  <c r="K871" i="1"/>
  <c r="H871" i="1"/>
  <c r="L870" i="1"/>
  <c r="K870" i="1"/>
  <c r="H870" i="1"/>
  <c r="L869" i="1"/>
  <c r="K869" i="1"/>
  <c r="H869" i="1"/>
  <c r="L868" i="1"/>
  <c r="K868" i="1"/>
  <c r="H868" i="1"/>
  <c r="L867" i="1"/>
  <c r="K867" i="1"/>
  <c r="H867" i="1"/>
  <c r="L866" i="1"/>
  <c r="K866" i="1"/>
  <c r="H866" i="1"/>
  <c r="L865" i="1"/>
  <c r="K865" i="1"/>
  <c r="H865" i="1"/>
  <c r="L864" i="1"/>
  <c r="K864" i="1"/>
  <c r="H864" i="1"/>
  <c r="L858" i="1"/>
  <c r="K858" i="1"/>
  <c r="H858" i="1"/>
  <c r="L852" i="1"/>
  <c r="K852" i="1"/>
  <c r="H852" i="1"/>
  <c r="L851" i="1"/>
  <c r="K851" i="1"/>
  <c r="H851" i="1"/>
  <c r="L850" i="1"/>
  <c r="K850" i="1"/>
  <c r="H850" i="1"/>
  <c r="L849" i="1"/>
  <c r="K849" i="1"/>
  <c r="H849" i="1"/>
  <c r="L848" i="1"/>
  <c r="K848" i="1"/>
  <c r="H848" i="1"/>
  <c r="L847" i="1"/>
  <c r="K847" i="1"/>
  <c r="H847" i="1"/>
  <c r="L846" i="1"/>
  <c r="K846" i="1"/>
  <c r="H846" i="1"/>
  <c r="L845" i="1"/>
  <c r="K845" i="1"/>
  <c r="H845" i="1"/>
  <c r="L844" i="1"/>
  <c r="K844" i="1"/>
  <c r="H844" i="1"/>
  <c r="L838" i="1"/>
  <c r="K838" i="1"/>
  <c r="H838" i="1"/>
  <c r="L837" i="1"/>
  <c r="K837" i="1"/>
  <c r="H837" i="1"/>
  <c r="L836" i="1"/>
  <c r="K836" i="1"/>
  <c r="H836" i="1"/>
  <c r="L835" i="1"/>
  <c r="K835" i="1"/>
  <c r="H835" i="1"/>
  <c r="L834" i="1"/>
  <c r="K834" i="1"/>
  <c r="H834" i="1"/>
  <c r="L833" i="1"/>
  <c r="K833" i="1"/>
  <c r="H833" i="1"/>
  <c r="L832" i="1"/>
  <c r="K832" i="1"/>
  <c r="H832" i="1"/>
  <c r="L831" i="1"/>
  <c r="K831" i="1"/>
  <c r="H831" i="1"/>
  <c r="L830" i="1"/>
  <c r="K830" i="1"/>
  <c r="H830" i="1"/>
  <c r="L829" i="1"/>
  <c r="K829" i="1"/>
  <c r="H829" i="1"/>
  <c r="L828" i="1"/>
  <c r="K828" i="1"/>
  <c r="H828" i="1"/>
  <c r="L827" i="1"/>
  <c r="K827" i="1"/>
  <c r="H827" i="1"/>
  <c r="L826" i="1"/>
  <c r="K826" i="1"/>
  <c r="H826" i="1"/>
  <c r="L825" i="1"/>
  <c r="K825" i="1"/>
  <c r="H825" i="1"/>
  <c r="L824" i="1"/>
  <c r="K824" i="1"/>
  <c r="H824" i="1"/>
  <c r="L823" i="1"/>
  <c r="K823" i="1"/>
  <c r="H823" i="1"/>
  <c r="L817" i="1"/>
  <c r="K817" i="1"/>
  <c r="H817" i="1"/>
  <c r="L816" i="1"/>
  <c r="K816" i="1"/>
  <c r="H816" i="1"/>
  <c r="L815" i="1"/>
  <c r="K815" i="1"/>
  <c r="H815" i="1"/>
  <c r="L814" i="1"/>
  <c r="K814" i="1"/>
  <c r="H814" i="1"/>
  <c r="L813" i="1"/>
  <c r="K813" i="1"/>
  <c r="H813" i="1"/>
  <c r="L812" i="1"/>
  <c r="K812" i="1"/>
  <c r="H812" i="1"/>
  <c r="L811" i="1"/>
  <c r="K811" i="1"/>
  <c r="H811" i="1"/>
  <c r="L810" i="1"/>
  <c r="K810" i="1"/>
  <c r="H810" i="1"/>
  <c r="L809" i="1"/>
  <c r="K809" i="1"/>
  <c r="H809" i="1"/>
  <c r="L808" i="1"/>
  <c r="K808" i="1"/>
  <c r="H808" i="1"/>
  <c r="L802" i="1"/>
  <c r="K802" i="1"/>
  <c r="H802" i="1"/>
  <c r="L801" i="1"/>
  <c r="K801" i="1"/>
  <c r="H801" i="1"/>
  <c r="L800" i="1"/>
  <c r="K800" i="1"/>
  <c r="H800" i="1"/>
  <c r="L799" i="1"/>
  <c r="K799" i="1"/>
  <c r="H799" i="1"/>
  <c r="L798" i="1"/>
  <c r="K798" i="1"/>
  <c r="H798" i="1"/>
  <c r="L797" i="1"/>
  <c r="K797" i="1"/>
  <c r="H797" i="1"/>
  <c r="L796" i="1"/>
  <c r="K796" i="1"/>
  <c r="H796" i="1"/>
  <c r="L795" i="1"/>
  <c r="K795" i="1"/>
  <c r="H795" i="1"/>
  <c r="L794" i="1"/>
  <c r="K794" i="1"/>
  <c r="H794" i="1"/>
  <c r="L793" i="1"/>
  <c r="K793" i="1"/>
  <c r="H793" i="1"/>
  <c r="L792" i="1"/>
  <c r="K792" i="1"/>
  <c r="H792" i="1"/>
  <c r="L791" i="1"/>
  <c r="K791" i="1"/>
  <c r="H791" i="1"/>
  <c r="L790" i="1"/>
  <c r="K790" i="1"/>
  <c r="H790" i="1"/>
  <c r="L789" i="1"/>
  <c r="K789" i="1"/>
  <c r="H789" i="1"/>
  <c r="L783" i="1"/>
  <c r="K783" i="1"/>
  <c r="H783" i="1"/>
  <c r="L782" i="1"/>
  <c r="K782" i="1"/>
  <c r="H782" i="1"/>
  <c r="L781" i="1"/>
  <c r="K781" i="1"/>
  <c r="H781" i="1"/>
  <c r="L780" i="1"/>
  <c r="K780" i="1"/>
  <c r="H780" i="1"/>
  <c r="L779" i="1"/>
  <c r="K779" i="1"/>
  <c r="H779" i="1"/>
  <c r="L778" i="1"/>
  <c r="K778" i="1"/>
  <c r="H778" i="1"/>
  <c r="L777" i="1"/>
  <c r="K777" i="1"/>
  <c r="H777" i="1"/>
  <c r="L771" i="1"/>
  <c r="K771" i="1"/>
  <c r="H771" i="1"/>
  <c r="L770" i="1"/>
  <c r="K770" i="1"/>
  <c r="H770" i="1"/>
  <c r="L769" i="1"/>
  <c r="K769" i="1"/>
  <c r="H769" i="1"/>
  <c r="L768" i="1"/>
  <c r="K768" i="1"/>
  <c r="H768" i="1"/>
  <c r="L767" i="1"/>
  <c r="K767" i="1"/>
  <c r="H767" i="1"/>
  <c r="L766" i="1"/>
  <c r="K766" i="1"/>
  <c r="H766" i="1"/>
  <c r="L765" i="1"/>
  <c r="K765" i="1"/>
  <c r="H765" i="1"/>
  <c r="L764" i="1"/>
  <c r="K764" i="1"/>
  <c r="H764" i="1"/>
  <c r="L763" i="1"/>
  <c r="K763" i="1"/>
  <c r="H763" i="1"/>
  <c r="L762" i="1"/>
  <c r="K762" i="1"/>
  <c r="H762" i="1"/>
  <c r="L761" i="1"/>
  <c r="K761" i="1"/>
  <c r="H761" i="1"/>
  <c r="L760" i="1"/>
  <c r="K760" i="1"/>
  <c r="H760" i="1"/>
  <c r="L759" i="1"/>
  <c r="K759" i="1"/>
  <c r="H759" i="1"/>
  <c r="L753" i="1"/>
  <c r="K753" i="1"/>
  <c r="H753" i="1"/>
  <c r="L752" i="1"/>
  <c r="K752" i="1"/>
  <c r="H752" i="1"/>
  <c r="L751" i="1"/>
  <c r="K751" i="1"/>
  <c r="H751" i="1"/>
  <c r="L750" i="1"/>
  <c r="K750" i="1"/>
  <c r="H750" i="1"/>
  <c r="L744" i="1"/>
  <c r="K744" i="1"/>
  <c r="H744" i="1"/>
  <c r="L743" i="1"/>
  <c r="K743" i="1"/>
  <c r="H743" i="1"/>
  <c r="L742" i="1"/>
  <c r="K742" i="1"/>
  <c r="H742" i="1"/>
  <c r="L741" i="1"/>
  <c r="K741" i="1"/>
  <c r="H741" i="1"/>
  <c r="L740" i="1"/>
  <c r="K740" i="1"/>
  <c r="H740" i="1"/>
  <c r="L739" i="1"/>
  <c r="K739" i="1"/>
  <c r="H739" i="1"/>
  <c r="L738" i="1"/>
  <c r="K738" i="1"/>
  <c r="H738" i="1"/>
  <c r="L737" i="1"/>
  <c r="K737" i="1"/>
  <c r="H737" i="1"/>
  <c r="L731" i="1"/>
  <c r="K731" i="1"/>
  <c r="H731" i="1"/>
  <c r="L730" i="1"/>
  <c r="K730" i="1"/>
  <c r="H730" i="1"/>
  <c r="L729" i="1"/>
  <c r="K729" i="1"/>
  <c r="H729" i="1"/>
  <c r="L728" i="1"/>
  <c r="K728" i="1"/>
  <c r="H728" i="1"/>
  <c r="L727" i="1"/>
  <c r="K727" i="1"/>
  <c r="H727" i="1"/>
  <c r="L726" i="1"/>
  <c r="K726" i="1"/>
  <c r="H726" i="1"/>
  <c r="L725" i="1"/>
  <c r="K725" i="1"/>
  <c r="H725" i="1"/>
  <c r="L724" i="1"/>
  <c r="K724" i="1"/>
  <c r="H724" i="1"/>
  <c r="L723" i="1"/>
  <c r="K723" i="1"/>
  <c r="H723" i="1"/>
  <c r="L722" i="1"/>
  <c r="K722" i="1"/>
  <c r="H722" i="1"/>
  <c r="L721" i="1"/>
  <c r="K721" i="1"/>
  <c r="H721" i="1"/>
  <c r="L720" i="1"/>
  <c r="K720" i="1"/>
  <c r="H720" i="1"/>
  <c r="L719" i="1"/>
  <c r="K719" i="1"/>
  <c r="H719" i="1"/>
  <c r="L718" i="1"/>
  <c r="K718" i="1"/>
  <c r="H718" i="1"/>
  <c r="L712" i="1"/>
  <c r="K712" i="1"/>
  <c r="H712" i="1"/>
  <c r="L711" i="1"/>
  <c r="K711" i="1"/>
  <c r="H711" i="1"/>
  <c r="L710" i="1"/>
  <c r="K710" i="1"/>
  <c r="H710" i="1"/>
  <c r="L709" i="1"/>
  <c r="K709" i="1"/>
  <c r="H709" i="1"/>
  <c r="L708" i="1"/>
  <c r="K708" i="1"/>
  <c r="H708" i="1"/>
  <c r="L707" i="1"/>
  <c r="K707" i="1"/>
  <c r="H707" i="1"/>
  <c r="L706" i="1"/>
  <c r="K706" i="1"/>
  <c r="H706" i="1"/>
  <c r="L700" i="1"/>
  <c r="K700" i="1"/>
  <c r="H700" i="1"/>
  <c r="L699" i="1"/>
  <c r="K699" i="1"/>
  <c r="H699" i="1"/>
  <c r="L698" i="1"/>
  <c r="K698" i="1"/>
  <c r="H698" i="1"/>
  <c r="L697" i="1"/>
  <c r="K697" i="1"/>
  <c r="H697" i="1"/>
  <c r="L696" i="1"/>
  <c r="K696" i="1"/>
  <c r="H696" i="1"/>
  <c r="L690" i="1"/>
  <c r="K690" i="1"/>
  <c r="H690" i="1"/>
  <c r="L689" i="1"/>
  <c r="K689" i="1"/>
  <c r="H689" i="1"/>
  <c r="L688" i="1"/>
  <c r="K688" i="1"/>
  <c r="H688" i="1"/>
  <c r="L687" i="1"/>
  <c r="K687" i="1"/>
  <c r="H687" i="1"/>
  <c r="L686" i="1"/>
  <c r="K686" i="1"/>
  <c r="H686" i="1"/>
  <c r="L685" i="1"/>
  <c r="K685" i="1"/>
  <c r="H685" i="1"/>
  <c r="L684" i="1"/>
  <c r="K684" i="1"/>
  <c r="H684" i="1"/>
  <c r="L683" i="1"/>
  <c r="K683" i="1"/>
  <c r="H683" i="1"/>
  <c r="L682" i="1"/>
  <c r="K682" i="1"/>
  <c r="H682" i="1"/>
  <c r="L681" i="1"/>
  <c r="K681" i="1"/>
  <c r="H681" i="1"/>
  <c r="L680" i="1"/>
  <c r="K680" i="1"/>
  <c r="H680" i="1"/>
  <c r="L679" i="1"/>
  <c r="K679" i="1"/>
  <c r="H679" i="1"/>
  <c r="L678" i="1"/>
  <c r="K678" i="1"/>
  <c r="H678" i="1"/>
  <c r="L677" i="1"/>
  <c r="K677" i="1"/>
  <c r="H677" i="1"/>
  <c r="L676" i="1"/>
  <c r="K676" i="1"/>
  <c r="H676" i="1"/>
  <c r="L675" i="1"/>
  <c r="K675" i="1"/>
  <c r="H675" i="1"/>
  <c r="L674" i="1"/>
  <c r="K674" i="1"/>
  <c r="H674" i="1"/>
  <c r="L673" i="1"/>
  <c r="K673" i="1"/>
  <c r="H673" i="1"/>
  <c r="L667" i="1"/>
  <c r="K667" i="1"/>
  <c r="H667" i="1"/>
  <c r="L666" i="1"/>
  <c r="K666" i="1"/>
  <c r="H666" i="1"/>
  <c r="L665" i="1"/>
  <c r="K665" i="1"/>
  <c r="H665" i="1"/>
  <c r="L664" i="1"/>
  <c r="K664" i="1"/>
  <c r="H664" i="1"/>
  <c r="L663" i="1"/>
  <c r="K663" i="1"/>
  <c r="H663" i="1"/>
  <c r="L662" i="1"/>
  <c r="K662" i="1"/>
  <c r="H662" i="1"/>
  <c r="L661" i="1"/>
  <c r="K661" i="1"/>
  <c r="H661" i="1"/>
  <c r="L660" i="1"/>
  <c r="K660" i="1"/>
  <c r="H660" i="1"/>
  <c r="L659" i="1"/>
  <c r="K659" i="1"/>
  <c r="H659" i="1"/>
  <c r="L658" i="1"/>
  <c r="K658" i="1"/>
  <c r="H658" i="1"/>
  <c r="L657" i="1"/>
  <c r="K657" i="1"/>
  <c r="H657" i="1"/>
  <c r="L656" i="1"/>
  <c r="K656" i="1"/>
  <c r="H656" i="1"/>
  <c r="L650" i="1"/>
  <c r="K650" i="1"/>
  <c r="H650" i="1"/>
  <c r="L649" i="1"/>
  <c r="K649" i="1"/>
  <c r="H649" i="1"/>
  <c r="L648" i="1"/>
  <c r="K648" i="1"/>
  <c r="H648" i="1"/>
  <c r="L647" i="1"/>
  <c r="K647" i="1"/>
  <c r="H647" i="1"/>
  <c r="L646" i="1"/>
  <c r="K646" i="1"/>
  <c r="H646" i="1"/>
  <c r="L645" i="1"/>
  <c r="K645" i="1"/>
  <c r="H645" i="1"/>
  <c r="L644" i="1"/>
  <c r="K644" i="1"/>
  <c r="H644" i="1"/>
  <c r="L643" i="1"/>
  <c r="K643" i="1"/>
  <c r="H643" i="1"/>
  <c r="L642" i="1"/>
  <c r="K642" i="1"/>
  <c r="H642" i="1"/>
  <c r="L636" i="1"/>
  <c r="K636" i="1"/>
  <c r="H636" i="1"/>
  <c r="L635" i="1"/>
  <c r="K635" i="1"/>
  <c r="H635" i="1"/>
  <c r="L634" i="1"/>
  <c r="K634" i="1"/>
  <c r="H634" i="1"/>
  <c r="L633" i="1"/>
  <c r="K633" i="1"/>
  <c r="H633" i="1"/>
  <c r="L632" i="1"/>
  <c r="K632" i="1"/>
  <c r="H632" i="1"/>
  <c r="L631" i="1"/>
  <c r="K631" i="1"/>
  <c r="H631" i="1"/>
  <c r="L630" i="1"/>
  <c r="K630" i="1"/>
  <c r="H630" i="1"/>
  <c r="L629" i="1"/>
  <c r="K629" i="1"/>
  <c r="H629" i="1"/>
  <c r="L628" i="1"/>
  <c r="K628" i="1"/>
  <c r="H628" i="1"/>
  <c r="L627" i="1"/>
  <c r="K627" i="1"/>
  <c r="H627" i="1"/>
  <c r="L626" i="1"/>
  <c r="K626" i="1"/>
  <c r="H626" i="1"/>
  <c r="L625" i="1"/>
  <c r="K625" i="1"/>
  <c r="H625" i="1"/>
  <c r="L624" i="1"/>
  <c r="K624" i="1"/>
  <c r="H624" i="1"/>
  <c r="L623" i="1"/>
  <c r="K623" i="1"/>
  <c r="H623" i="1"/>
  <c r="L622" i="1"/>
  <c r="K622" i="1"/>
  <c r="H622" i="1"/>
  <c r="L616" i="1"/>
  <c r="K616" i="1"/>
  <c r="H616" i="1"/>
  <c r="L615" i="1"/>
  <c r="K615" i="1"/>
  <c r="H615" i="1"/>
  <c r="L614" i="1"/>
  <c r="K614" i="1"/>
  <c r="H614" i="1"/>
  <c r="L613" i="1"/>
  <c r="K613" i="1"/>
  <c r="H613" i="1"/>
  <c r="L612" i="1"/>
  <c r="K612" i="1"/>
  <c r="H612" i="1"/>
  <c r="L611" i="1"/>
  <c r="K611" i="1"/>
  <c r="H611" i="1"/>
  <c r="L610" i="1"/>
  <c r="K610" i="1"/>
  <c r="H610" i="1"/>
  <c r="L609" i="1"/>
  <c r="K609" i="1"/>
  <c r="H609" i="1"/>
  <c r="L608" i="1"/>
  <c r="K608" i="1"/>
  <c r="H608" i="1"/>
  <c r="L607" i="1"/>
  <c r="K607" i="1"/>
  <c r="H607" i="1"/>
  <c r="L606" i="1"/>
  <c r="K606" i="1"/>
  <c r="H606" i="1"/>
  <c r="L605" i="1"/>
  <c r="K605" i="1"/>
  <c r="H605" i="1"/>
  <c r="L599" i="1"/>
  <c r="K599" i="1"/>
  <c r="H599" i="1"/>
  <c r="L598" i="1"/>
  <c r="K598" i="1"/>
  <c r="H598" i="1"/>
  <c r="L597" i="1"/>
  <c r="K597" i="1"/>
  <c r="H597" i="1"/>
  <c r="L596" i="1"/>
  <c r="K596" i="1"/>
  <c r="H596" i="1"/>
  <c r="L595" i="1"/>
  <c r="K595" i="1"/>
  <c r="H595" i="1"/>
  <c r="L594" i="1"/>
  <c r="K594" i="1"/>
  <c r="H594" i="1"/>
  <c r="L593" i="1"/>
  <c r="K593" i="1"/>
  <c r="H593" i="1"/>
  <c r="L592" i="1"/>
  <c r="K592" i="1"/>
  <c r="H592" i="1"/>
  <c r="L591" i="1"/>
  <c r="K591" i="1"/>
  <c r="H591" i="1"/>
  <c r="L590" i="1"/>
  <c r="K590" i="1"/>
  <c r="H590" i="1"/>
  <c r="L589" i="1"/>
  <c r="K589" i="1"/>
  <c r="H589" i="1"/>
  <c r="L588" i="1"/>
  <c r="K588" i="1"/>
  <c r="H588" i="1"/>
  <c r="L587" i="1"/>
  <c r="K587" i="1"/>
  <c r="H587" i="1"/>
  <c r="L586" i="1"/>
  <c r="K586" i="1"/>
  <c r="H586" i="1"/>
  <c r="L585" i="1"/>
  <c r="K585" i="1"/>
  <c r="H585" i="1"/>
  <c r="L579" i="1"/>
  <c r="K579" i="1"/>
  <c r="H579" i="1"/>
  <c r="L578" i="1"/>
  <c r="K578" i="1"/>
  <c r="H578" i="1"/>
  <c r="L577" i="1"/>
  <c r="K577" i="1"/>
  <c r="H577" i="1"/>
  <c r="L576" i="1"/>
  <c r="K576" i="1"/>
  <c r="H576" i="1"/>
  <c r="L575" i="1"/>
  <c r="K575" i="1"/>
  <c r="H575" i="1"/>
  <c r="L574" i="1"/>
  <c r="K574" i="1"/>
  <c r="H574" i="1"/>
  <c r="L573" i="1"/>
  <c r="K573" i="1"/>
  <c r="H573" i="1"/>
  <c r="L572" i="1"/>
  <c r="K572" i="1"/>
  <c r="H572" i="1"/>
  <c r="L571" i="1"/>
  <c r="K571" i="1"/>
  <c r="H571" i="1"/>
  <c r="L570" i="1"/>
  <c r="K570" i="1"/>
  <c r="H570" i="1"/>
  <c r="L569" i="1"/>
  <c r="K569" i="1"/>
  <c r="H569" i="1"/>
  <c r="L568" i="1"/>
  <c r="K568" i="1"/>
  <c r="H568" i="1"/>
  <c r="L567" i="1"/>
  <c r="K567" i="1"/>
  <c r="H567" i="1"/>
  <c r="L566" i="1"/>
  <c r="K566" i="1"/>
  <c r="H566" i="1"/>
  <c r="L560" i="1"/>
  <c r="K560" i="1"/>
  <c r="H560" i="1"/>
  <c r="L559" i="1"/>
  <c r="K559" i="1"/>
  <c r="H559" i="1"/>
  <c r="L558" i="1"/>
  <c r="K558" i="1"/>
  <c r="H558" i="1"/>
  <c r="L557" i="1"/>
  <c r="K557" i="1"/>
  <c r="H557" i="1"/>
  <c r="L556" i="1"/>
  <c r="K556" i="1"/>
  <c r="H556" i="1"/>
  <c r="L555" i="1"/>
  <c r="K555" i="1"/>
  <c r="H555" i="1"/>
  <c r="L554" i="1"/>
  <c r="K554" i="1"/>
  <c r="H554" i="1"/>
  <c r="L553" i="1"/>
  <c r="K553" i="1"/>
  <c r="H553" i="1"/>
  <c r="L552" i="1"/>
  <c r="K552" i="1"/>
  <c r="H552" i="1"/>
  <c r="L551" i="1"/>
  <c r="K551" i="1"/>
  <c r="H551" i="1"/>
  <c r="L550" i="1"/>
  <c r="K550" i="1"/>
  <c r="H550" i="1"/>
  <c r="L549" i="1"/>
  <c r="K549" i="1"/>
  <c r="H549" i="1"/>
  <c r="L548" i="1"/>
  <c r="K548" i="1"/>
  <c r="H548" i="1"/>
  <c r="L547" i="1"/>
  <c r="K547" i="1"/>
  <c r="H547" i="1"/>
  <c r="L541" i="1"/>
  <c r="K541" i="1"/>
  <c r="H541" i="1"/>
  <c r="L540" i="1"/>
  <c r="K540" i="1"/>
  <c r="H540" i="1"/>
  <c r="L539" i="1"/>
  <c r="K539" i="1"/>
  <c r="H539" i="1"/>
  <c r="L538" i="1"/>
  <c r="K538" i="1"/>
  <c r="H538" i="1"/>
  <c r="L537" i="1"/>
  <c r="K537" i="1"/>
  <c r="H537" i="1"/>
  <c r="L536" i="1"/>
  <c r="K536" i="1"/>
  <c r="H536" i="1"/>
  <c r="L535" i="1"/>
  <c r="K535" i="1"/>
  <c r="H535" i="1"/>
  <c r="L534" i="1"/>
  <c r="K534" i="1"/>
  <c r="H534" i="1"/>
  <c r="L533" i="1"/>
  <c r="K533" i="1"/>
  <c r="H533" i="1"/>
  <c r="L532" i="1"/>
  <c r="K532" i="1"/>
  <c r="H532" i="1"/>
  <c r="L531" i="1"/>
  <c r="K531" i="1"/>
  <c r="H531" i="1"/>
  <c r="L530" i="1"/>
  <c r="K530" i="1"/>
  <c r="H530" i="1"/>
  <c r="L529" i="1"/>
  <c r="K529" i="1"/>
  <c r="H529" i="1"/>
  <c r="L528" i="1"/>
  <c r="K528" i="1"/>
  <c r="H528" i="1"/>
  <c r="L527" i="1"/>
  <c r="K527" i="1"/>
  <c r="H527" i="1"/>
  <c r="L526" i="1"/>
  <c r="K526" i="1"/>
  <c r="H526" i="1"/>
  <c r="L525" i="1"/>
  <c r="K525" i="1"/>
  <c r="H525" i="1"/>
  <c r="L524" i="1"/>
  <c r="K524" i="1"/>
  <c r="H524" i="1"/>
  <c r="L523" i="1"/>
  <c r="K523" i="1"/>
  <c r="H523" i="1"/>
  <c r="L522" i="1"/>
  <c r="K522" i="1"/>
  <c r="H522" i="1"/>
  <c r="L521" i="1"/>
  <c r="K521" i="1"/>
  <c r="H521" i="1"/>
  <c r="L515" i="1"/>
  <c r="K515" i="1"/>
  <c r="H515" i="1"/>
  <c r="L514" i="1"/>
  <c r="K514" i="1"/>
  <c r="H514" i="1"/>
  <c r="L513" i="1"/>
  <c r="K513" i="1"/>
  <c r="H513" i="1"/>
  <c r="L512" i="1"/>
  <c r="K512" i="1"/>
  <c r="H512" i="1"/>
  <c r="L511" i="1"/>
  <c r="K511" i="1"/>
  <c r="H511" i="1"/>
  <c r="L510" i="1"/>
  <c r="K510" i="1"/>
  <c r="H510" i="1"/>
  <c r="L509" i="1"/>
  <c r="K509" i="1"/>
  <c r="H509" i="1"/>
  <c r="L503" i="1"/>
  <c r="K503" i="1"/>
  <c r="H503" i="1"/>
  <c r="L502" i="1"/>
  <c r="K502" i="1"/>
  <c r="H502" i="1"/>
  <c r="L501" i="1"/>
  <c r="K501" i="1"/>
  <c r="H501" i="1"/>
  <c r="L495" i="1"/>
  <c r="K495" i="1"/>
  <c r="H495" i="1"/>
  <c r="L494" i="1"/>
  <c r="K494" i="1"/>
  <c r="H494" i="1"/>
  <c r="L493" i="1"/>
  <c r="K493" i="1"/>
  <c r="H493" i="1"/>
  <c r="L492" i="1"/>
  <c r="K492" i="1"/>
  <c r="H492" i="1"/>
  <c r="L491" i="1"/>
  <c r="K491" i="1"/>
  <c r="H491" i="1"/>
  <c r="L490" i="1"/>
  <c r="K490" i="1"/>
  <c r="H490" i="1"/>
  <c r="L489" i="1"/>
  <c r="K489" i="1"/>
  <c r="H489" i="1"/>
  <c r="L488" i="1"/>
  <c r="K488" i="1"/>
  <c r="H488" i="1"/>
  <c r="L487" i="1"/>
  <c r="K487" i="1"/>
  <c r="H487" i="1"/>
  <c r="L486" i="1"/>
  <c r="K486" i="1"/>
  <c r="H486" i="1"/>
  <c r="L485" i="1"/>
  <c r="K485" i="1"/>
  <c r="H485" i="1"/>
  <c r="L484" i="1"/>
  <c r="K484" i="1"/>
  <c r="H484" i="1"/>
  <c r="L483" i="1"/>
  <c r="K483" i="1"/>
  <c r="H483" i="1"/>
  <c r="L482" i="1"/>
  <c r="K482" i="1"/>
  <c r="H482" i="1"/>
  <c r="L481" i="1"/>
  <c r="K481" i="1"/>
  <c r="H481" i="1"/>
  <c r="L480" i="1"/>
  <c r="K480" i="1"/>
  <c r="H480" i="1"/>
  <c r="L479" i="1"/>
  <c r="K479" i="1"/>
  <c r="H479" i="1"/>
  <c r="L478" i="1"/>
  <c r="K478" i="1"/>
  <c r="H478" i="1"/>
  <c r="L477" i="1"/>
  <c r="K477" i="1"/>
  <c r="H477" i="1"/>
  <c r="L476" i="1"/>
  <c r="K476" i="1"/>
  <c r="H476" i="1"/>
  <c r="L475" i="1"/>
  <c r="K475" i="1"/>
  <c r="H475" i="1"/>
  <c r="L474" i="1"/>
  <c r="K474" i="1"/>
  <c r="H474" i="1"/>
  <c r="L473" i="1"/>
  <c r="K473" i="1"/>
  <c r="H473" i="1"/>
  <c r="L472" i="1"/>
  <c r="K472" i="1"/>
  <c r="H472" i="1"/>
  <c r="L471" i="1"/>
  <c r="K471" i="1"/>
  <c r="H471" i="1"/>
  <c r="L470" i="1"/>
  <c r="K470" i="1"/>
  <c r="H470" i="1"/>
  <c r="L469" i="1"/>
  <c r="K469" i="1"/>
  <c r="H469" i="1"/>
  <c r="L468" i="1"/>
  <c r="K468" i="1"/>
  <c r="H468" i="1"/>
  <c r="L467" i="1"/>
  <c r="K467" i="1"/>
  <c r="H467" i="1"/>
  <c r="L466" i="1"/>
  <c r="K466" i="1"/>
  <c r="H466" i="1"/>
  <c r="L465" i="1"/>
  <c r="K465" i="1"/>
  <c r="H465" i="1"/>
  <c r="L464" i="1"/>
  <c r="K464" i="1"/>
  <c r="H464" i="1"/>
  <c r="L463" i="1"/>
  <c r="K463" i="1"/>
  <c r="H463" i="1"/>
  <c r="L462" i="1"/>
  <c r="K462" i="1"/>
  <c r="H462" i="1"/>
  <c r="L461" i="1"/>
  <c r="K461" i="1"/>
  <c r="H461" i="1"/>
  <c r="L460" i="1"/>
  <c r="K460" i="1"/>
  <c r="H460" i="1"/>
  <c r="L459" i="1"/>
  <c r="K459" i="1"/>
  <c r="H459" i="1"/>
  <c r="L458" i="1"/>
  <c r="K458" i="1"/>
  <c r="H458" i="1"/>
  <c r="L457" i="1"/>
  <c r="K457" i="1"/>
  <c r="H457" i="1"/>
  <c r="L456" i="1"/>
  <c r="K456" i="1"/>
  <c r="H456" i="1"/>
  <c r="L455" i="1"/>
  <c r="K455" i="1"/>
  <c r="H455" i="1"/>
  <c r="L454" i="1"/>
  <c r="K454" i="1"/>
  <c r="H454" i="1"/>
  <c r="L453" i="1"/>
  <c r="K453" i="1"/>
  <c r="H453" i="1"/>
  <c r="L452" i="1"/>
  <c r="K452" i="1"/>
  <c r="H452" i="1"/>
  <c r="L451" i="1"/>
  <c r="K451" i="1"/>
  <c r="H451" i="1"/>
  <c r="L450" i="1"/>
  <c r="K450" i="1"/>
  <c r="H450" i="1"/>
  <c r="L449" i="1"/>
  <c r="K449" i="1"/>
  <c r="H449" i="1"/>
  <c r="L448" i="1"/>
  <c r="K448" i="1"/>
  <c r="H448" i="1"/>
  <c r="L447" i="1"/>
  <c r="K447" i="1"/>
  <c r="H447" i="1"/>
  <c r="L446" i="1"/>
  <c r="K446" i="1"/>
  <c r="H446" i="1"/>
  <c r="L445" i="1"/>
  <c r="K445" i="1"/>
  <c r="H445" i="1"/>
  <c r="L444" i="1"/>
  <c r="K444" i="1"/>
  <c r="H444" i="1"/>
  <c r="L443" i="1"/>
  <c r="K443" i="1"/>
  <c r="H443" i="1"/>
  <c r="L442" i="1"/>
  <c r="K442" i="1"/>
  <c r="H442" i="1"/>
  <c r="L441" i="1"/>
  <c r="K441" i="1"/>
  <c r="H441" i="1"/>
  <c r="L440" i="1"/>
  <c r="K440" i="1"/>
  <c r="H440" i="1"/>
  <c r="L439" i="1"/>
  <c r="K439" i="1"/>
  <c r="H439" i="1"/>
  <c r="L438" i="1"/>
  <c r="K438" i="1"/>
  <c r="H438" i="1"/>
  <c r="L437" i="1"/>
  <c r="K437" i="1"/>
  <c r="H437" i="1"/>
  <c r="L436" i="1"/>
  <c r="K436" i="1"/>
  <c r="H436" i="1"/>
  <c r="L435" i="1"/>
  <c r="K435" i="1"/>
  <c r="H435" i="1"/>
  <c r="L434" i="1"/>
  <c r="K434" i="1"/>
  <c r="H434" i="1"/>
  <c r="L433" i="1"/>
  <c r="K433" i="1"/>
  <c r="H433" i="1"/>
  <c r="L432" i="1"/>
  <c r="K432" i="1"/>
  <c r="H432" i="1"/>
  <c r="L431" i="1"/>
  <c r="K431" i="1"/>
  <c r="H431" i="1"/>
  <c r="L430" i="1"/>
  <c r="K430" i="1"/>
  <c r="H430" i="1"/>
  <c r="L429" i="1"/>
  <c r="K429" i="1"/>
  <c r="H429" i="1"/>
  <c r="L428" i="1"/>
  <c r="K428" i="1"/>
  <c r="H428" i="1"/>
  <c r="L427" i="1"/>
  <c r="K427" i="1"/>
  <c r="H427" i="1"/>
  <c r="L426" i="1"/>
  <c r="K426" i="1"/>
  <c r="H426" i="1"/>
  <c r="L425" i="1"/>
  <c r="K425" i="1"/>
  <c r="H425" i="1"/>
  <c r="L424" i="1"/>
  <c r="K424" i="1"/>
  <c r="H424" i="1"/>
  <c r="L423" i="1"/>
  <c r="K423" i="1"/>
  <c r="H423" i="1"/>
  <c r="L422" i="1"/>
  <c r="K422" i="1"/>
  <c r="H422" i="1"/>
  <c r="L421" i="1"/>
  <c r="K421" i="1"/>
  <c r="H421" i="1"/>
  <c r="L420" i="1"/>
  <c r="K420" i="1"/>
  <c r="H420" i="1"/>
  <c r="L419" i="1"/>
  <c r="K419" i="1"/>
  <c r="H419" i="1"/>
  <c r="L418" i="1"/>
  <c r="K418" i="1"/>
  <c r="H418" i="1"/>
  <c r="L417" i="1"/>
  <c r="K417" i="1"/>
  <c r="H417" i="1"/>
  <c r="L416" i="1"/>
  <c r="K416" i="1"/>
  <c r="H416" i="1"/>
  <c r="L415" i="1"/>
  <c r="K415" i="1"/>
  <c r="H415" i="1"/>
  <c r="L414" i="1"/>
  <c r="K414" i="1"/>
  <c r="H414" i="1"/>
  <c r="L413" i="1"/>
  <c r="K413" i="1"/>
  <c r="H413" i="1"/>
  <c r="L412" i="1"/>
  <c r="K412" i="1"/>
  <c r="H412" i="1"/>
  <c r="L411" i="1"/>
  <c r="K411" i="1"/>
  <c r="H411" i="1"/>
  <c r="L410" i="1"/>
  <c r="K410" i="1"/>
  <c r="H410" i="1"/>
  <c r="L409" i="1"/>
  <c r="K409" i="1"/>
  <c r="H409" i="1"/>
  <c r="L408" i="1"/>
  <c r="K408" i="1"/>
  <c r="H408" i="1"/>
  <c r="L407" i="1"/>
  <c r="K407" i="1"/>
  <c r="H407" i="1"/>
  <c r="L406" i="1"/>
  <c r="K406" i="1"/>
  <c r="H406" i="1"/>
  <c r="L405" i="1"/>
  <c r="K405" i="1"/>
  <c r="H405" i="1"/>
  <c r="L404" i="1"/>
  <c r="K404" i="1"/>
  <c r="H404" i="1"/>
  <c r="L403" i="1"/>
  <c r="K403" i="1"/>
  <c r="H403" i="1"/>
  <c r="L402" i="1"/>
  <c r="K402" i="1"/>
  <c r="H402" i="1"/>
  <c r="L401" i="1"/>
  <c r="K401" i="1"/>
  <c r="H401" i="1"/>
  <c r="L400" i="1"/>
  <c r="K400" i="1"/>
  <c r="H400" i="1"/>
  <c r="L399" i="1"/>
  <c r="K399" i="1"/>
  <c r="H399" i="1"/>
  <c r="L398" i="1"/>
  <c r="K398" i="1"/>
  <c r="H398" i="1"/>
  <c r="L397" i="1"/>
  <c r="K397" i="1"/>
  <c r="H397" i="1"/>
  <c r="L396" i="1"/>
  <c r="K396" i="1"/>
  <c r="H396" i="1"/>
  <c r="L395" i="1"/>
  <c r="K395" i="1"/>
  <c r="H395" i="1"/>
  <c r="L394" i="1"/>
  <c r="K394" i="1"/>
  <c r="H394" i="1"/>
  <c r="L393" i="1"/>
  <c r="K393" i="1"/>
  <c r="H393" i="1"/>
  <c r="L392" i="1"/>
  <c r="K392" i="1"/>
  <c r="H392" i="1"/>
  <c r="L391" i="1"/>
  <c r="K391" i="1"/>
  <c r="H391" i="1"/>
  <c r="L390" i="1"/>
  <c r="K390" i="1"/>
  <c r="H390" i="1"/>
  <c r="L389" i="1"/>
  <c r="K389" i="1"/>
  <c r="H389" i="1"/>
  <c r="L388" i="1"/>
  <c r="K388" i="1"/>
  <c r="H388" i="1"/>
  <c r="L387" i="1"/>
  <c r="K387" i="1"/>
  <c r="H387" i="1"/>
  <c r="L386" i="1"/>
  <c r="K386" i="1"/>
  <c r="H386" i="1"/>
  <c r="L385" i="1"/>
  <c r="K385" i="1"/>
  <c r="H385" i="1"/>
  <c r="L384" i="1"/>
  <c r="K384" i="1"/>
  <c r="H384" i="1"/>
  <c r="L383" i="1"/>
  <c r="K383" i="1"/>
  <c r="H383" i="1"/>
  <c r="L382" i="1"/>
  <c r="K382" i="1"/>
  <c r="H382" i="1"/>
  <c r="L381" i="1"/>
  <c r="K381" i="1"/>
  <c r="H381" i="1"/>
  <c r="L380" i="1"/>
  <c r="K380" i="1"/>
  <c r="H380" i="1"/>
  <c r="L379" i="1"/>
  <c r="K379" i="1"/>
  <c r="H379" i="1"/>
  <c r="L378" i="1"/>
  <c r="K378" i="1"/>
  <c r="H378" i="1"/>
  <c r="L377" i="1"/>
  <c r="K377" i="1"/>
  <c r="H377" i="1"/>
  <c r="L376" i="1"/>
  <c r="K376" i="1"/>
  <c r="H376" i="1"/>
  <c r="L375" i="1"/>
  <c r="K375" i="1"/>
  <c r="H375" i="1"/>
  <c r="L374" i="1"/>
  <c r="K374" i="1"/>
  <c r="H374" i="1"/>
  <c r="L373" i="1"/>
  <c r="K373" i="1"/>
  <c r="H373" i="1"/>
  <c r="L372" i="1"/>
  <c r="K372" i="1"/>
  <c r="H372" i="1"/>
  <c r="L371" i="1"/>
  <c r="K371" i="1"/>
  <c r="H371" i="1"/>
  <c r="L370" i="1"/>
  <c r="K370" i="1"/>
  <c r="H370" i="1"/>
  <c r="L369" i="1"/>
  <c r="K369" i="1"/>
  <c r="H369" i="1"/>
  <c r="L368" i="1"/>
  <c r="K368" i="1"/>
  <c r="H368" i="1"/>
  <c r="L367" i="1"/>
  <c r="K367" i="1"/>
  <c r="H367" i="1"/>
  <c r="L366" i="1"/>
  <c r="K366" i="1"/>
  <c r="H366" i="1"/>
  <c r="L365" i="1"/>
  <c r="K365" i="1"/>
  <c r="H365" i="1"/>
  <c r="L364" i="1"/>
  <c r="K364" i="1"/>
  <c r="H364" i="1"/>
  <c r="L363" i="1"/>
  <c r="K363" i="1"/>
  <c r="H363" i="1"/>
  <c r="L362" i="1"/>
  <c r="K362" i="1"/>
  <c r="H362" i="1"/>
  <c r="L361" i="1"/>
  <c r="K361" i="1"/>
  <c r="H361" i="1"/>
  <c r="L360" i="1"/>
  <c r="K360" i="1"/>
  <c r="H360" i="1"/>
  <c r="L359" i="1"/>
  <c r="K359" i="1"/>
  <c r="H359" i="1"/>
  <c r="L358" i="1"/>
  <c r="K358" i="1"/>
  <c r="H358" i="1"/>
  <c r="L357" i="1"/>
  <c r="K357" i="1"/>
  <c r="H357" i="1"/>
  <c r="L356" i="1"/>
  <c r="K356" i="1"/>
  <c r="H356" i="1"/>
  <c r="L355" i="1"/>
  <c r="K355" i="1"/>
  <c r="H355" i="1"/>
  <c r="L354" i="1"/>
  <c r="K354" i="1"/>
  <c r="H354" i="1"/>
  <c r="L353" i="1"/>
  <c r="K353" i="1"/>
  <c r="H353" i="1"/>
  <c r="L352" i="1"/>
  <c r="K352" i="1"/>
  <c r="H352" i="1"/>
  <c r="L351" i="1"/>
  <c r="K351" i="1"/>
  <c r="H351" i="1"/>
  <c r="L350" i="1"/>
  <c r="K350" i="1"/>
  <c r="H350" i="1"/>
  <c r="L349" i="1"/>
  <c r="K349" i="1"/>
  <c r="H349" i="1"/>
  <c r="L348" i="1"/>
  <c r="K348" i="1"/>
  <c r="H348" i="1"/>
  <c r="L347" i="1"/>
  <c r="K347" i="1"/>
  <c r="H347" i="1"/>
  <c r="L346" i="1"/>
  <c r="K346" i="1"/>
  <c r="H346" i="1"/>
  <c r="L345" i="1"/>
  <c r="K345" i="1"/>
  <c r="H345" i="1"/>
  <c r="L344" i="1"/>
  <c r="K344" i="1"/>
  <c r="H344" i="1"/>
  <c r="L343" i="1"/>
  <c r="K343" i="1"/>
  <c r="H343" i="1"/>
  <c r="L342" i="1"/>
  <c r="K342" i="1"/>
  <c r="H342" i="1"/>
  <c r="L341" i="1"/>
  <c r="K341" i="1"/>
  <c r="H341" i="1"/>
  <c r="L340" i="1"/>
  <c r="K340" i="1"/>
  <c r="H340" i="1"/>
  <c r="L339" i="1"/>
  <c r="K339" i="1"/>
  <c r="H339" i="1"/>
  <c r="L338" i="1"/>
  <c r="K338" i="1"/>
  <c r="H338" i="1"/>
  <c r="L337" i="1"/>
  <c r="K337" i="1"/>
  <c r="H337" i="1"/>
  <c r="L336" i="1"/>
  <c r="K336" i="1"/>
  <c r="H336" i="1"/>
  <c r="L335" i="1"/>
  <c r="K335" i="1"/>
  <c r="H335" i="1"/>
  <c r="L334" i="1"/>
  <c r="K334" i="1"/>
  <c r="H334" i="1"/>
  <c r="L333" i="1"/>
  <c r="K333" i="1"/>
  <c r="H333" i="1"/>
  <c r="L332" i="1"/>
  <c r="K332" i="1"/>
  <c r="H332" i="1"/>
  <c r="L331" i="1"/>
  <c r="K331" i="1"/>
  <c r="H331" i="1"/>
  <c r="L330" i="1"/>
  <c r="K330" i="1"/>
  <c r="H330" i="1"/>
  <c r="L329" i="1"/>
  <c r="K329" i="1"/>
  <c r="H329" i="1"/>
  <c r="L328" i="1"/>
  <c r="K328" i="1"/>
  <c r="H328" i="1"/>
  <c r="L327" i="1"/>
  <c r="K327" i="1"/>
  <c r="H327" i="1"/>
  <c r="L326" i="1"/>
  <c r="K326" i="1"/>
  <c r="H326" i="1"/>
  <c r="L325" i="1"/>
  <c r="K325" i="1"/>
  <c r="H325" i="1"/>
  <c r="L324" i="1"/>
  <c r="K324" i="1"/>
  <c r="H324" i="1"/>
  <c r="L323" i="1"/>
  <c r="K323" i="1"/>
  <c r="H323" i="1"/>
  <c r="L322" i="1"/>
  <c r="K322" i="1"/>
  <c r="H322" i="1"/>
  <c r="L321" i="1"/>
  <c r="K321" i="1"/>
  <c r="H321" i="1"/>
  <c r="L320" i="1"/>
  <c r="K320" i="1"/>
  <c r="H320" i="1"/>
  <c r="L319" i="1"/>
  <c r="K319" i="1"/>
  <c r="H319" i="1"/>
  <c r="L318" i="1"/>
  <c r="K318" i="1"/>
  <c r="H318" i="1"/>
  <c r="L317" i="1"/>
  <c r="K317" i="1"/>
  <c r="H317" i="1"/>
  <c r="L316" i="1"/>
  <c r="K316" i="1"/>
  <c r="H316" i="1"/>
  <c r="L315" i="1"/>
  <c r="K315" i="1"/>
  <c r="H315" i="1"/>
  <c r="L314" i="1"/>
  <c r="K314" i="1"/>
  <c r="H314" i="1"/>
  <c r="L313" i="1"/>
  <c r="K313" i="1"/>
  <c r="H313" i="1"/>
  <c r="L312" i="1"/>
  <c r="K312" i="1"/>
  <c r="H312" i="1"/>
  <c r="L311" i="1"/>
  <c r="K311" i="1"/>
  <c r="H311" i="1"/>
  <c r="L310" i="1"/>
  <c r="K310" i="1"/>
  <c r="H310" i="1"/>
  <c r="L309" i="1"/>
  <c r="K309" i="1"/>
  <c r="H309" i="1"/>
  <c r="L308" i="1"/>
  <c r="K308" i="1"/>
  <c r="H308" i="1"/>
  <c r="L307" i="1"/>
  <c r="K307" i="1"/>
  <c r="H307" i="1"/>
  <c r="L306" i="1"/>
  <c r="K306" i="1"/>
  <c r="H306" i="1"/>
  <c r="L305" i="1"/>
  <c r="K305" i="1"/>
  <c r="H305" i="1"/>
  <c r="L304" i="1"/>
  <c r="K304" i="1"/>
  <c r="H304" i="1"/>
  <c r="L303" i="1"/>
  <c r="K303" i="1"/>
  <c r="H303" i="1"/>
  <c r="L302" i="1"/>
  <c r="K302" i="1"/>
  <c r="H302" i="1"/>
  <c r="L301" i="1"/>
  <c r="K301" i="1"/>
  <c r="H301" i="1"/>
  <c r="L300" i="1"/>
  <c r="K300" i="1"/>
  <c r="H300" i="1"/>
  <c r="L299" i="1"/>
  <c r="K299" i="1"/>
  <c r="H299" i="1"/>
  <c r="L298" i="1"/>
  <c r="K298" i="1"/>
  <c r="H298" i="1"/>
  <c r="L297" i="1"/>
  <c r="K297" i="1"/>
  <c r="H297" i="1"/>
  <c r="L296" i="1"/>
  <c r="K296" i="1"/>
  <c r="H296" i="1"/>
  <c r="L295" i="1"/>
  <c r="K295" i="1"/>
  <c r="H295" i="1"/>
  <c r="L294" i="1"/>
  <c r="K294" i="1"/>
  <c r="H294" i="1"/>
  <c r="L293" i="1"/>
  <c r="K293" i="1"/>
  <c r="H293" i="1"/>
  <c r="L292" i="1"/>
  <c r="K292" i="1"/>
  <c r="H292" i="1"/>
  <c r="L291" i="1"/>
  <c r="K291" i="1"/>
  <c r="H291" i="1"/>
  <c r="L290" i="1"/>
  <c r="K290" i="1"/>
  <c r="H290" i="1"/>
  <c r="L289" i="1"/>
  <c r="K289" i="1"/>
  <c r="H289" i="1"/>
  <c r="L288" i="1"/>
  <c r="K288" i="1"/>
  <c r="H288" i="1"/>
  <c r="L287" i="1"/>
  <c r="K287" i="1"/>
  <c r="H287" i="1"/>
  <c r="L286" i="1"/>
  <c r="K286" i="1"/>
  <c r="H286" i="1"/>
  <c r="L285" i="1"/>
  <c r="K285" i="1"/>
  <c r="H285" i="1"/>
  <c r="L284" i="1"/>
  <c r="K284" i="1"/>
  <c r="H284" i="1"/>
  <c r="L283" i="1"/>
  <c r="K283" i="1"/>
  <c r="H283" i="1"/>
  <c r="L282" i="1"/>
  <c r="K282" i="1"/>
  <c r="H282" i="1"/>
  <c r="L281" i="1"/>
  <c r="K281" i="1"/>
  <c r="H281" i="1"/>
  <c r="L280" i="1"/>
  <c r="K280" i="1"/>
  <c r="H280" i="1"/>
  <c r="L279" i="1"/>
  <c r="K279" i="1"/>
  <c r="H279" i="1"/>
  <c r="L278" i="1"/>
  <c r="K278" i="1"/>
  <c r="H278" i="1"/>
  <c r="L277" i="1"/>
  <c r="K277" i="1"/>
  <c r="H277" i="1"/>
  <c r="L276" i="1"/>
  <c r="K276" i="1"/>
  <c r="H276" i="1"/>
  <c r="L275" i="1"/>
  <c r="K275" i="1"/>
  <c r="H275" i="1"/>
  <c r="L274" i="1"/>
  <c r="K274" i="1"/>
  <c r="H274" i="1"/>
  <c r="L273" i="1"/>
  <c r="K273" i="1"/>
  <c r="H273" i="1"/>
  <c r="L272" i="1"/>
  <c r="K272" i="1"/>
  <c r="H272" i="1"/>
  <c r="L271" i="1"/>
  <c r="K271" i="1"/>
  <c r="H271" i="1"/>
  <c r="L270" i="1"/>
  <c r="K270" i="1"/>
  <c r="H270" i="1"/>
  <c r="L269" i="1"/>
  <c r="K269" i="1"/>
  <c r="H269" i="1"/>
  <c r="L268" i="1"/>
  <c r="K268" i="1"/>
  <c r="H268" i="1"/>
  <c r="L267" i="1"/>
  <c r="K267" i="1"/>
  <c r="H267" i="1"/>
  <c r="L266" i="1"/>
  <c r="K266" i="1"/>
  <c r="H266" i="1"/>
  <c r="L265" i="1"/>
  <c r="K265" i="1"/>
  <c r="H265" i="1"/>
  <c r="L264" i="1"/>
  <c r="K264" i="1"/>
  <c r="H264" i="1"/>
  <c r="L263" i="1"/>
  <c r="K263" i="1"/>
  <c r="H263" i="1"/>
  <c r="L262" i="1"/>
  <c r="K262" i="1"/>
  <c r="H262" i="1"/>
  <c r="L261" i="1"/>
  <c r="K261" i="1"/>
  <c r="H261" i="1"/>
  <c r="L260" i="1"/>
  <c r="K260" i="1"/>
  <c r="H260" i="1"/>
  <c r="L259" i="1"/>
  <c r="K259" i="1"/>
  <c r="H259" i="1"/>
  <c r="L258" i="1"/>
  <c r="K258" i="1"/>
  <c r="H258" i="1"/>
  <c r="L257" i="1"/>
  <c r="K257" i="1"/>
  <c r="H257" i="1"/>
  <c r="L256" i="1"/>
  <c r="K256" i="1"/>
  <c r="H256" i="1"/>
  <c r="L255" i="1"/>
  <c r="K255" i="1"/>
  <c r="H255" i="1"/>
  <c r="L254" i="1"/>
  <c r="K254" i="1"/>
  <c r="H254" i="1"/>
  <c r="L253" i="1"/>
  <c r="K253" i="1"/>
  <c r="H253" i="1"/>
  <c r="L252" i="1"/>
  <c r="K252" i="1"/>
  <c r="H252" i="1"/>
  <c r="L251" i="1"/>
  <c r="K251" i="1"/>
  <c r="H251" i="1"/>
  <c r="L250" i="1"/>
  <c r="K250" i="1"/>
  <c r="H250" i="1"/>
  <c r="L249" i="1"/>
  <c r="K249" i="1"/>
  <c r="H249" i="1"/>
  <c r="L248" i="1"/>
  <c r="K248" i="1"/>
  <c r="H248" i="1"/>
  <c r="L247" i="1"/>
  <c r="K247" i="1"/>
  <c r="H247" i="1"/>
  <c r="L246" i="1"/>
  <c r="K246" i="1"/>
  <c r="H246" i="1"/>
  <c r="L245" i="1"/>
  <c r="K245" i="1"/>
  <c r="H245" i="1"/>
  <c r="L244" i="1"/>
  <c r="K244" i="1"/>
  <c r="H244" i="1"/>
  <c r="L243" i="1"/>
  <c r="K243" i="1"/>
  <c r="H243" i="1"/>
  <c r="L242" i="1"/>
  <c r="K242" i="1"/>
  <c r="H242" i="1"/>
  <c r="L241" i="1"/>
  <c r="K241" i="1"/>
  <c r="H241" i="1"/>
  <c r="L240" i="1"/>
  <c r="K240" i="1"/>
  <c r="H240" i="1"/>
  <c r="L239" i="1"/>
  <c r="K239" i="1"/>
  <c r="H239" i="1"/>
  <c r="L238" i="1"/>
  <c r="K238" i="1"/>
  <c r="H238" i="1"/>
  <c r="L237" i="1"/>
  <c r="K237" i="1"/>
  <c r="H237" i="1"/>
  <c r="L236" i="1"/>
  <c r="K236" i="1"/>
  <c r="H236" i="1"/>
  <c r="L235" i="1"/>
  <c r="K235" i="1"/>
  <c r="H235" i="1"/>
  <c r="L234" i="1"/>
  <c r="K234" i="1"/>
  <c r="H234" i="1"/>
  <c r="L233" i="1"/>
  <c r="K233" i="1"/>
  <c r="H233" i="1"/>
  <c r="L232" i="1"/>
  <c r="K232" i="1"/>
  <c r="H232" i="1"/>
  <c r="L231" i="1"/>
  <c r="K231" i="1"/>
  <c r="H231" i="1"/>
  <c r="L230" i="1"/>
  <c r="K230" i="1"/>
  <c r="H230" i="1"/>
  <c r="L229" i="1"/>
  <c r="K229" i="1"/>
  <c r="H229" i="1"/>
  <c r="L228" i="1"/>
  <c r="K228" i="1"/>
  <c r="H228" i="1"/>
  <c r="L227" i="1"/>
  <c r="K227" i="1"/>
  <c r="H227" i="1"/>
  <c r="L226" i="1"/>
  <c r="K226" i="1"/>
  <c r="H226" i="1"/>
  <c r="L225" i="1"/>
  <c r="K225" i="1"/>
  <c r="H225" i="1"/>
  <c r="L224" i="1"/>
  <c r="K224" i="1"/>
  <c r="H224" i="1"/>
  <c r="L223" i="1"/>
  <c r="K223" i="1"/>
  <c r="H223" i="1"/>
  <c r="L222" i="1"/>
  <c r="K222" i="1"/>
  <c r="H222" i="1"/>
  <c r="L221" i="1"/>
  <c r="K221" i="1"/>
  <c r="H221" i="1"/>
  <c r="L220" i="1"/>
  <c r="K220" i="1"/>
  <c r="H220" i="1"/>
  <c r="L219" i="1"/>
  <c r="K219" i="1"/>
  <c r="H219" i="1"/>
  <c r="L218" i="1"/>
  <c r="K218" i="1"/>
  <c r="H218" i="1"/>
  <c r="L217" i="1"/>
  <c r="K217" i="1"/>
  <c r="H217" i="1"/>
  <c r="L216" i="1"/>
  <c r="K216" i="1"/>
  <c r="H216" i="1"/>
  <c r="L215" i="1"/>
  <c r="K215" i="1"/>
  <c r="H215" i="1"/>
  <c r="L214" i="1"/>
  <c r="K214" i="1"/>
  <c r="H214" i="1"/>
  <c r="L213" i="1"/>
  <c r="K213" i="1"/>
  <c r="H213" i="1"/>
  <c r="L212" i="1"/>
  <c r="K212" i="1"/>
  <c r="H212" i="1"/>
  <c r="L211" i="1"/>
  <c r="K211" i="1"/>
  <c r="H211" i="1"/>
  <c r="L210" i="1"/>
  <c r="K210" i="1"/>
  <c r="H210" i="1"/>
  <c r="L204" i="1"/>
  <c r="K204" i="1"/>
  <c r="H204" i="1"/>
  <c r="L203" i="1"/>
  <c r="K203" i="1"/>
  <c r="H203" i="1"/>
  <c r="L202" i="1"/>
  <c r="K202" i="1"/>
  <c r="H202" i="1"/>
  <c r="L201" i="1"/>
  <c r="K201" i="1"/>
  <c r="H201" i="1"/>
  <c r="L200" i="1"/>
  <c r="K200" i="1"/>
  <c r="H200" i="1"/>
  <c r="L199" i="1"/>
  <c r="K199" i="1"/>
  <c r="H199" i="1"/>
  <c r="L198" i="1"/>
  <c r="K198" i="1"/>
  <c r="H198" i="1"/>
  <c r="L197" i="1"/>
  <c r="K197" i="1"/>
  <c r="H197" i="1"/>
  <c r="L196" i="1"/>
  <c r="K196" i="1"/>
  <c r="H196" i="1"/>
  <c r="L195" i="1"/>
  <c r="K195" i="1"/>
  <c r="H195" i="1"/>
  <c r="L194" i="1"/>
  <c r="K194" i="1"/>
  <c r="H194" i="1"/>
  <c r="L193" i="1"/>
  <c r="K193" i="1"/>
  <c r="H193" i="1"/>
  <c r="L192" i="1"/>
  <c r="K192" i="1"/>
  <c r="H192" i="1"/>
  <c r="L191" i="1"/>
  <c r="K191" i="1"/>
  <c r="H191" i="1"/>
  <c r="L190" i="1"/>
  <c r="K190" i="1"/>
  <c r="H190" i="1"/>
  <c r="L189" i="1"/>
  <c r="K189" i="1"/>
  <c r="H189" i="1"/>
  <c r="L188" i="1"/>
  <c r="K188" i="1"/>
  <c r="H188" i="1"/>
  <c r="L187" i="1"/>
  <c r="K187" i="1"/>
  <c r="H187" i="1"/>
  <c r="L181" i="1"/>
  <c r="K181" i="1"/>
  <c r="H181" i="1"/>
  <c r="L180" i="1"/>
  <c r="K180" i="1"/>
  <c r="H180" i="1"/>
  <c r="L179" i="1"/>
  <c r="K179" i="1"/>
  <c r="H179" i="1"/>
  <c r="L178" i="1"/>
  <c r="K178" i="1"/>
  <c r="H178" i="1"/>
  <c r="L177" i="1"/>
  <c r="K177" i="1"/>
  <c r="H177" i="1"/>
  <c r="L176" i="1"/>
  <c r="K176" i="1"/>
  <c r="H176" i="1"/>
  <c r="L175" i="1"/>
  <c r="K175" i="1"/>
  <c r="H175" i="1"/>
  <c r="L174" i="1"/>
  <c r="K174" i="1"/>
  <c r="H174" i="1"/>
  <c r="L173" i="1"/>
  <c r="K173" i="1"/>
  <c r="H173" i="1"/>
  <c r="L172" i="1"/>
  <c r="K172" i="1"/>
  <c r="H172" i="1"/>
  <c r="L171" i="1"/>
  <c r="K171" i="1"/>
  <c r="H171" i="1"/>
  <c r="L170" i="1"/>
  <c r="K170" i="1"/>
  <c r="H170" i="1"/>
  <c r="L169" i="1"/>
  <c r="K169" i="1"/>
  <c r="H169" i="1"/>
  <c r="L163" i="1"/>
  <c r="K163" i="1"/>
  <c r="H163" i="1"/>
  <c r="L162" i="1"/>
  <c r="K162" i="1"/>
  <c r="H162" i="1"/>
  <c r="L161" i="1"/>
  <c r="K161" i="1"/>
  <c r="H161" i="1"/>
  <c r="L160" i="1"/>
  <c r="K160" i="1"/>
  <c r="H160" i="1"/>
  <c r="L159" i="1"/>
  <c r="K159" i="1"/>
  <c r="H159" i="1"/>
  <c r="L158" i="1"/>
  <c r="K158" i="1"/>
  <c r="H158" i="1"/>
  <c r="L157" i="1"/>
  <c r="K157" i="1"/>
  <c r="H157" i="1"/>
  <c r="L156" i="1"/>
  <c r="K156" i="1"/>
  <c r="H156" i="1"/>
  <c r="L155" i="1"/>
  <c r="K155" i="1"/>
  <c r="H155" i="1"/>
  <c r="L154" i="1"/>
  <c r="K154" i="1"/>
  <c r="H154" i="1"/>
  <c r="L148" i="1"/>
  <c r="K148" i="1"/>
  <c r="H148" i="1"/>
  <c r="L147" i="1"/>
  <c r="K147" i="1"/>
  <c r="H147" i="1"/>
  <c r="L146" i="1"/>
  <c r="K146" i="1"/>
  <c r="H146" i="1"/>
  <c r="L145" i="1"/>
  <c r="K145" i="1"/>
  <c r="H145" i="1"/>
  <c r="L144" i="1"/>
  <c r="K144" i="1"/>
  <c r="H144" i="1"/>
  <c r="L143" i="1"/>
  <c r="K143" i="1"/>
  <c r="H143" i="1"/>
  <c r="L142" i="1"/>
  <c r="K142" i="1"/>
  <c r="H142" i="1"/>
  <c r="L141" i="1"/>
  <c r="K141" i="1"/>
  <c r="H141" i="1"/>
  <c r="L140" i="1"/>
  <c r="K140" i="1"/>
  <c r="H140" i="1"/>
  <c r="L134" i="1"/>
  <c r="K134" i="1"/>
  <c r="H134" i="1"/>
  <c r="L133" i="1"/>
  <c r="K133" i="1"/>
  <c r="H133" i="1"/>
  <c r="L132" i="1"/>
  <c r="K132" i="1"/>
  <c r="H132" i="1"/>
  <c r="L131" i="1"/>
  <c r="K131" i="1"/>
  <c r="H131" i="1"/>
  <c r="L130" i="1"/>
  <c r="K130" i="1"/>
  <c r="H130" i="1"/>
  <c r="L129" i="1"/>
  <c r="K129" i="1"/>
  <c r="H129" i="1"/>
  <c r="L128" i="1"/>
  <c r="K128" i="1"/>
  <c r="H128" i="1"/>
  <c r="L127" i="1"/>
  <c r="K127" i="1"/>
  <c r="H127" i="1"/>
  <c r="L126" i="1"/>
  <c r="K126" i="1"/>
  <c r="H126" i="1"/>
  <c r="L125" i="1"/>
  <c r="K125" i="1"/>
  <c r="H125" i="1"/>
  <c r="L124" i="1"/>
  <c r="K124" i="1"/>
  <c r="H124" i="1"/>
  <c r="L123" i="1"/>
  <c r="K123" i="1"/>
  <c r="H123" i="1"/>
  <c r="L122" i="1"/>
  <c r="K122" i="1"/>
  <c r="H122" i="1"/>
  <c r="L121" i="1"/>
  <c r="K121" i="1"/>
  <c r="H121" i="1"/>
  <c r="L120" i="1"/>
  <c r="K120" i="1"/>
  <c r="H120" i="1"/>
  <c r="L119" i="1"/>
  <c r="K119" i="1"/>
  <c r="H119" i="1"/>
  <c r="L118" i="1"/>
  <c r="K118" i="1"/>
  <c r="H118" i="1"/>
  <c r="L112" i="1"/>
  <c r="K112" i="1"/>
  <c r="H112" i="1"/>
  <c r="L111" i="1"/>
  <c r="K111" i="1"/>
  <c r="H111" i="1"/>
  <c r="L110" i="1"/>
  <c r="K110" i="1"/>
  <c r="H110" i="1"/>
  <c r="L109" i="1"/>
  <c r="K109" i="1"/>
  <c r="H109" i="1"/>
  <c r="L108" i="1"/>
  <c r="K108" i="1"/>
  <c r="H108" i="1"/>
  <c r="L107" i="1"/>
  <c r="K107" i="1"/>
  <c r="H107" i="1"/>
  <c r="L106" i="1"/>
  <c r="K106" i="1"/>
  <c r="H106" i="1"/>
  <c r="L105" i="1"/>
  <c r="K105" i="1"/>
  <c r="H105" i="1"/>
  <c r="L104" i="1"/>
  <c r="K104" i="1"/>
  <c r="H104" i="1"/>
  <c r="L103" i="1"/>
  <c r="K103" i="1"/>
  <c r="H103" i="1"/>
  <c r="L102" i="1"/>
  <c r="K102" i="1"/>
  <c r="H102" i="1"/>
  <c r="L101" i="1"/>
  <c r="K101" i="1"/>
  <c r="H101" i="1"/>
  <c r="L100" i="1"/>
  <c r="K100" i="1"/>
  <c r="H100" i="1"/>
  <c r="L99" i="1"/>
  <c r="K99" i="1"/>
  <c r="H99" i="1"/>
  <c r="L98" i="1"/>
  <c r="K98" i="1"/>
  <c r="H98" i="1"/>
  <c r="L97" i="1"/>
  <c r="K97" i="1"/>
  <c r="H97" i="1"/>
  <c r="L96" i="1"/>
  <c r="K96" i="1"/>
  <c r="H96" i="1"/>
  <c r="L90" i="1"/>
  <c r="K90" i="1"/>
  <c r="H90" i="1"/>
  <c r="L89" i="1"/>
  <c r="K89" i="1"/>
  <c r="H89" i="1"/>
  <c r="L88" i="1"/>
  <c r="K88" i="1"/>
  <c r="H88" i="1"/>
  <c r="L87" i="1"/>
  <c r="K87" i="1"/>
  <c r="H87" i="1"/>
  <c r="L86" i="1"/>
  <c r="K86" i="1"/>
  <c r="H86" i="1"/>
  <c r="L85" i="1"/>
  <c r="K85" i="1"/>
  <c r="H85" i="1"/>
  <c r="L84" i="1"/>
  <c r="K84" i="1"/>
  <c r="H84" i="1"/>
  <c r="L83" i="1"/>
  <c r="K83" i="1"/>
  <c r="H83" i="1"/>
  <c r="L82" i="1"/>
  <c r="K82" i="1"/>
  <c r="H82" i="1"/>
  <c r="L81" i="1"/>
  <c r="K81" i="1"/>
  <c r="H81" i="1"/>
  <c r="L80" i="1"/>
  <c r="K80" i="1"/>
  <c r="H80" i="1"/>
  <c r="L79" i="1"/>
  <c r="K79" i="1"/>
  <c r="H79" i="1"/>
  <c r="L78" i="1"/>
  <c r="K78" i="1"/>
  <c r="H78" i="1"/>
  <c r="L77" i="1"/>
  <c r="K77" i="1"/>
  <c r="H77" i="1"/>
  <c r="L76" i="1"/>
  <c r="K76" i="1"/>
  <c r="H76" i="1"/>
  <c r="M68" i="1"/>
  <c r="L68" i="1"/>
  <c r="I68" i="1"/>
  <c r="M67" i="1"/>
  <c r="L67" i="1"/>
  <c r="I67" i="1"/>
  <c r="M66" i="1"/>
  <c r="L66" i="1"/>
  <c r="I66" i="1"/>
  <c r="M65" i="1"/>
  <c r="L65" i="1"/>
  <c r="I65" i="1"/>
  <c r="M64" i="1"/>
  <c r="L64" i="1"/>
  <c r="I64" i="1"/>
  <c r="M63" i="1"/>
  <c r="L63" i="1"/>
  <c r="I63" i="1"/>
  <c r="M62" i="1"/>
  <c r="L62" i="1"/>
  <c r="I62" i="1"/>
  <c r="M61" i="1"/>
  <c r="L61" i="1"/>
  <c r="I61" i="1"/>
  <c r="M60" i="1"/>
  <c r="L60" i="1"/>
  <c r="I60" i="1"/>
  <c r="M59" i="1"/>
  <c r="L59" i="1"/>
  <c r="I59" i="1"/>
  <c r="M58" i="1"/>
  <c r="L58" i="1"/>
  <c r="I58" i="1"/>
  <c r="M57" i="1"/>
  <c r="L57" i="1"/>
  <c r="I57" i="1"/>
  <c r="M56" i="1"/>
  <c r="L56" i="1"/>
  <c r="I56" i="1"/>
  <c r="M55" i="1"/>
  <c r="L55" i="1"/>
  <c r="I55" i="1"/>
  <c r="M54" i="1"/>
  <c r="L54" i="1"/>
  <c r="I54" i="1"/>
  <c r="M53" i="1"/>
  <c r="L53" i="1"/>
  <c r="I53" i="1"/>
  <c r="M52" i="1"/>
  <c r="L52" i="1"/>
  <c r="I52" i="1"/>
  <c r="M51" i="1"/>
  <c r="L51" i="1"/>
  <c r="I51" i="1"/>
  <c r="M50" i="1"/>
  <c r="L50" i="1"/>
  <c r="I50" i="1"/>
  <c r="M49" i="1"/>
  <c r="L49" i="1"/>
  <c r="I49" i="1"/>
  <c r="M48" i="1"/>
  <c r="L48" i="1"/>
  <c r="I48" i="1"/>
  <c r="M47" i="1"/>
  <c r="L47" i="1"/>
  <c r="I47" i="1"/>
  <c r="M46" i="1"/>
  <c r="L46" i="1"/>
  <c r="I46" i="1"/>
  <c r="M45" i="1"/>
  <c r="L45" i="1"/>
  <c r="I45" i="1"/>
  <c r="M44" i="1"/>
  <c r="L44" i="1"/>
  <c r="I44" i="1"/>
  <c r="M43" i="1"/>
  <c r="L43" i="1"/>
  <c r="I43" i="1"/>
  <c r="M42" i="1"/>
  <c r="L42" i="1"/>
  <c r="I42" i="1"/>
  <c r="M41" i="1"/>
  <c r="L41" i="1"/>
  <c r="I41" i="1"/>
  <c r="M40" i="1"/>
  <c r="L40" i="1"/>
  <c r="I40" i="1"/>
  <c r="M39" i="1"/>
  <c r="L39" i="1"/>
  <c r="I39" i="1"/>
  <c r="M38" i="1"/>
  <c r="L38" i="1"/>
  <c r="I38" i="1"/>
  <c r="M37" i="1"/>
  <c r="L37" i="1"/>
  <c r="I37" i="1"/>
  <c r="M36" i="1"/>
  <c r="L36" i="1"/>
  <c r="I36" i="1"/>
  <c r="M35" i="1"/>
  <c r="L35" i="1"/>
  <c r="I35" i="1"/>
  <c r="M34" i="1"/>
  <c r="L34" i="1"/>
  <c r="I34" i="1"/>
  <c r="M33" i="1"/>
  <c r="L33" i="1"/>
  <c r="I33" i="1"/>
  <c r="M32" i="1"/>
  <c r="L32" i="1"/>
  <c r="I32" i="1"/>
  <c r="M31" i="1"/>
  <c r="L31" i="1"/>
  <c r="I31" i="1"/>
  <c r="M30" i="1"/>
  <c r="L30" i="1"/>
  <c r="I30" i="1"/>
  <c r="M29" i="1"/>
  <c r="L29" i="1"/>
  <c r="I29" i="1"/>
  <c r="M28" i="1"/>
  <c r="L28" i="1"/>
  <c r="I28" i="1"/>
  <c r="M27" i="1"/>
  <c r="L27" i="1"/>
  <c r="I27" i="1"/>
  <c r="M26" i="1"/>
  <c r="L26" i="1"/>
  <c r="I26" i="1"/>
  <c r="M25" i="1"/>
  <c r="L25" i="1"/>
  <c r="I25" i="1"/>
  <c r="M24" i="1"/>
  <c r="L24" i="1"/>
  <c r="I24" i="1"/>
  <c r="M23" i="1"/>
  <c r="L23" i="1"/>
  <c r="I23" i="1"/>
  <c r="M22" i="1"/>
  <c r="L22" i="1"/>
  <c r="I22" i="1"/>
  <c r="M21" i="1"/>
  <c r="L21" i="1"/>
  <c r="I21" i="1"/>
  <c r="M20" i="1"/>
  <c r="L20" i="1"/>
  <c r="I20" i="1"/>
  <c r="M19" i="1"/>
  <c r="L19" i="1"/>
  <c r="I19" i="1"/>
  <c r="M18" i="1"/>
  <c r="L18" i="1"/>
  <c r="I18" i="1"/>
  <c r="M17" i="1"/>
  <c r="L17" i="1"/>
  <c r="I17" i="1"/>
  <c r="M16" i="1"/>
  <c r="L16" i="1"/>
  <c r="I16" i="1"/>
  <c r="M15" i="1"/>
  <c r="L15" i="1"/>
  <c r="I15" i="1"/>
  <c r="M14" i="1"/>
  <c r="L14" i="1"/>
  <c r="I14" i="1"/>
  <c r="M13" i="1"/>
  <c r="L13" i="1"/>
  <c r="I13" i="1"/>
  <c r="M12" i="1"/>
  <c r="L12" i="1"/>
  <c r="I12" i="1"/>
  <c r="M11" i="1"/>
  <c r="L11" i="1"/>
  <c r="I11" i="1"/>
  <c r="M10" i="1"/>
  <c r="L10" i="1"/>
  <c r="I10" i="1"/>
  <c r="M9" i="1"/>
  <c r="L9" i="1"/>
  <c r="I9" i="1"/>
  <c r="M8" i="1"/>
  <c r="L8" i="1"/>
  <c r="I8" i="1"/>
  <c r="M7" i="1"/>
  <c r="L7" i="1"/>
  <c r="I7" i="1"/>
</calcChain>
</file>

<file path=xl/sharedStrings.xml><?xml version="1.0" encoding="utf-8"?>
<sst xmlns="http://schemas.openxmlformats.org/spreadsheetml/2006/main" count="4942" uniqueCount="486">
  <si>
    <t>Informe de trayectos</t>
  </si>
  <si>
    <t>Periodo: 13 de febrero de 2025 0:00 - 13 de febrero de 2025 23:59</t>
  </si>
  <si>
    <t>Informe generado</t>
  </si>
  <si>
    <t>Resumen del informe</t>
  </si>
  <si>
    <t>Nombre de objeto</t>
  </si>
  <si>
    <t>Hora de inicio de trabajo</t>
  </si>
  <si>
    <t>Ubicación de inicio de trabajo</t>
  </si>
  <si>
    <t>Hora de fin de trabajo</t>
  </si>
  <si>
    <t>Ubicación de fin de trabajo</t>
  </si>
  <si>
    <t>Kilometraje recorrido</t>
  </si>
  <si>
    <t>Kilometraje al inicio</t>
  </si>
  <si>
    <t>Kilometraje al final</t>
  </si>
  <si>
    <t>Duración de inactividad</t>
  </si>
  <si>
    <t>Velocidad máxima</t>
  </si>
  <si>
    <t>Velocidad media</t>
  </si>
  <si>
    <t>Duración del trabajo</t>
  </si>
  <si>
    <t>Duración de parada</t>
  </si>
  <si>
    <t>Ate, Lima Metropolitana, Lima, 15498, Perú</t>
  </si>
  <si>
    <t>Lurigancho, Lima Metropolitana, Lima, 15468, Perú</t>
  </si>
  <si>
    <t>84 km/h</t>
  </si>
  <si>
    <t>17 km/h</t>
  </si>
  <si>
    <t>Avenida Lima Norte, Santa Eulalia, Lima Metropolitana, Lima, 15468, Perú</t>
  </si>
  <si>
    <t>101 km/h</t>
  </si>
  <si>
    <t>19 km/h</t>
  </si>
  <si>
    <t>Avenida Los Incas, Ate, Lima Metropolitana, Lima, 15483, Perú</t>
  </si>
  <si>
    <t>Los Huancas, Ate, Lima Metropolitana, Lima, 15483, Perú</t>
  </si>
  <si>
    <t>71 km/h</t>
  </si>
  <si>
    <t>Ate, Lima Metropolitana, Lima, 15483, Perú</t>
  </si>
  <si>
    <t>76 km/h</t>
  </si>
  <si>
    <t>15 km/h</t>
  </si>
  <si>
    <t>Calle Manantiales de Vida, Ate, Lima Metropolitana, Lima, 15487, Perú</t>
  </si>
  <si>
    <t>81 km/h</t>
  </si>
  <si>
    <t>70 km/h</t>
  </si>
  <si>
    <t>90 km/h</t>
  </si>
  <si>
    <t>20 km/h</t>
  </si>
  <si>
    <t>Carretera Central, Chaclacayo, Lima Metropolitana, Lima, 15476, Perú</t>
  </si>
  <si>
    <t>46 km/h</t>
  </si>
  <si>
    <t>5 km/h</t>
  </si>
  <si>
    <t>Avenida Las Retamas, Ricardo Palma, Huarochirí, Lima, 15468, Perú</t>
  </si>
  <si>
    <t>Calle los Alamos, Chosica, Lima Metropolitana, Lima, 15468, Perú</t>
  </si>
  <si>
    <t>80 km/h</t>
  </si>
  <si>
    <t>Calle Las Gardenias, Ricardo Palma, Huarochirí, Lima, 15468, Perú</t>
  </si>
  <si>
    <t>77 km/h</t>
  </si>
  <si>
    <t>14 km/h</t>
  </si>
  <si>
    <t>Capitan Gamarra, Ricardo Palma, Huarochirí, Lima, 15468, Perú, (Ruta4507nueva era 23-10-23)</t>
  </si>
  <si>
    <t>85 km/h</t>
  </si>
  <si>
    <t>87 km/h</t>
  </si>
  <si>
    <t>Avenida José Carlos Mariátegui, Ricardo Palma, Huarochirí, Lima, 15468, Perú</t>
  </si>
  <si>
    <t>Avenida Paseo de la República, Lima, Lima Metropolitana, Lima, 15083, Perú, (Ruta4507nueva era 23-10-23)</t>
  </si>
  <si>
    <t>Calle Huayna Cápac, 200, Chaclacayo, Lima Metropolitana, Lima, 15474, Perú</t>
  </si>
  <si>
    <t>92 km/h</t>
  </si>
  <si>
    <t>16 km/h</t>
  </si>
  <si>
    <t>Calle Nueva Los Alamos, Santa Eulalia, Huarochirí, Lima, 15468, Perú</t>
  </si>
  <si>
    <t>89 km/h</t>
  </si>
  <si>
    <t>Calle Cerro de Pasco, Ate, Lima Metropolitana, Lima, 15498, Perú</t>
  </si>
  <si>
    <t>68 km/h</t>
  </si>
  <si>
    <t>Avenida Bernard de Balaguer, Lurigancho, Lima Metropolitana, Lima, 15464, Perú</t>
  </si>
  <si>
    <t>73 km/h</t>
  </si>
  <si>
    <t>13 km/h</t>
  </si>
  <si>
    <t>Calle 1, Ate, Lima Metropolitana, Lima, 15483, Perú</t>
  </si>
  <si>
    <t>75 km/h</t>
  </si>
  <si>
    <t>Avenida Los Cipreses, Santa Anita, Lima Metropolitana, Lima, 15002, Perú, (RUTA DESVIO TEM.  4507)</t>
  </si>
  <si>
    <t>Calle Alhelíes, Chaclacayo, Lima Metropolitana, Lima, 15476, Perú</t>
  </si>
  <si>
    <t>65 km/h</t>
  </si>
  <si>
    <t>Calle Leoncio Prado, Santa Eulalia, Huarochirí, Lima, 15468, Perú</t>
  </si>
  <si>
    <t>83 km/h</t>
  </si>
  <si>
    <t>Calle Las Tunas, Santa Anita, Lima Metropolitana, Lima, 15007, Perú</t>
  </si>
  <si>
    <t>Calle Los Topacios, Lurigancho, Lima Metropolitana, Lima, 15472, Perú</t>
  </si>
  <si>
    <t>72 km/h</t>
  </si>
  <si>
    <t>Carretera Panamericana Sur, Km. 49, Santa María del Mar, Lima Metropolitana, Lima, 15956, Perú</t>
  </si>
  <si>
    <t>82 km/h</t>
  </si>
  <si>
    <t>30 km/h</t>
  </si>
  <si>
    <t>Carretera Central, Ate, Lima Metropolitana, Lima, 15487, Perú, (Ruta4507nueva era 23-10-23)</t>
  </si>
  <si>
    <t>Avenida Alfonso Cobián, Chaclacayo, Lima Metropolitana, Lima, 15476, Perú</t>
  </si>
  <si>
    <t>21 km/h</t>
  </si>
  <si>
    <t>74 km/h</t>
  </si>
  <si>
    <t>18 km/h</t>
  </si>
  <si>
    <t>Calle 11, Santa Anita, Lima Metropolitana, Lima, 15009, Perú</t>
  </si>
  <si>
    <t>Avenida Camino Real, Santa Anita, Lima Metropolitana, Lima, 15009, Perú</t>
  </si>
  <si>
    <t>79 km/h</t>
  </si>
  <si>
    <t>Carretera Central, Ate, Lima Metropolitana, Lima, 15474, Perú</t>
  </si>
  <si>
    <t>Ate, Lima Metropolitana, Lima, 15474, Perú</t>
  </si>
  <si>
    <t>Chosica, Lima Metropolitana, Lima, 15468, Perú</t>
  </si>
  <si>
    <t>Avenida Nicolás de Ayllón, Ate, Lima Metropolitana, Lima, 15487, Perú, (Ruta4507nueva era 23-10-23)</t>
  </si>
  <si>
    <t>Calle Los Álamos, Ate, Lima Metropolitana, Lima, 15483, Perú</t>
  </si>
  <si>
    <t>Avenida Enrique Guzmán y Valle, Chosica, Lima Metropolitana, Lima, 15468, Perú</t>
  </si>
  <si>
    <t>Jirón Argentina, Chosica, Lima Metropolitana, Lima, 15468, Perú</t>
  </si>
  <si>
    <t>78 km/h</t>
  </si>
  <si>
    <t>Carretera Central, Ate, Lima Metropolitana, Lima, 15483, Perú, (Ruta4507nueva era 23-10-23)</t>
  </si>
  <si>
    <t>Santa Eulalia, Huarochirí, Lima, 15468, Perú</t>
  </si>
  <si>
    <t>8 km/h</t>
  </si>
  <si>
    <t>0 km/h</t>
  </si>
  <si>
    <t>Ate, Lima Metropolitana, Lima, 15487, Perú</t>
  </si>
  <si>
    <t>Corcona, Huarochirí, Lima, Perú</t>
  </si>
  <si>
    <t>Carretera Central, Sol de Cupiche, Huarochirí, Lima, Perú</t>
  </si>
  <si>
    <t>66 km/h</t>
  </si>
  <si>
    <t>Calle 20 de Enero, Santa Eulalia, Huarochirí, Lima, 15468, Perú</t>
  </si>
  <si>
    <t>91 km/h</t>
  </si>
  <si>
    <t>Calle Camino Real, Chosica, Lima Metropolitana, Lima, 15468, Perú</t>
  </si>
  <si>
    <t>Calle 3, Chosica, Lima Metropolitana, Lima, 15468, Perú</t>
  </si>
  <si>
    <t>Avenida Micaela Bastidas, 561, Santa Eulalia, Huarochirí, Lima, 15468, Perú</t>
  </si>
  <si>
    <t>Avenida 9 de Diciembre, 150, Lima, Lima Metropolitana, Lima, 15083, Perú, (Ruta4507nueva era 23-10-23)</t>
  </si>
  <si>
    <t>Avenida Inca Garcilazo de la Vega, Lima, Lima Metropolitana, Lima, 15004, Perú</t>
  </si>
  <si>
    <t>Micaela Bastidas, Ate, Lima Metropolitana, Lima, 15498, Perú</t>
  </si>
  <si>
    <t>Avenida Simón Bolívar, Santa Eulalia, Huarochirí, Lima, 15468, Perú, (Ruta4507nueva era 23-10-23)</t>
  </si>
  <si>
    <t>94 km/h</t>
  </si>
  <si>
    <t>Avenida Lima Norte, Chosica, Lima Metropolitana, Lima, 15468, Perú</t>
  </si>
  <si>
    <t>93 km/h</t>
  </si>
  <si>
    <t>Prolongación Javier Prado Este, Ate, Lima Metropolitana, Lima, 15498, Perú, (RUTA DESVIO TEM.  4507)</t>
  </si>
  <si>
    <t>Calle Estocolmo, Ate, Lima Metropolitana, Lima, 15498, Perú</t>
  </si>
  <si>
    <t>2 km/h</t>
  </si>
  <si>
    <t>Jirón Tacna, Chosica, Lima Metropolitana, Lima, 15468, Perú</t>
  </si>
  <si>
    <t>Ate, Lima Metropolitana, Lima, 15487, Perú, (Ruta4507nueva era 23-10-23)</t>
  </si>
  <si>
    <t>Avenida Nicolás Ayllón, 137, Lima, Lima Metropolitana, Lima, 15011, Perú, (Ruta4507nueva era 23-10-23)</t>
  </si>
  <si>
    <t>Avenida Manuel de la Torre Ugarte, Santa Anita, Lima Metropolitana, Lima, 15008, Perú, (RUTA DESVIO TEM.  4507)</t>
  </si>
  <si>
    <t>86 km/h</t>
  </si>
  <si>
    <t>Calle 3, Ate, Lima Metropolitana, Lima, 15487, Perú</t>
  </si>
  <si>
    <t>Avenida Nicolás de Ayllón, Ate, Lima Metropolitana, Lima, 15498, Perú, (Ruta4507nueva era 23-10-23, RUTA DESVIO TEM.  4507)</t>
  </si>
  <si>
    <t>Avenida José Santos Chocano, Ricardo Palma, Huarochirí, Lima, 15468, Perú</t>
  </si>
  <si>
    <t>Avenida Nicolás de Ayllón, Ate, Lima Metropolitana, Lima, 15008, Perú, (Ruta4507nueva era 23-10-23, RUTA DESVIO TEM.  4507)</t>
  </si>
  <si>
    <t>12 km/h</t>
  </si>
  <si>
    <t>Totales:</t>
  </si>
  <si>
    <t/>
  </si>
  <si>
    <t>* Los datos de combustible se calculan de acuerdo con el consumo medio de combustible del vehículo especificado en su configuración</t>
  </si>
  <si>
    <t>3 km/h</t>
  </si>
  <si>
    <t>1 km/h</t>
  </si>
  <si>
    <t>Marcos Puente Llanos, Ate, Lima Metropolitana, Lima, 15498, Perú</t>
  </si>
  <si>
    <t>42 km/h</t>
  </si>
  <si>
    <t>10 km/h</t>
  </si>
  <si>
    <t>Marcos Puente Llanos, Ate, Lima Metropolitana, Lima, 15498, Perú, (RUTA DESVIO TEM.  4507)</t>
  </si>
  <si>
    <t>24 km/h</t>
  </si>
  <si>
    <t>Jose Carlos Mariátegui, Ricardo Palma, Lima Metropolitana, Lima, 15468, Perú, (PARADERO RICARDO PALMA)</t>
  </si>
  <si>
    <t>22 km/h</t>
  </si>
  <si>
    <t>Jose Carlos Mariátegui, Chosica, Lima Metropolitana, Lima, 15468, Perú, (PARADERO RICARDO PALMA)</t>
  </si>
  <si>
    <t>Avenida José Carlos Mariátegui, Ricardo Palma, Huarochirí, Lima, 15468, Perú, (Ruta4507nueva era 23-10-23)</t>
  </si>
  <si>
    <t>25 km/h</t>
  </si>
  <si>
    <t>Jirón Cornelio Borda, Lima, Lima Metropolitana, Lima, 15082, Perú</t>
  </si>
  <si>
    <t>Avenida Guillermo Dansey, Lima, Lima Metropolitana, Lima, 15079, Perú</t>
  </si>
  <si>
    <t>26 km/h</t>
  </si>
  <si>
    <t>Jirón Sánchez Pinillos, Lima, Lima Metropolitana, Lima, 15082, Perú</t>
  </si>
  <si>
    <t>9 km/h</t>
  </si>
  <si>
    <t>Avenida Río Perene, Ate, Lima Metropolitana, Lima, 15498, Perú</t>
  </si>
  <si>
    <t>Avenida Nicolás Ayllón, 1159, Chaclacayo, Lima Metropolitana, Lima, 15472, Perú, (Ruta4507nueva era 23-10-23)</t>
  </si>
  <si>
    <t>45 km/h</t>
  </si>
  <si>
    <t>Avenida Lima Norte, Santa Eulalia, Huarochirí, Lima, 15468, Perú</t>
  </si>
  <si>
    <t>28 km/h</t>
  </si>
  <si>
    <t>Avenida San Martín, Santa Eulalia, Huarochirí, Lima, 15468, Perú</t>
  </si>
  <si>
    <t>Jirón Los Próceres, Santa Eulalia, Huarochirí, Lima, 15468, Perú</t>
  </si>
  <si>
    <t>36 km/h</t>
  </si>
  <si>
    <t>11 km/h</t>
  </si>
  <si>
    <t>Avenida Lima Norte, 246, Chosica, Lima Metropolitana, Lima, 15468, Perú</t>
  </si>
  <si>
    <t>50 km/h</t>
  </si>
  <si>
    <t>23 km/h</t>
  </si>
  <si>
    <t>Simón Bolívar, Ricardo Palma, Huarochirí, Lima, 15468, Perú</t>
  </si>
  <si>
    <t>Avenida Lima Norte, Santa Eulalia, Lima Metropolitana, Lima, 15468, Perú, (Ruta4507nueva era 23-10-23)</t>
  </si>
  <si>
    <t>32 km/h</t>
  </si>
  <si>
    <t>6 km/h</t>
  </si>
  <si>
    <t>Abraham Valdelomar, Ricardo Palma, Huarochirí, Lima, 15468, Perú</t>
  </si>
  <si>
    <t>Avenida Simón Bolívar, Santa Eulalia, Huarochirí, Lima, 15468, Perú</t>
  </si>
  <si>
    <t>29 km/h</t>
  </si>
  <si>
    <t>Avenida Lima Norte, Santa Eulalia, Huarochirí, Lima, 15468, Perú, (Ruta4507nueva era 23-10-23)</t>
  </si>
  <si>
    <t>7 km/h</t>
  </si>
  <si>
    <t>33 km/h</t>
  </si>
  <si>
    <t>Simón Bolívar, Ricardo Palma, Huarochirí, Lima, 15468, Perú, (TALLER TRASANDINO)</t>
  </si>
  <si>
    <t>Avenida José Carlos Mariátegui, Ricardo Palma, Huarochirí, Lima, 15468, Perú, (CURVA RICARDO PALMA, Ruta4507nueva era 23-10-23)</t>
  </si>
  <si>
    <t>Avenida José Carlos Mariátegui, Ate, Lima Metropolitana, Lima, 15483, Perú</t>
  </si>
  <si>
    <t>67 km/h</t>
  </si>
  <si>
    <t>Jirón Jorge Chávez, Breña, Lima Metropolitana, Lima, 15082, Perú</t>
  </si>
  <si>
    <t>Jirón Molino del Gato, Lima, Lima Metropolitana, Lima, 15082, Perú</t>
  </si>
  <si>
    <t>31 km/h</t>
  </si>
  <si>
    <t>Carretera Central, Chaclacayo, Lima Metropolitana, Lima, 15474, Perú</t>
  </si>
  <si>
    <t>Carretera Central, Chaclacayo, Lima Metropolitana, Lima, 15474, Perú, (Ruta4507nueva era 23-10-23)</t>
  </si>
  <si>
    <t>Avenida La Estrella, Ate, Lima Metropolitana, Lima, 15487, Perú</t>
  </si>
  <si>
    <t>52 km/h</t>
  </si>
  <si>
    <t>Carretera Central, Ate, Lima Metropolitana, Lima, 15487, Perú</t>
  </si>
  <si>
    <t>Jirón Huarochirí, 643, Lima, Lima Metropolitana, Lima, 15082, Perú</t>
  </si>
  <si>
    <t>60 km/h</t>
  </si>
  <si>
    <t>4 km/h</t>
  </si>
  <si>
    <t>Chaclacayo, Lima Metropolitana, Lima, 15476, Perú</t>
  </si>
  <si>
    <t>41 km/h</t>
  </si>
  <si>
    <t>Alameda E, Chaclacayo, Lima Metropolitana, Lima, 15476, Perú</t>
  </si>
  <si>
    <t>Vía de Evitamiento, Ate, Lima Metropolitana, Lima, 15008, Perú, (Ruta4507nueva era 23-10-23, RUTA DESVIO TEM.  4507)</t>
  </si>
  <si>
    <t>54 km/h</t>
  </si>
  <si>
    <t>Calle Córdova, Ricardo Palma, Huarochirí, Lima, 15468, Perú, (Ruta4507nueva era 23-10-23)</t>
  </si>
  <si>
    <t>61 km/h</t>
  </si>
  <si>
    <t>Avenida Nicolás de Ayllón, Ate, Lima Metropolitana, Lima, 15002, Perú, (Ruta4507nueva era 23-10-23, RUTA DESVIO TEM.  4507)</t>
  </si>
  <si>
    <t>62 km/h</t>
  </si>
  <si>
    <t>Avenida Nicolás de Ayllón, Ate, Lima Metropolitana, Lima, 15498, Perú, (Ruta4507nueva era 23-10-23)</t>
  </si>
  <si>
    <t>Avenida 22 de Julio, Ate, Lima Metropolitana, Lima, 15498, Perú</t>
  </si>
  <si>
    <t>69 km/h</t>
  </si>
  <si>
    <t>Avenida Nicolás Ayllón, Chaclacayo, Lima Metropolitana, Lima, 15472, Perú</t>
  </si>
  <si>
    <t>58 km/h</t>
  </si>
  <si>
    <t>Calle Berlín, Ate, Lima Metropolitana, Lima, 15498, Perú</t>
  </si>
  <si>
    <t>53 km/h</t>
  </si>
  <si>
    <t>Carretera Central, Lurigancho, Lima Metropolitana, Lima, 15472, Perú, (Ruta4507nueva era 23-10-23)</t>
  </si>
  <si>
    <t>63 km/h</t>
  </si>
  <si>
    <t>Carretera Central, Chaclacayo, Lima Metropolitana, Lima, 15476, Perú, (Ruta4507nueva era 23-10-23)</t>
  </si>
  <si>
    <t>Carretera Central, Chaclacayo, Lima Metropolitana, Lima, 15474, Perú, (S07ÑAÑA, Ruta4507nueva era 23-10-23)</t>
  </si>
  <si>
    <t>37 km/h</t>
  </si>
  <si>
    <t>Carretera Central, Ate, Lima Metropolitana, Lima, 15474, Perú, (Ruta4507nueva era 23-10-23)</t>
  </si>
  <si>
    <t>64 km/h</t>
  </si>
  <si>
    <t>Ate, Lima Metropolitana, Lima, 15474, Perú, (Ruta4507nueva era 23-10-23)</t>
  </si>
  <si>
    <t>35 km/h</t>
  </si>
  <si>
    <t>59 km/h</t>
  </si>
  <si>
    <t>Carretera Central, Ate, Lima Metropolitana, Lima, 15487, Perú, (S06 SANTA CLARA, Ruta4507nueva era 23-10-23)</t>
  </si>
  <si>
    <t>Avenida Pedro Ruiz Gallo, Ate, Lima Metropolitana, Lima, 15487, Perú, (Ruta4507nueva era 23-10-23)</t>
  </si>
  <si>
    <t>Avenida Nicolás de Ayllón, 6376, Ate, Lima Metropolitana, Lima, 15498, Perú, (Ruta4507nueva era 23-10-23, RUTA DESVIO TEM.  4507)</t>
  </si>
  <si>
    <t>48 km/h</t>
  </si>
  <si>
    <t>Ate, Lima Metropolitana, Lima, 15498, Perú, (Ruta4507nueva era 23-10-23)</t>
  </si>
  <si>
    <t>Calle Progreso, Ate, Lima Metropolitana, Lima, 15498, Perú, (Ruta4507nueva era 23-10-23)</t>
  </si>
  <si>
    <t>Avenida Nicolás de Ayllón, 15498, Ate, Lima Metropolitana, Lima, 15498, Perú</t>
  </si>
  <si>
    <t>Avenida Nicolás de Ayllón, 15498, Ate, Lima Metropolitana, Lima, 15498, Perú, (Ruta4507nueva era 23-10-23)</t>
  </si>
  <si>
    <t>Victor Raul Haya de la Torre, Ate, Lima Metropolitana, Lima, 15498, Perú, (Ruta4507nueva era 23-10-23)</t>
  </si>
  <si>
    <t>Jirón San Martín de Porres, Ate, Lima Metropolitana, Lima, 15498, Perú, (Ruta4507nueva era 23-10-23, RUTA DESVIO TEM.  4507)</t>
  </si>
  <si>
    <t>Avenida Nicolás de Ayllón, Santa Anita, Lima Metropolitana, Lima, 15498, Perú, (Ruta4507nueva era 23-10-23)</t>
  </si>
  <si>
    <t>Avenida Nicolás de Ayllón, Santa Anita, Lima Metropolitana, Lima, 15009, Perú, (Ruta4507nueva era 23-10-23)</t>
  </si>
  <si>
    <t>Las Alondras, Santa Anita, Lima Metropolitana, Lima, 15008, Perú, (Ruta4507nueva era 23-10-23)</t>
  </si>
  <si>
    <t>Avenida Los Ruiseñores, Santa Anita, Lima Metropolitana, Lima, 15008, Perú, (Ruta4507nueva era 23-10-23)</t>
  </si>
  <si>
    <t>Avenida Nicolás de Ayllón, Santa Anita, Lima Metropolitana, Lima, 15008, Perú, (Ruta4507nueva era 23-10-23, RUTA DESVIO TEM.  4507)</t>
  </si>
  <si>
    <t>38 km/h</t>
  </si>
  <si>
    <t>Vía de Evitamiento, Santa Anita, Lima Metropolitana, Lima, 15008, Perú, (Ruta4507nueva era 23-10-23)</t>
  </si>
  <si>
    <t>Avenida Nicolás de Ayllón, El Agustino, Lima Metropolitana, Lima, 15008, Perú, (Ruta4507nueva era 23-10-23, RUTA DESVIO TEM.  4507)</t>
  </si>
  <si>
    <t>Avenida Santa Rosa, El Agustino, Lima Metropolitana, Lima, 15002, Perú, (Ruta4507nueva era 23-10-23, RUTA DESVIO TEM.  4507)</t>
  </si>
  <si>
    <t>Calle Santa Inés, Ate, Lima Metropolitana, Lima, 15008, Perú, (Ruta4507nueva era 23-10-23, RUTA DESVIO TEM.  4507)</t>
  </si>
  <si>
    <t>51 km/h</t>
  </si>
  <si>
    <t>Avenida Minería, Santa Anita, Lima Metropolitana, Lima, 15008, Perú, (Ruta4507nueva era 23-10-23, RUTA DESVIO TEM.  4507)</t>
  </si>
  <si>
    <t>Vía de Evitamiento, Ate, Lima Metropolitana, Lima, 15008, Perú, (Ruta4507nueva era 23-10-23)</t>
  </si>
  <si>
    <t>Avenida Nicolás de Ayllón, El Agustino, Lima Metropolitana, Lima, 15008, Perú, (Ruta4507nueva era 23-10-23)</t>
  </si>
  <si>
    <t>Avenida Nicolás de Ayllón, El Agustino, Lima Metropolitana, Lima, 15002, Perú, (Ruta4507nueva era 23-10-23, RUTA DESVIO TEM.  4507)</t>
  </si>
  <si>
    <t>Avenida Nicolás de Ayllón, 2691, El Agustino, Lima Metropolitana, Lima, 15002, Perú, (Ruta4507nueva era 23-10-23, RUTA DESVIO TEM.  4507)</t>
  </si>
  <si>
    <t>Avenida Santa María, Ate, Lima Metropolitana, Lima, 15022, Perú</t>
  </si>
  <si>
    <t>43 km/h</t>
  </si>
  <si>
    <t>Avenida De Las Torres, San Luis, Lima Metropolitana, Lima, 15022, Perú</t>
  </si>
  <si>
    <t>34 km/h</t>
  </si>
  <si>
    <t>Avenida De Las Torres, San Luis, Lima Metropolitana, Lima, 15022, Perú, (Ruta4507nueva era 23-10-23, RUTA DESVIO TEM.  4507)</t>
  </si>
  <si>
    <t>Avenida Inca Garcilazo de la Vega, Lima, Lima Metropolitana, Lima, 15004, Perú, (Ruta4507nueva era 23-10-23)</t>
  </si>
  <si>
    <t>Avenida Nicolás Ayllón, Lima, Lima Metropolitana, Lima, 15011, Perú, (Ruta4507nueva era 23-10-23)</t>
  </si>
  <si>
    <t>Avenida Almirante Miguel Grau, 1518, Lima, Lima Metropolitana, Lima, 15011, Perú, (Ruta4507nueva era 23-10-23)</t>
  </si>
  <si>
    <t>Avenida Almirante Miguel Grau, Lima, Lima Metropolitana, Lima, 15011, Perú, (Ruta4507nueva era 23-10-23)</t>
  </si>
  <si>
    <t>Avenida Almirante Miguel Grau, 1233, Lima, Lima Metropolitana, Lima, 15011, Perú, (Ruta4507nueva era 23-10-23)</t>
  </si>
  <si>
    <t>Vía Expresa Almirante Miguel Grau, La Victoria, Lima Metropolitana, Lima, 15011, Perú, (Ruta4507nueva era 23-10-23)</t>
  </si>
  <si>
    <t>Avenida Almirante Miguel Grau, 369, Lima, Lima Metropolitana, Lima, 15001, Perú</t>
  </si>
  <si>
    <t>Avenida Almirante Miguel Grau, 351, La Victoria, Lima Metropolitana, Lima, 15001, Perú</t>
  </si>
  <si>
    <t>Avenida Almirante Miguel Grau, 199, Lima, Lima Metropolitana, Lima, 15001, Perú, (Ruta4507nueva era 23-10-23)</t>
  </si>
  <si>
    <t>Jirón Manuel Cuadros, 493, Lima, Lima Metropolitana, Lima, 15001, Perú</t>
  </si>
  <si>
    <t>Plaza Francisco Bolognesi, 590, Jesús María, Lima Metropolitana, Lima, 15083, Perú, (Ruta4507nueva era 23-10-23)</t>
  </si>
  <si>
    <t>Avenida Alfonso Ugarte, 1439, Lima, Lima Metropolitana, Lima, 15083, Perú, (Ruta4507nueva era 23-10-23)</t>
  </si>
  <si>
    <t>Avenida Alfonso Ugarte, 1409, Lima, Lima Metropolitana, Lima, 15083, Perú</t>
  </si>
  <si>
    <t>Avenida Alfonso Ugarte, 1409, Lima, Lima Metropolitana, Lima, 15083, Perú, (Ruta4507nueva era 23-10-23)</t>
  </si>
  <si>
    <t>Avenida Alfonso Ugarte, 1227, Breña, Lima Metropolitana, Lima, 15083, Perú, (Ruta4507nueva era 23-10-23)</t>
  </si>
  <si>
    <t>Avenida Alfonso Ugarte, 1280, Breña, Lima Metropolitana, Lima, 15083, Perú, (Ruta4507nueva era 23-10-23)</t>
  </si>
  <si>
    <t>Avenida Alfonso Ugarte, Cdra. 9, Lima, Lima Metropolitana, Lima, 15082, Perú</t>
  </si>
  <si>
    <t>Avenida Alfonso Ugarte, Lima, Lima Metropolitana, Lima, 15082, Perú, (Ruta4507nueva era 23-10-23)</t>
  </si>
  <si>
    <t>40 km/h</t>
  </si>
  <si>
    <t>Avenida Alfonso Ugarte, 619, Lima, Lima Metropolitana, Lima, 15082, Perú</t>
  </si>
  <si>
    <t>Avenida Alfonso Ugarte, 650, Lima, Lima Metropolitana, Lima, 15082, Perú</t>
  </si>
  <si>
    <t>Avenida Alfonso Ugarte, 699, Lima, Lima Metropolitana, Lima, 15082, Perú</t>
  </si>
  <si>
    <t>Avenida Alfonso Ugarte, Lima, Lima Metropolitana, Lima, 15082, Perú</t>
  </si>
  <si>
    <t>Avenida Alfonso Ugarte, 1006, Breña, Lima Metropolitana, Lima, 15082, Perú</t>
  </si>
  <si>
    <t>Avenida Alfonso Ugarte, 1280, Breña, Lima Metropolitana, Lima, 15083, Perú</t>
  </si>
  <si>
    <t>Avenida Alfonso Ugarte, 1346, Breña, Lima Metropolitana, Lima, 15083, Perú, (Ruta4507nueva era 23-10-23)</t>
  </si>
  <si>
    <t>Avenida Alfonso Ugarte, 1356, Breña, Lima Metropolitana, Lima, 15083, Perú, (Ruta4507nueva era 23-10-23)</t>
  </si>
  <si>
    <t>Avenida Guzmán Blanco, 507, Lima, Lima Metropolitana, Lima, 15046, Perú</t>
  </si>
  <si>
    <t>Avenida República de Chile, Jesús María, Lima Metropolitana, Lima, 15083, Perú</t>
  </si>
  <si>
    <t>Avenida Paseo de la República, Lima, Lima Metropolitana, Lima, 15083, Perú</t>
  </si>
  <si>
    <t>Avenida Almirante Miguel Grau, 619, Lima, Lima Metropolitana, Lima, 15001, Perú, (Ruta4507nueva era 23-10-23)</t>
  </si>
  <si>
    <t>Vía Expresa Almirante Miguel Grau, Lima, Lima Metropolitana, Lima, 15001, Perú, (Ruta4507nueva era 23-10-23)</t>
  </si>
  <si>
    <t>Vía Expresa Almirante Miguel Grau, Lima, Lima Metropolitana, Lima, 15011, Perú, (Ruta4507nueva era 23-10-23)</t>
  </si>
  <si>
    <t>44 km/h</t>
  </si>
  <si>
    <t>Prolongación Avenida San Pablo, Lima, Lima Metropolitana, Lima, 15011, Perú</t>
  </si>
  <si>
    <t>Avenida Nicolás de Ayllón, Lima, Lima Metropolitana, Lima, 15011, Perú, (Ruta4507nueva era 23-10-23)</t>
  </si>
  <si>
    <t>Avenida José de la Riva Aguero, Lima, Lima Metropolitana, Lima, 15004, Perú, (Ruta4507nueva era 23-10-23)</t>
  </si>
  <si>
    <t>Avenida José de la Riva Aguero, Lima, Lima Metropolitana, Lima, 15004, Perú</t>
  </si>
  <si>
    <t>Avenida Inca Garcilazo de la Vega, El Agustino, Lima Metropolitana, Lima, 15004, Perú</t>
  </si>
  <si>
    <t>Calle Angel Cepollini, San Luis, Lima Metropolitana, Lima, 15019, Perú</t>
  </si>
  <si>
    <t>Avenida Circunvalación, La Victoria, Lima Metropolitana, Lima, 15019, Perú</t>
  </si>
  <si>
    <t>Avenida Nicolás de Ayllón, San Luis, Lima Metropolitana, Lima, 15022, Perú, (Ruta4507nueva era 23-10-23, RUTA DESVIO TEM.  4507)</t>
  </si>
  <si>
    <t>Avenida Nicolás de Ayllón, 1912, Ate, Lima Metropolitana, Lima, 15002, Perú, (Ruta4507nueva era 23-10-23, RUTA DESVIO TEM.  4507)</t>
  </si>
  <si>
    <t>Avenida Nicolás de Ayllón, Ate, Lima Metropolitana, Lima, 15002, Perú, (Ruta4507nueva era 23-10-23)</t>
  </si>
  <si>
    <t>Avenida Nicolás de Ayllón, Ate, Lima Metropolitana, Lima, 15008, Perú, (Ruta4507nueva era 23-10-23)</t>
  </si>
  <si>
    <t>Avenida Nicolás de Ayllón, 1308, Ate, Lima Metropolitana, Lima, 15009, Perú, (Ruta4507nueva era 23-10-23)</t>
  </si>
  <si>
    <t>Avenida Nicolás de Ayllón, Ate, Lima Metropolitana, Lima, 15009, Perú, (Ruta4507nueva era 23-10-23)</t>
  </si>
  <si>
    <t>57 km/h</t>
  </si>
  <si>
    <t>Avenida Nicolás de Ayllón, 4770, Ate, Lima Metropolitana, Lima, 15498, Perú, (Ruta4507nueva era 23-10-23)</t>
  </si>
  <si>
    <t>39 km/h</t>
  </si>
  <si>
    <t>Víctor Raúl Haya de la Torre, Ate, Lima Metropolitana, Lima, 15498, Perú, (Ruta4507nueva era 23-10-23)</t>
  </si>
  <si>
    <t>47 km/h</t>
  </si>
  <si>
    <t>Avenida Jaime Zubieta Calderón, Ate, Lima Metropolitana, Lima, 15483, Perú, (Ruta4507nueva era 23-10-23)</t>
  </si>
  <si>
    <t>Avenida Jaime Zubieta Calderon, Ate, Lima Metropolitana, Lima, 15483, Perú, (Ruta4507nueva era 23-10-23)</t>
  </si>
  <si>
    <t>Avenida José Carlos Mariátegui, Ate, Lima Metropolitana, Lima, 15474, Perú, (Horacio Zeballos)</t>
  </si>
  <si>
    <t>Avenida José Carlos Mariátegui, Ate, Lima Metropolitana, Lima, 15474, Perú, (Horacio Zeballos, Ruta4507nueva era 23-10-23)</t>
  </si>
  <si>
    <t>49 km/h</t>
  </si>
  <si>
    <t>Carretera Central, Chaclacayo, Lima Metropolitana, Lima, 15464, Perú, (Ruta4507nueva era 23-10-23)</t>
  </si>
  <si>
    <t>Avenida Nicolás Ayllón, Chaclacayo, Lima Metropolitana, Lima, 15464, Perú, (Ruta4507nueva era 23-10-23)</t>
  </si>
  <si>
    <t>27 km/h</t>
  </si>
  <si>
    <t>Avenida Nicolás Ayllón, Chaclacayo, Lima Metropolitana, Lima, 15472, Perú, (Ruta4507nueva era 23-10-23)</t>
  </si>
  <si>
    <t>Avenida Las Flores, Chosica, Lima Metropolitana, Lima, 15468, Perú, (Ruta4507nueva era 23-10-23)</t>
  </si>
  <si>
    <t>Avenida Lima Sur, Chosica, Lima Metropolitana, Lima, 15468, Perú, (Ruta4507nueva era 23-10-23)</t>
  </si>
  <si>
    <t>Avenida Lima Sur, 275, Chosica, Lima Metropolitana, Lima, 15468, Perú, (Ruta4507nueva era 23-10-23)</t>
  </si>
  <si>
    <t>Avenida Lima Norte, 574, Santa Eulalia, Lima Metropolitana, Lima, 15468, Perú, (Ruta4507nueva era 23-10-23)</t>
  </si>
  <si>
    <t>Calle Cesar Vallejo, Ricardo Palma, Huarochirí, Lima, 15468, Perú</t>
  </si>
  <si>
    <t>Avenida Lima Norte, 180, Chosica, Lima Metropolitana, Lima, 15468, Perú, (Ruta4507nueva era 23-10-23)</t>
  </si>
  <si>
    <t>Jirón Trujillo Norte, Chosica, Lima Metropolitana, Lima, 15468, Perú, (Ruta4507nueva era 23-10-23)</t>
  </si>
  <si>
    <t>Jirón Tacna, Chosica, Lima Metropolitana, Lima, 15468, Perú, (Ruta4507nueva era 23-10-23)</t>
  </si>
  <si>
    <t>Avenida Lima Sur, 1471, Chosica, Lima Metropolitana, Lima, 15468, Perú, (Ruta4507nueva era 23-10-23)</t>
  </si>
  <si>
    <t>Carretera Central, Ate, Lima Metropolitana, Lima, 15474, Perú, (Horacio Zeballos, Ruta4507nueva era 23-10-23)</t>
  </si>
  <si>
    <t>Avenida Nicolás de Ayllón, 836, Ate, Lima Metropolitana, Lima, 15487, Perú, (Ruta4507nueva era 23-10-23)</t>
  </si>
  <si>
    <t>Avenida Nicolás de Ayllón, 816-818, Ate, Lima Metropolitana, Lima, 15487, Perú, (Ruta4507nueva era 23-10-23)</t>
  </si>
  <si>
    <t>Avenida Nicolás de Ayllón, 5880, Ate, Lima Metropolitana, Lima, 15498, Perú, (Ruta4507nueva era 23-10-23)</t>
  </si>
  <si>
    <t>Avenida Nicolás de Ayllón, Santa Anita, Lima Metropolitana, Lima, 15008, Perú, (Ruta4507nueva era 23-10-23)</t>
  </si>
  <si>
    <t>Las Alondras, 237, Santa Anita, Lima Metropolitana, Lima, 15008, Perú, (Ruta4507nueva era 23-10-23)</t>
  </si>
  <si>
    <t>Las Alondras, 175, Santa Anita, Lima Metropolitana, Lima, 15008, Perú, (Ruta4507nueva era 23-10-23)</t>
  </si>
  <si>
    <t>Avenida Andrés Avelino Cáceres, Ate, Lima Metropolitana, Lima, 15019, Perú</t>
  </si>
  <si>
    <t>Avenida 26 de Julio, Ate, Lima Metropolitana, Lima, 15019, Perú</t>
  </si>
  <si>
    <t>Jirón Ocros, El Agustino, Lima Metropolitana, Lima, 15003, Perú</t>
  </si>
  <si>
    <t>Jirón Conchucos, 996, Lima, Lima Metropolitana, Lima, 15003, Perú</t>
  </si>
  <si>
    <t>Avenida Almirante Miguel Grau, 1772, Lima, Lima Metropolitana, Lima, 15011, Perú</t>
  </si>
  <si>
    <t>Avenida Almirante Miguel Grau, 1499, Lima, Lima Metropolitana, Lima, 15011, Perú, (Ruta4507nueva era 23-10-23)</t>
  </si>
  <si>
    <t>Avenida Almirante Miguel Grau, 1294, Lima, Lima Metropolitana, Lima, 15011, Perú, (Ruta4507nueva era 23-10-23)</t>
  </si>
  <si>
    <t>55 km/h</t>
  </si>
  <si>
    <t>Avenida Almirante Miguel Grau, 800, La Victoria, Lima Metropolitana, Lima, 15011, Perú, (Ruta4507nueva era 23-10-23)</t>
  </si>
  <si>
    <t>Vía Expresa Almirante Miguel Grau, La Victoria, Lima Metropolitana, Lima, 15001, Perú, (S02 AV.GRAU/ JR ANDAHUAYLAS, Ruta4507nueva era 23-10-23)</t>
  </si>
  <si>
    <t>Metropolitano, Lima, Lima Metropolitana, Lima, 15001, Perú, (Ruta4507nueva era 23-10-23)</t>
  </si>
  <si>
    <t>Metropolitano, Lima, Lima Metropolitana, Lima, 15083, Perú, (Ruta4507nueva era 23-10-23)</t>
  </si>
  <si>
    <t>Avenida 28 de Julio, 970, Jesús María, Lima Metropolitana, Lima, 15083, Perú</t>
  </si>
  <si>
    <t>Avenida 28 de Julio, Lima, Lima Metropolitana, Lima, 15083, Perú</t>
  </si>
  <si>
    <t>Avenida 28 de Julio, 798, Lima, Lima Metropolitana, Lima, 15083, Perú</t>
  </si>
  <si>
    <t>Avenida Guzmán Blanco, 445, Lima, Lima Metropolitana, Lima, 15083, Perú</t>
  </si>
  <si>
    <t>Avenida Alfonso Ugarte, 494, Breña, Lima Metropolitana, Lima, 15083, Perú, (Ruta4507nueva era 23-10-23)</t>
  </si>
  <si>
    <t>Avenida Alfonso Ugarte, Lima, Lima Metropolitana, Lima, 15083, Perú, (Ruta4507nueva era 23-10-23)</t>
  </si>
  <si>
    <t>Avenida Alfonso Ugarte, 1235, Lima, Lima Metropolitana, Lima, 15083, Perú, (Ruta4507nueva era 23-10-23)</t>
  </si>
  <si>
    <t>Avenida Óscar Raimundo Benavides, 150, Lima, Lima Metropolitana, Lima, 15082, Perú, (Ruta4507nueva era 23-10-23)</t>
  </si>
  <si>
    <t>Avenida Óscar Raimundo Benavides, 150, Lima, Lima Metropolitana, Lima, 15082, Perú</t>
  </si>
  <si>
    <t>Avenida Óscar Raimundo Benavides, 153, Lima, Lima Metropolitana, Lima, 15082, Perú</t>
  </si>
  <si>
    <t>Avenida Alfonso Ugarte, 650, Lima, Lima Metropolitana, Lima, 15082, Perú, (Ruta4507nueva era 23-10-23)</t>
  </si>
  <si>
    <t>Avenida Alfonso Ugarte, 699, Lima, Lima Metropolitana, Lima, 15082, Perú, (Ruta4507nueva era 23-10-23)</t>
  </si>
  <si>
    <t>Avenida Alfonso Ugarte, 848, Lima, Lima Metropolitana, Lima, 15082, Perú, (Ruta4507nueva era 23-10-23)</t>
  </si>
  <si>
    <t>Avenida Alfonso Ugarte, 825, Lima, Lima Metropolitana, Lima, 15082, Perú, (Ruta4507nueva era 23-10-23)</t>
  </si>
  <si>
    <t>Avenida Alfonso Ugarte, 1006, Lima, Lima Metropolitana, Lima, 15082, Perú</t>
  </si>
  <si>
    <t>Avenida Alfonso Ugarte, 1006, Lima, Lima Metropolitana, Lima, 15082, Perú, (Ruta4507nueva era 23-10-23)</t>
  </si>
  <si>
    <t>Avenida Alfonso Ugarte, Breña, Lima Metropolitana, Lima, 15082, Perú, (S01Alfonso Ugarte/ Metro, Ruta4507nueva era 23-10-23)</t>
  </si>
  <si>
    <t>Avenida Alfonso Ugarte, Breña, Lima Metropolitana, Lima, 15082, Perú, (Ruta4507nueva era 23-10-23)</t>
  </si>
  <si>
    <t>Jirón Héroes de Tarapacá, 155, Jesús María, Lima Metropolitana, Lima, 15083, Perú</t>
  </si>
  <si>
    <t>Ciclovía Salaverry, Jesús María, Lima Metropolitana, Lima, 15083, Perú</t>
  </si>
  <si>
    <t>Avenida 28 de Julio, Jesús María, Lima Metropolitana, Lima, 15083, Perú</t>
  </si>
  <si>
    <t>Avenida Paseo de la República, 683, La Victoria, Lima Metropolitana, Lima, 15083, Perú</t>
  </si>
  <si>
    <t>Vía Expresa Luis Fernán Bedoya Reyes, La Victoria, Lima Metropolitana, Lima, 15001, Perú</t>
  </si>
  <si>
    <t>Avenida Almirante Miguel Grau, 354, Lima, Lima Metropolitana, Lima, 15001, Perú, (Ruta4507nueva era 23-10-23)</t>
  </si>
  <si>
    <t>Avenida Almirante Miguel Grau, 848, Lima, Lima Metropolitana, Lima, 15001, Perú, (Ruta4507nueva era 23-10-23)</t>
  </si>
  <si>
    <t>Avenida Almirante Miguel Grau, 956, La Victoria, Lima Metropolitana, Lima, 15011, Perú, (Ruta4507nueva era 23-10-23)</t>
  </si>
  <si>
    <t>Avenida Nicolás Arriola, San Luis, Lima Metropolitana, Lima, 15019, Perú, (RUTA DESVIO TEM.  4507)</t>
  </si>
  <si>
    <t>Avenida Nicolás de Ayllón, Lado d 1820, San Luis, Lima Metropolitana, Lima, 15019, Perú, (RUTA DESVIO TEM.  4507)</t>
  </si>
  <si>
    <t>Avenida Nicolás de Ayllón, 2950, Ate, Lima Metropolitana, Lima, 15008, Perú, (Ruta4507nueva era 23-10-23)</t>
  </si>
  <si>
    <t>Avenida La Molina, Ate, Lima Metropolitana, Lima, 15008, Perú, (Ruta4507nueva era 23-10-23)</t>
  </si>
  <si>
    <t>Avenida Nicolás de Ayllón, Santa Anita, Lima Metropolitana, Lima, 00051, Perú, (Ruta4507nueva era 23-10-23)</t>
  </si>
  <si>
    <t>Avenida Asturias, Ate, Lima Metropolitana, Lima, 00051, Perú, (Ruta4507nueva era 23-10-23)</t>
  </si>
  <si>
    <t>Victor Raul Haya de la Torre, Ate, Lima Metropolitana, Lima, 15498, Perú, (Ruta4507nueva era 23-10-23, RUTA DESVIO TEM.  4507)</t>
  </si>
  <si>
    <t>Avenida Nicolás de Ayllón, Ate, Lima Metropolitana, Lima, 15498, Perú, (S05Vitarte/ ALT. Hospital, Ruta4507nueva era 23-10-23, RUTA DESVIO TEM.  4507)</t>
  </si>
  <si>
    <t>Avenida Nicolás de Ayllón, Ate, Lima Metropolitana, Lima, 15498, Perú, (S05Vitarte/ ALT. Hospital, Ruta4507nueva era 23-10-23)</t>
  </si>
  <si>
    <t>Avenida Nicolás de Ayllón, 5818, Ate, Lima Metropolitana, Lima, 15498, Perú, (Ruta4507nueva era 23-10-23)</t>
  </si>
  <si>
    <t>Calle Parque Principal, Ate, Lima Metropolitana, Lima, 15498, Perú, (Ruta4507nueva era 23-10-23)</t>
  </si>
  <si>
    <t>Carretera Central, 1030, Ate, Lima Metropolitana, Lima, 15487, Perú, (Ruta4507nueva era 23-10-23)</t>
  </si>
  <si>
    <t>Avenida Gloria Grande, Ate, Lima Metropolitana, Lima, 15483, Perú, (Ruta4507nueva era 23-10-23)</t>
  </si>
  <si>
    <t>Avenida Jaime Zubieta Calderón, Ate, Lima Metropolitana, Lima, 15483, Perú</t>
  </si>
  <si>
    <t>Avenida Jaime Zubieta Calderon, Ate, Lima Metropolitana, Lima, 15483, Perú</t>
  </si>
  <si>
    <t>Carretera Central, Ate, Lima Metropolitana, Lima, 15474, Perú, (Horacio Zeballos)</t>
  </si>
  <si>
    <t>Avenida Malecón Manco Cápac, Chaclacayo, Lima Metropolitana, Lima, 15472, Perú, (Ruta4507nueva era 23-10-23)</t>
  </si>
  <si>
    <t>Chaclacayo, Lima Metropolitana, Lima, 15474, Perú, (Ruta4507nueva era 23-10-23)</t>
  </si>
  <si>
    <t>Avenida Los Incas, Ate, Lima Metropolitana, Lima, 15474, Perú</t>
  </si>
  <si>
    <t>Jirón Sánchez Pinillos, Lima, Lima Metropolitana, Lima, 15082, Perú, (Ruta4507nueva era 23-10-23)</t>
  </si>
  <si>
    <t>Calle Digoberto Ojeda, Ricardo Palma, Huarochirí, Lima, 15468, Perú</t>
  </si>
  <si>
    <t>Ricardo Palma, Huarochirí, Lima, 15468, Perú, (Ruta4507nueva era 23-10-23)</t>
  </si>
  <si>
    <t>Pasaje Gould, Lima, Lima Metropolitana, Lima, 15082, Perú, (PARADERO DESTINO ASCOPE)</t>
  </si>
  <si>
    <t>Avenida Almirante Miguel Grau, 171, Lima, Lima Metropolitana, Lima, 15001, Perú, (Ruta4507nueva era 23-10-23)</t>
  </si>
  <si>
    <t>Ricardo Palma, Huarochirí, Lima, 15468, Perú, (CURVA RICARDO PALMA, Ruta4507nueva era 23-10-23)</t>
  </si>
  <si>
    <t>Ricardo Palma, Huarochirí, Lima, 15468, Perú</t>
  </si>
  <si>
    <t>Ricardo Palma, Huarochirí, Lima, 15468, Perú, (GIRO PARQUE RICARDO PALMA, Ruta4507nueva era 23-10-23)</t>
  </si>
  <si>
    <t>Calle Atahualpa, 200, Chaclacayo, Lima Metropolitana, Lima, 15474, Perú</t>
  </si>
  <si>
    <t>Pasaje Gould, Lima, Lima Metropolitana, Lima, 15082, Perú</t>
  </si>
  <si>
    <t>Avenida Los Cipreses, Santa Anita, Lima Metropolitana, Lima, 15008, Perú</t>
  </si>
  <si>
    <t>Avenida Los Cipreses, Santa Anita, Lima Metropolitana, Lima, 15008, Perú, (RUTA DESVIO TEM.  4507)</t>
  </si>
  <si>
    <t>Jirón Ascope, Lima, Lima Metropolitana, Lima, 15082, Perú, (PARADERO DESTINO ASCOPE, Ruta4507nueva era 23-10-23)</t>
  </si>
  <si>
    <t>Víctor Raúl Haya de la Torre, Ate, Lima Metropolitana, Lima, 15498, Perú</t>
  </si>
  <si>
    <t>Calle Atahualpa, Chaclacayo, Lima Metropolitana, Lima, 15474, Perú</t>
  </si>
  <si>
    <t>Avenida La Paz, G2, Santa Eulalia, Huarochirí, Lima, 15500, Perú</t>
  </si>
  <si>
    <t>Carretera Central, Ricardo Palma, Huarochirí, Lima, 15468, Perú</t>
  </si>
  <si>
    <t>Avenida Lima Sur, Chosica, Lima Metropolitana, Lima, 15468, Perú</t>
  </si>
  <si>
    <t>Calle 3, Santa Anita, Lima Metropolitana, Lima, 15007, Perú</t>
  </si>
  <si>
    <t>Malecon Jose Olaya, Cerro Azul, Cañete, Lima, Perú</t>
  </si>
  <si>
    <t>Cerro Azul, Cañete, Lima, Perú</t>
  </si>
  <si>
    <t>Carretera Central, Chaclacayo, Lima Metropolitana, Lima, 15474, Perú, (S07ÑAÑA)</t>
  </si>
  <si>
    <t>56 km/h</t>
  </si>
  <si>
    <t>Avenida Almirante Miguel Grau, 113, Lima, Lima Metropolitana, Lima, 15001, Perú, (Ruta4507nueva era 23-10-23)</t>
  </si>
  <si>
    <t>Calle Caribe, El Agustino, Lima Metropolitana, Lima, 15401, Perú</t>
  </si>
  <si>
    <t>Caracol, El Agustino, Lima Metropolitana, Lima, 15401, Perú</t>
  </si>
  <si>
    <t>Avenida Huancaray, Santa Anita, Lima Metropolitana, Lima, 15009, Perú</t>
  </si>
  <si>
    <t>Jirón Sánchez Pinillos, Breña, Lima Metropolitana, Lima, 15082, Perú</t>
  </si>
  <si>
    <t>Calle Alhelíes, Chaclacayo, Lima Metropolitana, Lima, 15476, Perú, (Ruta4507nueva era 23-10-23)</t>
  </si>
  <si>
    <t>Calle 28 de Diciembre, San Luis, Lima Metropolitana, Lima, 15019, Perú, (Ruta4507nueva era 23-10-23)</t>
  </si>
  <si>
    <t>Avenida Nicolás Arriola, San Luis, Lima Metropolitana, Lima, 15019, Perú</t>
  </si>
  <si>
    <t>Avenida Nicolás de Ayllón, 5880, Ate, Lima Metropolitana, Lima, 15498, Perú, (S05Vitarte/ ALT. Hospital, Ruta4507nueva era 23-10-23)</t>
  </si>
  <si>
    <t>Avenida Iquitos, Lima, Lima Metropolitana, Lima, 15001, Perú, (Ruta4507nueva era 23-10-23)</t>
  </si>
  <si>
    <t>Jirón Cornelio Borda, Breña, Lima Metropolitana, Lima, 15082, Perú</t>
  </si>
  <si>
    <t>Avenida Separadora Industrial, Ate, Lima Metropolitana, Lima, 15498, Perú, (Ruta4507nueva era 23-10-23)</t>
  </si>
  <si>
    <t>Prolongación Javier Prado Este, Ate, Lima Metropolitana, Lima, 15498, Perú</t>
  </si>
  <si>
    <t>Avenida de La Cultura, Santa Anita, Lima Metropolitana, Lima, 15009, Perú</t>
  </si>
  <si>
    <t>Ate, Lima Metropolitana, Lima, 15009, Perú</t>
  </si>
  <si>
    <t>Jirón Trujillo Sur, 496, Chosica, Lima Metropolitana, Lima, 15468, Perú</t>
  </si>
  <si>
    <t>Avenida Colectora, Ate, Lima Metropolitana, Lima, 15483, Perú</t>
  </si>
  <si>
    <t>Calle Córdova, 103, Ricardo Palma, Huarochirí, Lima, 15468, Perú, (Ruta4507nueva era 23-10-23)</t>
  </si>
  <si>
    <t>Avenida Las Flores, Lurigancho, Lima Metropolitana, Lima, 15468, Perú, (Ruta4507nueva era 23-10-23)</t>
  </si>
  <si>
    <t>Avenida Nicolás de Ayllón, 272-298, Lima, Lima Metropolitana, Lima, 15011, Perú, (Ruta4507nueva era 23-10-23)</t>
  </si>
  <si>
    <t>Avenida José Carlos Mariátegui, Ate, Lima Metropolitana, Lima, 15474, Perú</t>
  </si>
  <si>
    <t>Avenida Micaela Bastidas, 382, Santa Eulalia, Huarochirí, Lima, 15468, Perú</t>
  </si>
  <si>
    <t>Simón Bolívar, Ricardo Palma, Huarochirí, Lima, 15468, Perú, (Ruta4507nueva era 23-10-23)</t>
  </si>
  <si>
    <t>Calle Berlín, Ate, Lima Metropolitana, Lima, 15498, Perú, (RUTA DESVIO TEM.  4507)</t>
  </si>
  <si>
    <t>Avenida San Martín, San José de Palle, Huarochirí, Lima, 15500, Perú</t>
  </si>
  <si>
    <t>Avenida Huancaray, Santa Anita, Lima Metropolitana, Lima, 15009, Perú, (RUTA DESVIO TEM.  4507)</t>
  </si>
  <si>
    <t>Carretera Central, Lurigancho, Lima Metropolitana, Lima, 15483, Perú</t>
  </si>
  <si>
    <t>95 km/h</t>
  </si>
  <si>
    <t>113 km/h</t>
  </si>
  <si>
    <t>108 km/h</t>
  </si>
  <si>
    <t>Avenida Almirante Miguel Grau, 1553, Lima, Lima Metropolitana, Lima, 15011, Perú, (Ruta4507nueva era 23-10-23)</t>
  </si>
  <si>
    <t>Avenida Metropolitana, Ate, Lima Metropolitana, Lima, 15498, Perú, (RUTA DESVIO TEM.  4507)</t>
  </si>
  <si>
    <t>Calle Abraham Valdelomar, 108, Ricardo Palma, Huarochirí, Lima, 15468, Perú</t>
  </si>
  <si>
    <t>Objeto 1</t>
  </si>
  <si>
    <t>Objeto 2</t>
  </si>
  <si>
    <t>Objeto 3</t>
  </si>
  <si>
    <t>Objeto 4</t>
  </si>
  <si>
    <t>Objeto 5</t>
  </si>
  <si>
    <t>Objeto 6</t>
  </si>
  <si>
    <t>Objeto 7</t>
  </si>
  <si>
    <t>Objeto 8</t>
  </si>
  <si>
    <t>Objeto 9</t>
  </si>
  <si>
    <t>Objeto 10</t>
  </si>
  <si>
    <t>Objeto 11</t>
  </si>
  <si>
    <t>Objeto 12</t>
  </si>
  <si>
    <t>Objeto 13</t>
  </si>
  <si>
    <t>Objeto 14</t>
  </si>
  <si>
    <t>Objeto 15</t>
  </si>
  <si>
    <t>Objeto 16</t>
  </si>
  <si>
    <t>Objeto 17</t>
  </si>
  <si>
    <t>Objeto 18</t>
  </si>
  <si>
    <t>Objeto 19</t>
  </si>
  <si>
    <t>Objeto 20</t>
  </si>
  <si>
    <t>Objeto 21</t>
  </si>
  <si>
    <t>Objeto 22</t>
  </si>
  <si>
    <t>Objeto 23</t>
  </si>
  <si>
    <t>Objeto 24</t>
  </si>
  <si>
    <t>Objeto 25</t>
  </si>
  <si>
    <t>Objeto 26</t>
  </si>
  <si>
    <t>Objeto 27</t>
  </si>
  <si>
    <t>Objeto 28</t>
  </si>
  <si>
    <t>Objeto 29</t>
  </si>
  <si>
    <t>Objeto 30</t>
  </si>
  <si>
    <t>Objeto 31</t>
  </si>
  <si>
    <t>Objeto 32</t>
  </si>
  <si>
    <t>Objeto 33</t>
  </si>
  <si>
    <t>Objeto 34</t>
  </si>
  <si>
    <t>Objeto 35</t>
  </si>
  <si>
    <t>Objeto 36</t>
  </si>
  <si>
    <t>Objeto 37</t>
  </si>
  <si>
    <t>Objeto 38</t>
  </si>
  <si>
    <t>Objeto 39</t>
  </si>
  <si>
    <t>Objeto 40</t>
  </si>
  <si>
    <t>Objeto 41</t>
  </si>
  <si>
    <t>Objeto 42</t>
  </si>
  <si>
    <t>Objeto 43</t>
  </si>
  <si>
    <t>Objeto 44</t>
  </si>
  <si>
    <t>Objeto 45</t>
  </si>
  <si>
    <t>Objeto 46</t>
  </si>
  <si>
    <t>Objeto 47</t>
  </si>
  <si>
    <t>Objeto 48</t>
  </si>
  <si>
    <t>Objeto 49</t>
  </si>
  <si>
    <t>Objeto 50</t>
  </si>
  <si>
    <t>Objeto 51</t>
  </si>
  <si>
    <t>Objeto 52</t>
  </si>
  <si>
    <t>Objeto 53</t>
  </si>
  <si>
    <t>Objeto 54</t>
  </si>
  <si>
    <t>Objeto 55</t>
  </si>
  <si>
    <t>Objeto 56</t>
  </si>
  <si>
    <t>Objeto 57</t>
  </si>
  <si>
    <t>Objeto 58</t>
  </si>
  <si>
    <t>Objeto 59</t>
  </si>
  <si>
    <t>Objeto 60</t>
  </si>
  <si>
    <t>Objeto 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</si>
</sst>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 h:mm:ss"/>
    <numFmt numFmtId="165" formatCode="&quot;&quot;#,##0.0##&quot; km&quot;"/>
  </numFmts>
  <fonts count="5" x14ac:knownFonts="1">
    <font>
      <sz val="11"/>
      <color theme="1"/>
      <name val="Calibri"/>
      <family val="2"/>
      <scheme val="minor"/>
    </font>
    <font>
      <b/>
      <sz val="18"/>
      <name val="Calibri"/>
    </font>
    <font>
      <b/>
      <sz val="11"/>
      <name val="Calibri"/>
    </font>
    <font>
      <i/>
      <sz val="11"/>
      <name val="Calibri"/>
    </font>
    <font>
      <b/>
      <sz val="16"/>
      <name val="Calibri"/>
    </font>
  </fonts>
  <fills count="3">
    <fill>
      <patternFill patternType="none"/>
    </fill>
    <fill>
      <patternFill patternType="gray125"/>
    </fill>
    <fill>
      <patternFill patternType="darkTrellis">
        <fgColor rgb="FFD9D9D9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wrapText="1"/>
    </xf>
    <xf numFmtId="164" fontId="0" fillId="0" borderId="0" xfId="0" applyNumberFormat="1"/>
    <xf numFmtId="165" fontId="0" fillId="0" borderId="0" xfId="0" applyNumberFormat="1"/>
    <xf numFmtId="46" fontId="0" fillId="0" borderId="0" xfId="0" applyNumberFormat="1"/>
    <xf numFmtId="0" fontId="0" fillId="2" borderId="2" xfId="0" applyFill="1" applyBorder="1"/>
    <xf numFmtId="165" fontId="0" fillId="2" borderId="2" xfId="0" applyNumberFormat="1" applyFill="1" applyBorder="1"/>
    <xf numFmtId="46" fontId="0" fillId="2" borderId="2" xfId="0" applyNumberFormat="1" applyFill="1" applyBorder="1"/>
    <xf numFmtId="0" fontId="3" fillId="0" borderId="0" xfId="0" applyFont="1"/>
    <xf numFmtId="0" fontId="4" fillId="0" borderId="0" xfId="0" applyFont="1"/>
    <xf numFmtId="0" fontId="0" fillId="0" borderId="0" xfId="0"/>
    <xf numFmtId="0" fontId="4" fillId="0" borderId="0" xfId="0" applyFont="1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M1331"/>
  <sheetViews>
    <sheetView tabSelected="1" workbookViewId="0">
      <selection activeCell="A7" sqref="A7"/>
    </sheetView>
  </sheetViews>
  <sheetFormatPr baseColWidth="10" defaultColWidth="9.140625" defaultRowHeight="15" x14ac:dyDescent="0.25"/>
  <cols>
    <col min="1" max="30" width="19" customWidth="1"/>
  </cols>
  <sheetData>
    <row r="1" spans="1:13" ht="24" customHeight="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</row>
    <row r="2" spans="1:13" x14ac:dyDescent="0.25">
      <c r="A2" s="11" t="s">
        <v>1</v>
      </c>
      <c r="B2" s="11"/>
      <c r="C2" s="11"/>
      <c r="D2" s="11"/>
      <c r="E2" s="11"/>
      <c r="F2" s="11"/>
      <c r="G2" s="11"/>
      <c r="H2" s="11"/>
      <c r="I2" s="11"/>
      <c r="J2" s="11"/>
    </row>
    <row r="3" spans="1:13" x14ac:dyDescent="0.25">
      <c r="A3" s="11" t="s">
        <v>2</v>
      </c>
      <c r="B3" s="11"/>
      <c r="C3" s="11"/>
      <c r="D3" s="11"/>
      <c r="E3" s="11"/>
      <c r="F3" s="11"/>
      <c r="G3" s="11"/>
      <c r="H3" s="11"/>
      <c r="I3" s="11"/>
      <c r="J3" s="11"/>
    </row>
    <row r="4" spans="1:13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</row>
    <row r="5" spans="1:13" s="1" customFormat="1" x14ac:dyDescent="0.25">
      <c r="A5" s="14" t="s">
        <v>3</v>
      </c>
      <c r="B5" s="14"/>
      <c r="C5" s="14"/>
      <c r="D5" s="14"/>
      <c r="E5" s="14"/>
      <c r="F5" s="14"/>
      <c r="G5" s="14"/>
      <c r="H5" s="14"/>
      <c r="I5" s="14"/>
      <c r="J5" s="14"/>
    </row>
    <row r="6" spans="1:13" ht="30" x14ac:dyDescent="0.2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K6" s="2" t="s">
        <v>14</v>
      </c>
      <c r="L6" s="2" t="s">
        <v>15</v>
      </c>
      <c r="M6" s="2" t="s">
        <v>16</v>
      </c>
    </row>
    <row r="7" spans="1:13" x14ac:dyDescent="0.25">
      <c r="A7" t="s">
        <v>425</v>
      </c>
      <c r="B7" s="3">
        <v>45701.179386574076</v>
      </c>
      <c r="C7" t="s">
        <v>17</v>
      </c>
      <c r="D7" s="3">
        <v>45701.99998842593</v>
      </c>
      <c r="E7" t="s">
        <v>18</v>
      </c>
      <c r="F7" s="4">
        <v>216.07900000000001</v>
      </c>
      <c r="G7" s="4">
        <v>514138.86599999998</v>
      </c>
      <c r="H7" s="4">
        <v>514354.94500000001</v>
      </c>
      <c r="I7" s="5">
        <f>12057 / 86400</f>
        <v>0.13954861111111111</v>
      </c>
      <c r="J7" t="s">
        <v>19</v>
      </c>
      <c r="K7" t="s">
        <v>20</v>
      </c>
      <c r="L7" s="5">
        <f>45456 / 86400</f>
        <v>0.52611111111111108</v>
      </c>
      <c r="M7" s="5">
        <f>40938 / 86400</f>
        <v>0.47381944444444446</v>
      </c>
    </row>
    <row r="8" spans="1:13" x14ac:dyDescent="0.25">
      <c r="A8" t="s">
        <v>426</v>
      </c>
      <c r="B8" s="3">
        <v>45701.09783564815</v>
      </c>
      <c r="C8" t="s">
        <v>21</v>
      </c>
      <c r="D8" s="3">
        <v>45701.995462962965</v>
      </c>
      <c r="E8" t="s">
        <v>21</v>
      </c>
      <c r="F8" s="4">
        <v>281.80799999999999</v>
      </c>
      <c r="G8" s="4">
        <v>19140.677</v>
      </c>
      <c r="H8" s="4">
        <v>19422.485000000001</v>
      </c>
      <c r="I8" s="5">
        <f>17633 / 86400</f>
        <v>0.20408564814814814</v>
      </c>
      <c r="J8" t="s">
        <v>22</v>
      </c>
      <c r="K8" t="s">
        <v>23</v>
      </c>
      <c r="L8" s="5">
        <f>54592 / 86400</f>
        <v>0.63185185185185189</v>
      </c>
      <c r="M8" s="5">
        <f>31799 / 86400</f>
        <v>0.36804398148148149</v>
      </c>
    </row>
    <row r="9" spans="1:13" x14ac:dyDescent="0.25">
      <c r="A9" t="s">
        <v>427</v>
      </c>
      <c r="B9" s="3">
        <v>45701.297418981485</v>
      </c>
      <c r="C9" t="s">
        <v>24</v>
      </c>
      <c r="D9" s="3">
        <v>45701.815717592588</v>
      </c>
      <c r="E9" t="s">
        <v>25</v>
      </c>
      <c r="F9" s="4">
        <v>51.988</v>
      </c>
      <c r="G9" s="4">
        <v>328582.658</v>
      </c>
      <c r="H9" s="4">
        <v>328634.64600000001</v>
      </c>
      <c r="I9" s="5">
        <f>2673 / 86400</f>
        <v>3.09375E-2</v>
      </c>
      <c r="J9" t="s">
        <v>26</v>
      </c>
      <c r="K9" t="s">
        <v>23</v>
      </c>
      <c r="L9" s="5">
        <f>9998 / 86400</f>
        <v>0.11571759259259259</v>
      </c>
      <c r="M9" s="5">
        <f>76393 / 86400</f>
        <v>0.8841782407407407</v>
      </c>
    </row>
    <row r="10" spans="1:13" x14ac:dyDescent="0.25">
      <c r="A10" t="s">
        <v>428</v>
      </c>
      <c r="B10" s="3">
        <v>45701.427314814813</v>
      </c>
      <c r="C10" t="s">
        <v>27</v>
      </c>
      <c r="D10" s="3">
        <v>45701.966273148151</v>
      </c>
      <c r="E10" t="s">
        <v>27</v>
      </c>
      <c r="F10" s="4">
        <v>162.76500000000001</v>
      </c>
      <c r="G10" s="4">
        <v>20475.022000000001</v>
      </c>
      <c r="H10" s="4">
        <v>20637.789000000001</v>
      </c>
      <c r="I10" s="5">
        <f>13380 / 86400</f>
        <v>0.15486111111111112</v>
      </c>
      <c r="J10" t="s">
        <v>28</v>
      </c>
      <c r="K10" t="s">
        <v>29</v>
      </c>
      <c r="L10" s="5">
        <f>39910 / 86400</f>
        <v>0.4619212962962963</v>
      </c>
      <c r="M10" s="5">
        <f>46485 / 86400</f>
        <v>0.53802083333333328</v>
      </c>
    </row>
    <row r="11" spans="1:13" x14ac:dyDescent="0.25">
      <c r="A11" t="s">
        <v>429</v>
      </c>
      <c r="B11" s="3">
        <v>45701.249166666668</v>
      </c>
      <c r="C11" t="s">
        <v>30</v>
      </c>
      <c r="D11" s="3">
        <v>45701.954664351855</v>
      </c>
      <c r="E11" t="s">
        <v>30</v>
      </c>
      <c r="F11" s="4">
        <v>224.709</v>
      </c>
      <c r="G11" s="4">
        <v>513247.467</v>
      </c>
      <c r="H11" s="4">
        <v>513472.17599999998</v>
      </c>
      <c r="I11" s="5">
        <f>13697 / 86400</f>
        <v>0.1585300925925926</v>
      </c>
      <c r="J11" t="s">
        <v>31</v>
      </c>
      <c r="K11" t="s">
        <v>20</v>
      </c>
      <c r="L11" s="5">
        <f>46533 / 86400</f>
        <v>0.53857638888888892</v>
      </c>
      <c r="M11" s="5">
        <f>39859 / 86400</f>
        <v>0.46133101851851854</v>
      </c>
    </row>
    <row r="12" spans="1:13" x14ac:dyDescent="0.25">
      <c r="A12" t="s">
        <v>430</v>
      </c>
      <c r="B12" s="3">
        <v>45701.208020833335</v>
      </c>
      <c r="C12" t="s">
        <v>27</v>
      </c>
      <c r="D12" s="3">
        <v>45701.893101851849</v>
      </c>
      <c r="E12" t="s">
        <v>27</v>
      </c>
      <c r="F12" s="4">
        <v>181.44099999999997</v>
      </c>
      <c r="G12" s="4">
        <v>92368.027000000002</v>
      </c>
      <c r="H12" s="4">
        <v>92549.467999999993</v>
      </c>
      <c r="I12" s="5">
        <f>13057 / 86400</f>
        <v>0.15112268518518518</v>
      </c>
      <c r="J12" t="s">
        <v>32</v>
      </c>
      <c r="K12" t="s">
        <v>29</v>
      </c>
      <c r="L12" s="5">
        <f>43483 / 86400</f>
        <v>0.50327546296296299</v>
      </c>
      <c r="M12" s="5">
        <f>42911 / 86400</f>
        <v>0.49665509259259261</v>
      </c>
    </row>
    <row r="13" spans="1:13" x14ac:dyDescent="0.25">
      <c r="A13" t="s">
        <v>431</v>
      </c>
      <c r="B13" s="3">
        <v>45701.177222222221</v>
      </c>
      <c r="C13" t="s">
        <v>17</v>
      </c>
      <c r="D13" s="3">
        <v>45701.99998842593</v>
      </c>
      <c r="E13" t="s">
        <v>18</v>
      </c>
      <c r="F13" s="4">
        <v>310.072</v>
      </c>
      <c r="G13" s="4">
        <v>137832.889</v>
      </c>
      <c r="H13" s="4">
        <v>138142.96100000001</v>
      </c>
      <c r="I13" s="5">
        <f>16550 / 86400</f>
        <v>0.19155092592592593</v>
      </c>
      <c r="J13" t="s">
        <v>32</v>
      </c>
      <c r="K13" t="s">
        <v>23</v>
      </c>
      <c r="L13" s="5">
        <f>59207 / 86400</f>
        <v>0.68526620370370372</v>
      </c>
      <c r="M13" s="5">
        <f>27185 / 86400</f>
        <v>0.31464120370370369</v>
      </c>
    </row>
    <row r="14" spans="1:13" x14ac:dyDescent="0.25">
      <c r="A14" t="s">
        <v>432</v>
      </c>
      <c r="B14" s="3">
        <v>45701.212349537032</v>
      </c>
      <c r="C14" t="s">
        <v>27</v>
      </c>
      <c r="D14" s="3">
        <v>45701.951388888891</v>
      </c>
      <c r="E14" t="s">
        <v>27</v>
      </c>
      <c r="F14" s="4">
        <v>194.12753632074595</v>
      </c>
      <c r="G14" s="4">
        <v>347840.96284533606</v>
      </c>
      <c r="H14" s="4">
        <v>348048.00590228994</v>
      </c>
      <c r="I14" s="5">
        <f>0 / 86400</f>
        <v>0</v>
      </c>
      <c r="J14" t="s">
        <v>33</v>
      </c>
      <c r="K14" t="s">
        <v>34</v>
      </c>
      <c r="L14" s="5">
        <f>35259 / 86400</f>
        <v>0.40809027777777779</v>
      </c>
      <c r="M14" s="5">
        <f>51140 / 86400</f>
        <v>0.59189814814814812</v>
      </c>
    </row>
    <row r="15" spans="1:13" x14ac:dyDescent="0.25">
      <c r="A15" t="s">
        <v>433</v>
      </c>
      <c r="B15" s="3">
        <v>45701.310717592598</v>
      </c>
      <c r="C15" t="s">
        <v>35</v>
      </c>
      <c r="D15" s="3">
        <v>45701.843564814815</v>
      </c>
      <c r="E15" t="s">
        <v>35</v>
      </c>
      <c r="F15" s="4">
        <v>6.8629999999999995</v>
      </c>
      <c r="G15" s="4">
        <v>484190.908</v>
      </c>
      <c r="H15" s="4">
        <v>484197.77100000001</v>
      </c>
      <c r="I15" s="5">
        <f>3857 / 86400</f>
        <v>4.4641203703703704E-2</v>
      </c>
      <c r="J15" t="s">
        <v>36</v>
      </c>
      <c r="K15" t="s">
        <v>37</v>
      </c>
      <c r="L15" s="5">
        <f>5054 / 86400</f>
        <v>5.8495370370370371E-2</v>
      </c>
      <c r="M15" s="5">
        <f>81344 / 86400</f>
        <v>0.94148148148148147</v>
      </c>
    </row>
    <row r="16" spans="1:13" x14ac:dyDescent="0.25">
      <c r="A16" t="s">
        <v>434</v>
      </c>
      <c r="B16" s="3">
        <v>45701.270775462966</v>
      </c>
      <c r="C16" t="s">
        <v>38</v>
      </c>
      <c r="D16" s="3">
        <v>45701.86010416667</v>
      </c>
      <c r="E16" t="s">
        <v>39</v>
      </c>
      <c r="F16" s="4">
        <v>200.7</v>
      </c>
      <c r="G16" s="4">
        <v>508123.63500000001</v>
      </c>
      <c r="H16" s="4">
        <v>508324.33500000002</v>
      </c>
      <c r="I16" s="5">
        <f>14977 / 86400</f>
        <v>0.17334490740740741</v>
      </c>
      <c r="J16" t="s">
        <v>40</v>
      </c>
      <c r="K16" t="s">
        <v>29</v>
      </c>
      <c r="L16" s="5">
        <f>46771 / 86400</f>
        <v>0.5413310185185185</v>
      </c>
      <c r="M16" s="5">
        <f>39626 / 86400</f>
        <v>0.45863425925925927</v>
      </c>
    </row>
    <row r="17" spans="1:13" x14ac:dyDescent="0.25">
      <c r="A17" t="s">
        <v>435</v>
      </c>
      <c r="B17" s="3">
        <v>45701.236770833333</v>
      </c>
      <c r="C17" t="s">
        <v>41</v>
      </c>
      <c r="D17" s="3">
        <v>45701.94804398148</v>
      </c>
      <c r="E17" t="s">
        <v>41</v>
      </c>
      <c r="F17" s="4">
        <v>179.78</v>
      </c>
      <c r="G17" s="4">
        <v>407788.87699999998</v>
      </c>
      <c r="H17" s="4">
        <v>407968.97399999999</v>
      </c>
      <c r="I17" s="5">
        <f>17239 / 86400</f>
        <v>0.19952546296296297</v>
      </c>
      <c r="J17" t="s">
        <v>42</v>
      </c>
      <c r="K17" t="s">
        <v>43</v>
      </c>
      <c r="L17" s="5">
        <f>45851 / 86400</f>
        <v>0.53068287037037032</v>
      </c>
      <c r="M17" s="5">
        <f>40542 / 86400</f>
        <v>0.46923611111111113</v>
      </c>
    </row>
    <row r="18" spans="1:13" x14ac:dyDescent="0.25">
      <c r="A18" t="s">
        <v>436</v>
      </c>
      <c r="B18" s="3">
        <v>45701.224652777775</v>
      </c>
      <c r="C18" t="s">
        <v>44</v>
      </c>
      <c r="D18" s="3">
        <v>45701.923495370371</v>
      </c>
      <c r="E18" t="s">
        <v>44</v>
      </c>
      <c r="F18" s="4">
        <v>96.265000000000001</v>
      </c>
      <c r="G18" s="4">
        <v>437504.95600000001</v>
      </c>
      <c r="H18" s="4">
        <v>437601.22100000002</v>
      </c>
      <c r="I18" s="5">
        <f>8712 / 86400</f>
        <v>0.10083333333333333</v>
      </c>
      <c r="J18" t="s">
        <v>45</v>
      </c>
      <c r="K18" t="s">
        <v>29</v>
      </c>
      <c r="L18" s="5">
        <f>23360 / 86400</f>
        <v>0.27037037037037037</v>
      </c>
      <c r="M18" s="5">
        <f>63030 / 86400</f>
        <v>0.72951388888888891</v>
      </c>
    </row>
    <row r="19" spans="1:13" x14ac:dyDescent="0.25">
      <c r="A19" t="s">
        <v>437</v>
      </c>
      <c r="B19" s="3">
        <v>45701.131643518514</v>
      </c>
      <c r="C19" t="s">
        <v>21</v>
      </c>
      <c r="D19" s="3">
        <v>45701.885972222226</v>
      </c>
      <c r="E19" t="s">
        <v>21</v>
      </c>
      <c r="F19" s="4">
        <v>186.32599999999999</v>
      </c>
      <c r="G19" s="4">
        <v>54097.949000000001</v>
      </c>
      <c r="H19" s="4">
        <v>54284.275000000001</v>
      </c>
      <c r="I19" s="5">
        <f>9338 / 86400</f>
        <v>0.1080787037037037</v>
      </c>
      <c r="J19" t="s">
        <v>46</v>
      </c>
      <c r="K19" t="s">
        <v>23</v>
      </c>
      <c r="L19" s="5">
        <f>34456 / 86400</f>
        <v>0.39879629629629632</v>
      </c>
      <c r="M19" s="5">
        <f>51937 / 86400</f>
        <v>0.60112268518518519</v>
      </c>
    </row>
    <row r="20" spans="1:13" x14ac:dyDescent="0.25">
      <c r="A20" t="s">
        <v>438</v>
      </c>
      <c r="B20" s="3">
        <v>45701.315555555557</v>
      </c>
      <c r="C20" t="s">
        <v>47</v>
      </c>
      <c r="D20" s="3">
        <v>45701.990671296298</v>
      </c>
      <c r="E20" t="s">
        <v>48</v>
      </c>
      <c r="F20" s="4">
        <v>227.55799999999999</v>
      </c>
      <c r="G20" s="4">
        <v>215978.39600000001</v>
      </c>
      <c r="H20" s="4">
        <v>216205.954</v>
      </c>
      <c r="I20" s="5">
        <f>15374 / 86400</f>
        <v>0.17793981481481483</v>
      </c>
      <c r="J20" t="s">
        <v>40</v>
      </c>
      <c r="K20" t="s">
        <v>20</v>
      </c>
      <c r="L20" s="5">
        <f>47832 / 86400</f>
        <v>0.55361111111111116</v>
      </c>
      <c r="M20" s="5">
        <f>38560 / 86400</f>
        <v>0.4462962962962963</v>
      </c>
    </row>
    <row r="21" spans="1:13" x14ac:dyDescent="0.25">
      <c r="A21" t="s">
        <v>439</v>
      </c>
      <c r="B21" s="3">
        <v>45701.262870370367</v>
      </c>
      <c r="C21" t="s">
        <v>49</v>
      </c>
      <c r="D21" s="3">
        <v>45701.830532407403</v>
      </c>
      <c r="E21" t="s">
        <v>49</v>
      </c>
      <c r="F21" s="4">
        <v>180.846</v>
      </c>
      <c r="G21" s="4">
        <v>525214.56099999999</v>
      </c>
      <c r="H21" s="4">
        <v>525395.40700000001</v>
      </c>
      <c r="I21" s="5">
        <f>14180 / 86400</f>
        <v>0.16412037037037036</v>
      </c>
      <c r="J21" t="s">
        <v>50</v>
      </c>
      <c r="K21" t="s">
        <v>51</v>
      </c>
      <c r="L21" s="5">
        <f>41939 / 86400</f>
        <v>0.48540509259259257</v>
      </c>
      <c r="M21" s="5">
        <f>44457 / 86400</f>
        <v>0.51454861111111116</v>
      </c>
    </row>
    <row r="22" spans="1:13" x14ac:dyDescent="0.25">
      <c r="A22" t="s">
        <v>440</v>
      </c>
      <c r="B22" s="3">
        <v>45701.234756944439</v>
      </c>
      <c r="C22" t="s">
        <v>52</v>
      </c>
      <c r="D22" s="3">
        <v>45701.901608796295</v>
      </c>
      <c r="E22" t="s">
        <v>52</v>
      </c>
      <c r="F22" s="4">
        <v>201.78700000000001</v>
      </c>
      <c r="G22" s="4">
        <v>344691.86200000002</v>
      </c>
      <c r="H22" s="4">
        <v>344893.64899999998</v>
      </c>
      <c r="I22" s="5">
        <f>18600 / 86400</f>
        <v>0.21527777777777779</v>
      </c>
      <c r="J22" t="s">
        <v>53</v>
      </c>
      <c r="K22" t="s">
        <v>29</v>
      </c>
      <c r="L22" s="5">
        <f>48080 / 86400</f>
        <v>0.55648148148148147</v>
      </c>
      <c r="M22" s="5">
        <f>38310 / 86400</f>
        <v>0.44340277777777776</v>
      </c>
    </row>
    <row r="23" spans="1:13" x14ac:dyDescent="0.25">
      <c r="A23" t="s">
        <v>441</v>
      </c>
      <c r="B23" s="3">
        <v>45701.264525462961</v>
      </c>
      <c r="C23" t="s">
        <v>54</v>
      </c>
      <c r="D23" s="3">
        <v>45701.840879629628</v>
      </c>
      <c r="E23" t="s">
        <v>54</v>
      </c>
      <c r="F23" s="4">
        <v>184.54300000000001</v>
      </c>
      <c r="G23" s="4">
        <v>426014.97399999999</v>
      </c>
      <c r="H23" s="4">
        <v>426199.51699999999</v>
      </c>
      <c r="I23" s="5">
        <f>12255 / 86400</f>
        <v>0.14184027777777777</v>
      </c>
      <c r="J23" t="s">
        <v>55</v>
      </c>
      <c r="K23" t="s">
        <v>20</v>
      </c>
      <c r="L23" s="5">
        <f>38389 / 86400</f>
        <v>0.4443171296296296</v>
      </c>
      <c r="M23" s="5">
        <f>48007 / 86400</f>
        <v>0.55563657407407407</v>
      </c>
    </row>
    <row r="24" spans="1:13" x14ac:dyDescent="0.25">
      <c r="A24" t="s">
        <v>442</v>
      </c>
      <c r="B24" s="3">
        <v>45701.225023148145</v>
      </c>
      <c r="C24" t="s">
        <v>27</v>
      </c>
      <c r="D24" s="3">
        <v>45701.799224537041</v>
      </c>
      <c r="E24" t="s">
        <v>27</v>
      </c>
      <c r="F24" s="4">
        <v>177.99299999999999</v>
      </c>
      <c r="G24" s="4">
        <v>12648.273999999999</v>
      </c>
      <c r="H24" s="4">
        <v>12826.267</v>
      </c>
      <c r="I24" s="5">
        <f>17674 / 86400</f>
        <v>0.20456018518518518</v>
      </c>
      <c r="J24" t="s">
        <v>40</v>
      </c>
      <c r="K24" t="s">
        <v>43</v>
      </c>
      <c r="L24" s="5">
        <f>44502 / 86400</f>
        <v>0.51506944444444447</v>
      </c>
      <c r="M24" s="5">
        <f>41894 / 86400</f>
        <v>0.48488425925925926</v>
      </c>
    </row>
    <row r="25" spans="1:13" x14ac:dyDescent="0.25">
      <c r="A25" t="s">
        <v>443</v>
      </c>
      <c r="B25" s="3">
        <v>45701.275474537033</v>
      </c>
      <c r="C25" t="s">
        <v>56</v>
      </c>
      <c r="D25" s="3">
        <v>45701.812905092593</v>
      </c>
      <c r="E25" t="s">
        <v>56</v>
      </c>
      <c r="F25" s="4">
        <v>56.991</v>
      </c>
      <c r="G25" s="4">
        <v>138630.864</v>
      </c>
      <c r="H25" s="4">
        <v>138687.85500000001</v>
      </c>
      <c r="I25" s="5">
        <f>3625 / 86400</f>
        <v>4.1956018518518517E-2</v>
      </c>
      <c r="J25" t="s">
        <v>32</v>
      </c>
      <c r="K25" t="s">
        <v>20</v>
      </c>
      <c r="L25" s="5">
        <f>12154 / 86400</f>
        <v>0.14067129629629629</v>
      </c>
      <c r="M25" s="5">
        <f>74237 / 86400</f>
        <v>0.85922453703703705</v>
      </c>
    </row>
    <row r="26" spans="1:13" x14ac:dyDescent="0.25">
      <c r="A26" t="s">
        <v>444</v>
      </c>
      <c r="B26" s="3">
        <v>45701.220833333333</v>
      </c>
      <c r="C26" t="s">
        <v>27</v>
      </c>
      <c r="D26" s="3">
        <v>45701.934444444443</v>
      </c>
      <c r="E26" t="s">
        <v>27</v>
      </c>
      <c r="F26" s="4">
        <v>185.16</v>
      </c>
      <c r="G26" s="4">
        <v>5590.4009999999998</v>
      </c>
      <c r="H26" s="4">
        <v>5775.5609999999997</v>
      </c>
      <c r="I26" s="5">
        <f>24583 / 86400</f>
        <v>0.28452546296296294</v>
      </c>
      <c r="J26" t="s">
        <v>57</v>
      </c>
      <c r="K26" t="s">
        <v>58</v>
      </c>
      <c r="L26" s="5">
        <f>51185 / 86400</f>
        <v>0.59241898148148153</v>
      </c>
      <c r="M26" s="5">
        <f>35211 / 86400</f>
        <v>0.4075347222222222</v>
      </c>
    </row>
    <row r="27" spans="1:13" x14ac:dyDescent="0.25">
      <c r="A27" t="s">
        <v>445</v>
      </c>
      <c r="B27" s="3">
        <v>45701.147812499999</v>
      </c>
      <c r="C27" t="s">
        <v>59</v>
      </c>
      <c r="D27" s="3">
        <v>45701.73542824074</v>
      </c>
      <c r="E27" t="s">
        <v>59</v>
      </c>
      <c r="F27" s="4">
        <v>212.27799999999999</v>
      </c>
      <c r="G27" s="4">
        <v>523146.69699999999</v>
      </c>
      <c r="H27" s="4">
        <v>523358.97499999998</v>
      </c>
      <c r="I27" s="5">
        <f>10977 / 86400</f>
        <v>0.1270486111111111</v>
      </c>
      <c r="J27" t="s">
        <v>60</v>
      </c>
      <c r="K27" t="s">
        <v>23</v>
      </c>
      <c r="L27" s="5">
        <f>39852 / 86400</f>
        <v>0.46124999999999999</v>
      </c>
      <c r="M27" s="5">
        <f>46544 / 86400</f>
        <v>0.53870370370370368</v>
      </c>
    </row>
    <row r="28" spans="1:13" x14ac:dyDescent="0.25">
      <c r="A28" t="s">
        <v>446</v>
      </c>
      <c r="B28" s="3">
        <v>45701</v>
      </c>
      <c r="C28" t="s">
        <v>61</v>
      </c>
      <c r="D28" s="3">
        <v>45701.99998842593</v>
      </c>
      <c r="E28" t="s">
        <v>62</v>
      </c>
      <c r="F28" s="4">
        <v>207.39099999999999</v>
      </c>
      <c r="G28" s="4">
        <v>411736.57699999999</v>
      </c>
      <c r="H28" s="4">
        <v>411943.96799999999</v>
      </c>
      <c r="I28" s="5">
        <f>12566 / 86400</f>
        <v>0.14543981481481483</v>
      </c>
      <c r="J28" t="s">
        <v>63</v>
      </c>
      <c r="K28" t="s">
        <v>20</v>
      </c>
      <c r="L28" s="5">
        <f>44000 / 86400</f>
        <v>0.5092592592592593</v>
      </c>
      <c r="M28" s="5">
        <f>42397 / 86400</f>
        <v>0.49070601851851853</v>
      </c>
    </row>
    <row r="29" spans="1:13" x14ac:dyDescent="0.25">
      <c r="A29" t="s">
        <v>447</v>
      </c>
      <c r="B29" s="3">
        <v>45701.314745370371</v>
      </c>
      <c r="C29" t="s">
        <v>64</v>
      </c>
      <c r="D29" s="3">
        <v>45701.833113425921</v>
      </c>
      <c r="E29" t="s">
        <v>64</v>
      </c>
      <c r="F29" s="4">
        <v>174.857</v>
      </c>
      <c r="G29" s="4">
        <v>402776.73499999999</v>
      </c>
      <c r="H29" s="4">
        <v>402951.592</v>
      </c>
      <c r="I29" s="5">
        <f>12117 / 86400</f>
        <v>0.14024305555555555</v>
      </c>
      <c r="J29" t="s">
        <v>65</v>
      </c>
      <c r="K29" t="s">
        <v>51</v>
      </c>
      <c r="L29" s="5">
        <f>38801 / 86400</f>
        <v>0.44908564814814816</v>
      </c>
      <c r="M29" s="5">
        <f>47592 / 86400</f>
        <v>0.55083333333333329</v>
      </c>
    </row>
    <row r="30" spans="1:13" x14ac:dyDescent="0.25">
      <c r="A30" t="s">
        <v>448</v>
      </c>
      <c r="B30" s="3">
        <v>45701.30263888889</v>
      </c>
      <c r="C30" t="s">
        <v>66</v>
      </c>
      <c r="D30" s="3">
        <v>45701.701539351852</v>
      </c>
      <c r="E30" t="s">
        <v>66</v>
      </c>
      <c r="F30" s="4">
        <v>120.19200000000001</v>
      </c>
      <c r="G30" s="4">
        <v>348121.217</v>
      </c>
      <c r="H30" s="4">
        <v>348241.40899999999</v>
      </c>
      <c r="I30" s="5">
        <f>9398 / 86400</f>
        <v>0.10877314814814815</v>
      </c>
      <c r="J30" t="s">
        <v>32</v>
      </c>
      <c r="K30" t="s">
        <v>29</v>
      </c>
      <c r="L30" s="5">
        <f>28031 / 86400</f>
        <v>0.32443287037037039</v>
      </c>
      <c r="M30" s="5">
        <f>58365 / 86400</f>
        <v>0.67552083333333335</v>
      </c>
    </row>
    <row r="31" spans="1:13" x14ac:dyDescent="0.25">
      <c r="A31" t="s">
        <v>449</v>
      </c>
      <c r="B31" s="3">
        <v>45701.121041666665</v>
      </c>
      <c r="C31" t="s">
        <v>67</v>
      </c>
      <c r="D31" s="3">
        <v>45701.840405092589</v>
      </c>
      <c r="E31" t="s">
        <v>67</v>
      </c>
      <c r="F31" s="4">
        <v>212.64500000000001</v>
      </c>
      <c r="G31" s="4">
        <v>40905.112000000001</v>
      </c>
      <c r="H31" s="4">
        <v>41117.756999999998</v>
      </c>
      <c r="I31" s="5">
        <f>14706 / 86400</f>
        <v>0.17020833333333332</v>
      </c>
      <c r="J31" t="s">
        <v>68</v>
      </c>
      <c r="K31" t="s">
        <v>20</v>
      </c>
      <c r="L31" s="5">
        <f>45087 / 86400</f>
        <v>0.52184027777777775</v>
      </c>
      <c r="M31" s="5">
        <f>41305 / 86400</f>
        <v>0.47806712962962961</v>
      </c>
    </row>
    <row r="32" spans="1:13" x14ac:dyDescent="0.25">
      <c r="A32" t="s">
        <v>450</v>
      </c>
      <c r="B32" s="3">
        <v>45701</v>
      </c>
      <c r="C32" t="s">
        <v>69</v>
      </c>
      <c r="D32" s="3">
        <v>45701.932592592595</v>
      </c>
      <c r="E32" t="s">
        <v>35</v>
      </c>
      <c r="F32" s="4">
        <v>239.65700000000001</v>
      </c>
      <c r="G32" s="4">
        <v>46354.442000000003</v>
      </c>
      <c r="H32" s="4">
        <v>46594.099000000002</v>
      </c>
      <c r="I32" s="5">
        <f>11375 / 86400</f>
        <v>0.13165509259259259</v>
      </c>
      <c r="J32" t="s">
        <v>70</v>
      </c>
      <c r="K32" t="s">
        <v>71</v>
      </c>
      <c r="L32" s="5">
        <f>28435 / 86400</f>
        <v>0.3291087962962963</v>
      </c>
      <c r="M32" s="5">
        <f>57961 / 86400</f>
        <v>0.67084490740740743</v>
      </c>
    </row>
    <row r="33" spans="1:13" x14ac:dyDescent="0.25">
      <c r="A33" t="s">
        <v>451</v>
      </c>
      <c r="B33" s="3">
        <v>45701</v>
      </c>
      <c r="C33" t="s">
        <v>72</v>
      </c>
      <c r="D33" s="3">
        <v>45701.936527777776</v>
      </c>
      <c r="E33" t="s">
        <v>73</v>
      </c>
      <c r="F33" s="4">
        <v>217.25799999988078</v>
      </c>
      <c r="G33" s="4">
        <v>527960.98600000003</v>
      </c>
      <c r="H33" s="4">
        <v>528178.24399999995</v>
      </c>
      <c r="I33" s="5">
        <f>9524 / 86400</f>
        <v>0.11023148148148149</v>
      </c>
      <c r="J33" t="s">
        <v>46</v>
      </c>
      <c r="K33" t="s">
        <v>74</v>
      </c>
      <c r="L33" s="5">
        <f>36716 / 86400</f>
        <v>0.42495370370370372</v>
      </c>
      <c r="M33" s="5">
        <f>49679 / 86400</f>
        <v>0.57498842592592592</v>
      </c>
    </row>
    <row r="34" spans="1:13" x14ac:dyDescent="0.25">
      <c r="A34" t="s">
        <v>452</v>
      </c>
      <c r="B34" s="3">
        <v>45701.170578703706</v>
      </c>
      <c r="C34" t="s">
        <v>35</v>
      </c>
      <c r="D34" s="3">
        <v>45701.799444444448</v>
      </c>
      <c r="E34" t="s">
        <v>35</v>
      </c>
      <c r="F34" s="4">
        <v>183.178</v>
      </c>
      <c r="G34" s="4">
        <v>567939.56099999999</v>
      </c>
      <c r="H34" s="4">
        <v>568122.73899999994</v>
      </c>
      <c r="I34" s="5">
        <f>11954 / 86400</f>
        <v>0.13835648148148147</v>
      </c>
      <c r="J34" t="s">
        <v>75</v>
      </c>
      <c r="K34" t="s">
        <v>76</v>
      </c>
      <c r="L34" s="5">
        <f>37598 / 86400</f>
        <v>0.43516203703703704</v>
      </c>
      <c r="M34" s="5">
        <f>48796 / 86400</f>
        <v>0.5647685185185185</v>
      </c>
    </row>
    <row r="35" spans="1:13" x14ac:dyDescent="0.25">
      <c r="A35" t="s">
        <v>453</v>
      </c>
      <c r="B35" s="3">
        <v>45701.226701388892</v>
      </c>
      <c r="C35" t="s">
        <v>77</v>
      </c>
      <c r="D35" s="3">
        <v>45701.965509259258</v>
      </c>
      <c r="E35" t="s">
        <v>78</v>
      </c>
      <c r="F35" s="4">
        <v>217.09700000000001</v>
      </c>
      <c r="G35" s="4">
        <v>435329.24800000002</v>
      </c>
      <c r="H35" s="4">
        <v>435546.34499999997</v>
      </c>
      <c r="I35" s="5">
        <f>14581 / 86400</f>
        <v>0.16876157407407408</v>
      </c>
      <c r="J35" t="s">
        <v>31</v>
      </c>
      <c r="K35" t="s">
        <v>51</v>
      </c>
      <c r="L35" s="5">
        <f>47872 / 86400</f>
        <v>0.55407407407407405</v>
      </c>
      <c r="M35" s="5">
        <f>38520 / 86400</f>
        <v>0.44583333333333336</v>
      </c>
    </row>
    <row r="36" spans="1:13" x14ac:dyDescent="0.25">
      <c r="A36" t="s">
        <v>454</v>
      </c>
      <c r="B36" s="3">
        <v>45701.238865740743</v>
      </c>
      <c r="C36" t="s">
        <v>47</v>
      </c>
      <c r="D36" s="3">
        <v>45701.84774305555</v>
      </c>
      <c r="E36" t="s">
        <v>47</v>
      </c>
      <c r="F36" s="4">
        <v>202.89700000000002</v>
      </c>
      <c r="G36" s="4">
        <v>515418.83899999998</v>
      </c>
      <c r="H36" s="4">
        <v>515622.39600000001</v>
      </c>
      <c r="I36" s="5">
        <f>14729 / 86400</f>
        <v>0.17047453703703705</v>
      </c>
      <c r="J36" t="s">
        <v>79</v>
      </c>
      <c r="K36" t="s">
        <v>51</v>
      </c>
      <c r="L36" s="5">
        <f>45552 / 86400</f>
        <v>0.52722222222222226</v>
      </c>
      <c r="M36" s="5">
        <f>40847 / 86400</f>
        <v>0.4727662037037037</v>
      </c>
    </row>
    <row r="37" spans="1:13" x14ac:dyDescent="0.25">
      <c r="A37" t="s">
        <v>455</v>
      </c>
      <c r="B37" s="3">
        <v>45701.23238425926</v>
      </c>
      <c r="C37" t="s">
        <v>80</v>
      </c>
      <c r="D37" s="3">
        <v>45701.798159722224</v>
      </c>
      <c r="E37" t="s">
        <v>81</v>
      </c>
      <c r="F37" s="4">
        <v>200.21299999999999</v>
      </c>
      <c r="G37" s="4">
        <v>505276.337</v>
      </c>
      <c r="H37" s="4">
        <v>505476.55</v>
      </c>
      <c r="I37" s="5">
        <f>20406 / 86400</f>
        <v>0.23618055555555556</v>
      </c>
      <c r="J37" t="s">
        <v>75</v>
      </c>
      <c r="K37" t="s">
        <v>29</v>
      </c>
      <c r="L37" s="5">
        <f>48883 / 86400</f>
        <v>0.56577546296296299</v>
      </c>
      <c r="M37" s="5">
        <f>37516 / 86400</f>
        <v>0.43421296296296297</v>
      </c>
    </row>
    <row r="38" spans="1:13" x14ac:dyDescent="0.25">
      <c r="A38" t="s">
        <v>456</v>
      </c>
      <c r="B38" s="3">
        <v>45701.276643518519</v>
      </c>
      <c r="C38" t="s">
        <v>82</v>
      </c>
      <c r="D38" s="3">
        <v>45701.99998842593</v>
      </c>
      <c r="E38" t="s">
        <v>83</v>
      </c>
      <c r="F38" s="4">
        <v>227.03700000000001</v>
      </c>
      <c r="G38" s="4">
        <v>352249.386</v>
      </c>
      <c r="H38" s="4">
        <v>352476.42300000001</v>
      </c>
      <c r="I38" s="5">
        <f>16735 / 86400</f>
        <v>0.19369212962962962</v>
      </c>
      <c r="J38" t="s">
        <v>19</v>
      </c>
      <c r="K38" t="s">
        <v>51</v>
      </c>
      <c r="L38" s="5">
        <f>51491 / 86400</f>
        <v>0.5959606481481482</v>
      </c>
      <c r="M38" s="5">
        <f>34902 / 86400</f>
        <v>0.40395833333333331</v>
      </c>
    </row>
    <row r="39" spans="1:13" x14ac:dyDescent="0.25">
      <c r="A39" t="s">
        <v>457</v>
      </c>
      <c r="B39" s="3">
        <v>45701.215833333335</v>
      </c>
      <c r="C39" t="s">
        <v>84</v>
      </c>
      <c r="D39" s="3">
        <v>45701.808611111112</v>
      </c>
      <c r="E39" t="s">
        <v>84</v>
      </c>
      <c r="F39" s="4">
        <v>210.065</v>
      </c>
      <c r="G39" s="4">
        <v>410824.815</v>
      </c>
      <c r="H39" s="4">
        <v>411034.88</v>
      </c>
      <c r="I39" s="5">
        <f>18375 / 86400</f>
        <v>0.2126736111111111</v>
      </c>
      <c r="J39" t="s">
        <v>79</v>
      </c>
      <c r="K39" t="s">
        <v>51</v>
      </c>
      <c r="L39" s="5">
        <f>48384 / 86400</f>
        <v>0.56000000000000005</v>
      </c>
      <c r="M39" s="5">
        <f>38013 / 86400</f>
        <v>0.43996527777777777</v>
      </c>
    </row>
    <row r="40" spans="1:13" x14ac:dyDescent="0.25">
      <c r="A40" t="s">
        <v>458</v>
      </c>
      <c r="B40" s="3">
        <v>45701.152708333335</v>
      </c>
      <c r="C40" t="s">
        <v>27</v>
      </c>
      <c r="D40" s="3">
        <v>45701.747789351852</v>
      </c>
      <c r="E40" t="s">
        <v>27</v>
      </c>
      <c r="F40" s="4">
        <v>214.351</v>
      </c>
      <c r="G40" s="4">
        <v>441768.76</v>
      </c>
      <c r="H40" s="4">
        <v>441983.11099999998</v>
      </c>
      <c r="I40" s="5">
        <f>10876 / 86400</f>
        <v>0.12587962962962962</v>
      </c>
      <c r="J40" t="s">
        <v>28</v>
      </c>
      <c r="K40" t="s">
        <v>23</v>
      </c>
      <c r="L40" s="5">
        <f>41708 / 86400</f>
        <v>0.48273148148148148</v>
      </c>
      <c r="M40" s="5">
        <f>44690 / 86400</f>
        <v>0.51724537037037033</v>
      </c>
    </row>
    <row r="41" spans="1:13" x14ac:dyDescent="0.25">
      <c r="A41" t="s">
        <v>459</v>
      </c>
      <c r="B41" s="3">
        <v>45701.308182870373</v>
      </c>
      <c r="C41" t="s">
        <v>85</v>
      </c>
      <c r="D41" s="3">
        <v>45701.855312500003</v>
      </c>
      <c r="E41" t="s">
        <v>86</v>
      </c>
      <c r="F41" s="4">
        <v>188.916</v>
      </c>
      <c r="G41" s="4">
        <v>474197.20799999998</v>
      </c>
      <c r="H41" s="4">
        <v>474386.12400000001</v>
      </c>
      <c r="I41" s="5">
        <f>13778 / 86400</f>
        <v>0.15946759259259261</v>
      </c>
      <c r="J41" t="s">
        <v>87</v>
      </c>
      <c r="K41" t="s">
        <v>51</v>
      </c>
      <c r="L41" s="5">
        <f>42576 / 86400</f>
        <v>0.49277777777777776</v>
      </c>
      <c r="M41" s="5">
        <f>43821 / 86400</f>
        <v>0.50718750000000001</v>
      </c>
    </row>
    <row r="42" spans="1:13" x14ac:dyDescent="0.25">
      <c r="A42" t="s">
        <v>460</v>
      </c>
      <c r="B42" s="3">
        <v>45701</v>
      </c>
      <c r="C42" t="s">
        <v>88</v>
      </c>
      <c r="D42" s="3">
        <v>45701.988703703704</v>
      </c>
      <c r="E42" t="s">
        <v>80</v>
      </c>
      <c r="F42" s="4">
        <v>326.45</v>
      </c>
      <c r="G42" s="4">
        <v>413754.73499999999</v>
      </c>
      <c r="H42" s="4">
        <v>414081.185</v>
      </c>
      <c r="I42" s="5">
        <f>21071 / 86400</f>
        <v>0.24387731481481481</v>
      </c>
      <c r="J42" t="s">
        <v>46</v>
      </c>
      <c r="K42" t="s">
        <v>76</v>
      </c>
      <c r="L42" s="5">
        <f>65376 / 86400</f>
        <v>0.75666666666666671</v>
      </c>
      <c r="M42" s="5">
        <f>21016 / 86400</f>
        <v>0.24324074074074073</v>
      </c>
    </row>
    <row r="43" spans="1:13" x14ac:dyDescent="0.25">
      <c r="A43" t="s">
        <v>461</v>
      </c>
      <c r="B43" s="3">
        <v>45701.175821759258</v>
      </c>
      <c r="C43" t="s">
        <v>27</v>
      </c>
      <c r="D43" s="3">
        <v>45701.732442129629</v>
      </c>
      <c r="E43" t="s">
        <v>27</v>
      </c>
      <c r="F43" s="4">
        <v>205.292</v>
      </c>
      <c r="G43" s="4">
        <v>327890.76799999998</v>
      </c>
      <c r="H43" s="4">
        <v>328096.06</v>
      </c>
      <c r="I43" s="5">
        <f>8544 / 86400</f>
        <v>9.8888888888888887E-2</v>
      </c>
      <c r="J43" t="s">
        <v>33</v>
      </c>
      <c r="K43" t="s">
        <v>23</v>
      </c>
      <c r="L43" s="5">
        <f>38003 / 86400</f>
        <v>0.43984953703703705</v>
      </c>
      <c r="M43" s="5">
        <f>48391 / 86400</f>
        <v>0.56008101851851855</v>
      </c>
    </row>
    <row r="44" spans="1:13" x14ac:dyDescent="0.25">
      <c r="A44" t="s">
        <v>462</v>
      </c>
      <c r="B44" s="3">
        <v>45701.340798611112</v>
      </c>
      <c r="C44" t="s">
        <v>89</v>
      </c>
      <c r="D44" s="3">
        <v>45701.895902777775</v>
      </c>
      <c r="E44" t="s">
        <v>89</v>
      </c>
      <c r="F44" s="4">
        <v>0.27599999999999997</v>
      </c>
      <c r="G44" s="4">
        <v>81594.293999999994</v>
      </c>
      <c r="H44" s="4">
        <v>81594.570000000007</v>
      </c>
      <c r="I44" s="5">
        <f>5214 / 86400</f>
        <v>6.0347222222222219E-2</v>
      </c>
      <c r="J44" t="s">
        <v>90</v>
      </c>
      <c r="K44" t="s">
        <v>91</v>
      </c>
      <c r="L44" s="5">
        <f>5477 / 86400</f>
        <v>6.33912037037037E-2</v>
      </c>
      <c r="M44" s="5">
        <f>80920 / 86400</f>
        <v>0.93657407407407411</v>
      </c>
    </row>
    <row r="45" spans="1:13" x14ac:dyDescent="0.25">
      <c r="A45" t="s">
        <v>463</v>
      </c>
      <c r="B45" s="3">
        <v>45701.211261574077</v>
      </c>
      <c r="C45" t="s">
        <v>38</v>
      </c>
      <c r="D45" s="3">
        <v>45701.999479166669</v>
      </c>
      <c r="E45" t="s">
        <v>38</v>
      </c>
      <c r="F45" s="4">
        <v>173.97499999999999</v>
      </c>
      <c r="G45" s="4">
        <v>469634.10100000002</v>
      </c>
      <c r="H45" s="4">
        <v>469808.076</v>
      </c>
      <c r="I45" s="5">
        <f>11394 / 86400</f>
        <v>0.13187499999999999</v>
      </c>
      <c r="J45" t="s">
        <v>70</v>
      </c>
      <c r="K45" t="s">
        <v>20</v>
      </c>
      <c r="L45" s="5">
        <f>36056 / 86400</f>
        <v>0.41731481481481481</v>
      </c>
      <c r="M45" s="5">
        <f>50335 / 86400</f>
        <v>0.58258101851851851</v>
      </c>
    </row>
    <row r="46" spans="1:13" x14ac:dyDescent="0.25">
      <c r="A46" t="s">
        <v>464</v>
      </c>
      <c r="B46" s="3">
        <v>45701.529212962967</v>
      </c>
      <c r="C46" t="s">
        <v>83</v>
      </c>
      <c r="D46" s="3">
        <v>45701.99998842593</v>
      </c>
      <c r="E46" t="s">
        <v>83</v>
      </c>
      <c r="F46" s="4">
        <v>0</v>
      </c>
      <c r="G46" s="4">
        <v>428213.33600000001</v>
      </c>
      <c r="H46" s="4">
        <v>428213.33600000001</v>
      </c>
      <c r="I46" s="5">
        <f>34672 / 86400</f>
        <v>0.40129629629629632</v>
      </c>
      <c r="J46" t="s">
        <v>91</v>
      </c>
      <c r="K46" t="s">
        <v>91</v>
      </c>
      <c r="L46" s="5">
        <f>34842 / 86400</f>
        <v>0.40326388888888887</v>
      </c>
      <c r="M46" s="5">
        <f>51555 / 86400</f>
        <v>0.59670138888888891</v>
      </c>
    </row>
    <row r="47" spans="1:13" x14ac:dyDescent="0.25">
      <c r="A47" t="s">
        <v>465</v>
      </c>
      <c r="B47" s="3">
        <v>45701.282442129625</v>
      </c>
      <c r="C47" t="s">
        <v>27</v>
      </c>
      <c r="D47" s="3">
        <v>45701.83729166667</v>
      </c>
      <c r="E47" t="s">
        <v>27</v>
      </c>
      <c r="F47" s="4">
        <v>42.616</v>
      </c>
      <c r="G47" s="4">
        <v>575527.39500000002</v>
      </c>
      <c r="H47" s="4">
        <v>575570.01100000006</v>
      </c>
      <c r="I47" s="5">
        <f>1825 / 86400</f>
        <v>2.1122685185185185E-2</v>
      </c>
      <c r="J47" t="s">
        <v>60</v>
      </c>
      <c r="K47" t="s">
        <v>51</v>
      </c>
      <c r="L47" s="5">
        <f>9572 / 86400</f>
        <v>0.11078703703703703</v>
      </c>
      <c r="M47" s="5">
        <f>76823 / 86400</f>
        <v>0.88915509259259262</v>
      </c>
    </row>
    <row r="48" spans="1:13" x14ac:dyDescent="0.25">
      <c r="A48" t="s">
        <v>466</v>
      </c>
      <c r="B48" s="3">
        <v>45701.253634259258</v>
      </c>
      <c r="C48" t="s">
        <v>92</v>
      </c>
      <c r="D48" s="3">
        <v>45701.835868055554</v>
      </c>
      <c r="E48" t="s">
        <v>92</v>
      </c>
      <c r="F48" s="4">
        <v>204.101</v>
      </c>
      <c r="G48" s="4">
        <v>416569.38299999997</v>
      </c>
      <c r="H48" s="4">
        <v>416773.484</v>
      </c>
      <c r="I48" s="5">
        <f>18637 / 86400</f>
        <v>0.21570601851851851</v>
      </c>
      <c r="J48" t="s">
        <v>40</v>
      </c>
      <c r="K48" t="s">
        <v>29</v>
      </c>
      <c r="L48" s="5">
        <f>49296 / 86400</f>
        <v>0.57055555555555559</v>
      </c>
      <c r="M48" s="5">
        <f>37101 / 86400</f>
        <v>0.42940972222222223</v>
      </c>
    </row>
    <row r="49" spans="1:13" x14ac:dyDescent="0.25">
      <c r="A49" t="s">
        <v>467</v>
      </c>
      <c r="B49" s="3">
        <v>45701.332268518519</v>
      </c>
      <c r="C49" t="s">
        <v>93</v>
      </c>
      <c r="D49" s="3">
        <v>45701.99998842593</v>
      </c>
      <c r="E49" t="s">
        <v>94</v>
      </c>
      <c r="F49" s="4">
        <v>139.05099999999999</v>
      </c>
      <c r="G49" s="4">
        <v>400545.94</v>
      </c>
      <c r="H49" s="4">
        <v>400684.99099999998</v>
      </c>
      <c r="I49" s="5">
        <f>8995 / 86400</f>
        <v>0.1041087962962963</v>
      </c>
      <c r="J49" t="s">
        <v>95</v>
      </c>
      <c r="K49" t="s">
        <v>20</v>
      </c>
      <c r="L49" s="5">
        <f>29256 / 86400</f>
        <v>0.33861111111111108</v>
      </c>
      <c r="M49" s="5">
        <f>57141 / 86400</f>
        <v>0.66135416666666669</v>
      </c>
    </row>
    <row r="50" spans="1:13" x14ac:dyDescent="0.25">
      <c r="A50" t="s">
        <v>468</v>
      </c>
      <c r="B50" s="3">
        <v>45701.305347222224</v>
      </c>
      <c r="C50" t="s">
        <v>27</v>
      </c>
      <c r="D50" s="3">
        <v>45701.848113425927</v>
      </c>
      <c r="E50" t="s">
        <v>27</v>
      </c>
      <c r="F50" s="4">
        <v>160.73500000000001</v>
      </c>
      <c r="G50" s="4">
        <v>382537.56800000003</v>
      </c>
      <c r="H50" s="4">
        <v>382698.30300000001</v>
      </c>
      <c r="I50" s="5">
        <f>10617 / 86400</f>
        <v>0.12288194444444445</v>
      </c>
      <c r="J50" t="s">
        <v>75</v>
      </c>
      <c r="K50" t="s">
        <v>20</v>
      </c>
      <c r="L50" s="5">
        <f>34124 / 86400</f>
        <v>0.3949537037037037</v>
      </c>
      <c r="M50" s="5">
        <f>52268 / 86400</f>
        <v>0.60495370370370372</v>
      </c>
    </row>
    <row r="51" spans="1:13" x14ac:dyDescent="0.25">
      <c r="A51" t="s">
        <v>469</v>
      </c>
      <c r="B51" s="3">
        <v>45701.192708333328</v>
      </c>
      <c r="C51" t="s">
        <v>18</v>
      </c>
      <c r="D51" s="3">
        <v>45701.980671296296</v>
      </c>
      <c r="E51" t="s">
        <v>18</v>
      </c>
      <c r="F51" s="4">
        <v>197.66799999999998</v>
      </c>
      <c r="G51" s="4">
        <v>546126.37899999996</v>
      </c>
      <c r="H51" s="4">
        <v>546324.04700000002</v>
      </c>
      <c r="I51" s="5">
        <f>14739 / 86400</f>
        <v>0.17059027777777777</v>
      </c>
      <c r="J51" t="s">
        <v>70</v>
      </c>
      <c r="K51" t="s">
        <v>51</v>
      </c>
      <c r="L51" s="5">
        <f>43137 / 86400</f>
        <v>0.49927083333333333</v>
      </c>
      <c r="M51" s="5">
        <f>43258 / 86400</f>
        <v>0.50067129629629625</v>
      </c>
    </row>
    <row r="52" spans="1:13" x14ac:dyDescent="0.25">
      <c r="A52" t="s">
        <v>470</v>
      </c>
      <c r="B52" s="3">
        <v>45701</v>
      </c>
      <c r="C52" t="s">
        <v>48</v>
      </c>
      <c r="D52" s="3">
        <v>45701.99600694445</v>
      </c>
      <c r="E52" t="s">
        <v>96</v>
      </c>
      <c r="F52" s="4">
        <v>317.18600000000004</v>
      </c>
      <c r="G52" s="4">
        <v>103666.243</v>
      </c>
      <c r="H52" s="4">
        <v>103983.429</v>
      </c>
      <c r="I52" s="5">
        <f>20504 / 86400</f>
        <v>0.23731481481481481</v>
      </c>
      <c r="J52" t="s">
        <v>97</v>
      </c>
      <c r="K52" t="s">
        <v>23</v>
      </c>
      <c r="L52" s="5">
        <f>60966 / 86400</f>
        <v>0.70562499999999995</v>
      </c>
      <c r="M52" s="5">
        <f>25433 / 86400</f>
        <v>0.2943634259259259</v>
      </c>
    </row>
    <row r="53" spans="1:13" x14ac:dyDescent="0.25">
      <c r="A53" t="s">
        <v>471</v>
      </c>
      <c r="B53" s="3">
        <v>45701.223136574074</v>
      </c>
      <c r="C53" t="s">
        <v>27</v>
      </c>
      <c r="D53" s="3">
        <v>45701.966921296298</v>
      </c>
      <c r="E53" t="s">
        <v>24</v>
      </c>
      <c r="F53" s="4">
        <v>221.595</v>
      </c>
      <c r="G53" s="4">
        <v>54254.082999999999</v>
      </c>
      <c r="H53" s="4">
        <v>54475.678</v>
      </c>
      <c r="I53" s="5">
        <f>14017 / 86400</f>
        <v>0.16223379629629631</v>
      </c>
      <c r="J53" t="s">
        <v>65</v>
      </c>
      <c r="K53" t="s">
        <v>76</v>
      </c>
      <c r="L53" s="5">
        <f>43513 / 86400</f>
        <v>0.50362268518518516</v>
      </c>
      <c r="M53" s="5">
        <f>42886 / 86400</f>
        <v>0.49636574074074075</v>
      </c>
    </row>
    <row r="54" spans="1:13" x14ac:dyDescent="0.25">
      <c r="A54" t="s">
        <v>472</v>
      </c>
      <c r="B54" s="3">
        <v>45701.245173611111</v>
      </c>
      <c r="C54" t="s">
        <v>98</v>
      </c>
      <c r="D54" s="3">
        <v>45701.782233796301</v>
      </c>
      <c r="E54" t="s">
        <v>99</v>
      </c>
      <c r="F54" s="4">
        <v>195.91800000000001</v>
      </c>
      <c r="G54" s="4">
        <v>45869.614000000001</v>
      </c>
      <c r="H54" s="4">
        <v>46065.531999999999</v>
      </c>
      <c r="I54" s="5">
        <f>15668 / 86400</f>
        <v>0.18134259259259258</v>
      </c>
      <c r="J54" t="s">
        <v>19</v>
      </c>
      <c r="K54" t="s">
        <v>20</v>
      </c>
      <c r="L54" s="5">
        <f>40962 / 86400</f>
        <v>0.47409722222222223</v>
      </c>
      <c r="M54" s="5">
        <f>45437 / 86400</f>
        <v>0.52589120370370368</v>
      </c>
    </row>
    <row r="55" spans="1:13" x14ac:dyDescent="0.25">
      <c r="A55" t="s">
        <v>473</v>
      </c>
      <c r="B55" s="3">
        <v>45701.160891203705</v>
      </c>
      <c r="C55" t="s">
        <v>100</v>
      </c>
      <c r="D55" s="3">
        <v>45701.773263888885</v>
      </c>
      <c r="E55" t="s">
        <v>100</v>
      </c>
      <c r="F55" s="4">
        <v>201.82499999999999</v>
      </c>
      <c r="G55" s="4">
        <v>78789.998000000007</v>
      </c>
      <c r="H55" s="4">
        <v>78991.823000000004</v>
      </c>
      <c r="I55" s="5">
        <f>13679 / 86400</f>
        <v>0.15832175925925926</v>
      </c>
      <c r="J55" t="s">
        <v>40</v>
      </c>
      <c r="K55" t="s">
        <v>76</v>
      </c>
      <c r="L55" s="5">
        <f>40660 / 86400</f>
        <v>0.47060185185185183</v>
      </c>
      <c r="M55" s="5">
        <f>45739 / 86400</f>
        <v>0.52938657407407408</v>
      </c>
    </row>
    <row r="56" spans="1:13" x14ac:dyDescent="0.25">
      <c r="A56" t="s">
        <v>474</v>
      </c>
      <c r="B56" s="3">
        <v>45701</v>
      </c>
      <c r="C56" t="s">
        <v>83</v>
      </c>
      <c r="D56" s="3">
        <v>45701.99998842593</v>
      </c>
      <c r="E56" t="s">
        <v>101</v>
      </c>
      <c r="F56" s="4">
        <v>333.67099999999999</v>
      </c>
      <c r="G56" s="4">
        <v>40212.591999999997</v>
      </c>
      <c r="H56" s="4">
        <v>40546.262999999999</v>
      </c>
      <c r="I56" s="5">
        <f>19485 / 86400</f>
        <v>0.22552083333333334</v>
      </c>
      <c r="J56" t="s">
        <v>87</v>
      </c>
      <c r="K56" t="s">
        <v>23</v>
      </c>
      <c r="L56" s="5">
        <f>64753 / 86400</f>
        <v>0.74945601851851851</v>
      </c>
      <c r="M56" s="5">
        <f>21646 / 86400</f>
        <v>0.2505324074074074</v>
      </c>
    </row>
    <row r="57" spans="1:13" x14ac:dyDescent="0.25">
      <c r="A57" t="s">
        <v>475</v>
      </c>
      <c r="B57" s="3">
        <v>45701</v>
      </c>
      <c r="C57" t="s">
        <v>102</v>
      </c>
      <c r="D57" s="3">
        <v>45701.861481481479</v>
      </c>
      <c r="E57" t="s">
        <v>103</v>
      </c>
      <c r="F57" s="4">
        <v>121.57900000000001</v>
      </c>
      <c r="G57" s="4">
        <v>192165.962</v>
      </c>
      <c r="H57" s="4">
        <v>192287.541</v>
      </c>
      <c r="I57" s="5">
        <f>9957 / 86400</f>
        <v>0.11524305555555556</v>
      </c>
      <c r="J57" t="s">
        <v>95</v>
      </c>
      <c r="K57" t="s">
        <v>43</v>
      </c>
      <c r="L57" s="5">
        <f>30304 / 86400</f>
        <v>0.35074074074074074</v>
      </c>
      <c r="M57" s="5">
        <f>56089 / 86400</f>
        <v>0.64917824074074071</v>
      </c>
    </row>
    <row r="58" spans="1:13" x14ac:dyDescent="0.25">
      <c r="A58" t="s">
        <v>476</v>
      </c>
      <c r="B58" s="3">
        <v>45701</v>
      </c>
      <c r="C58" t="s">
        <v>104</v>
      </c>
      <c r="D58" s="3">
        <v>45701.799641203703</v>
      </c>
      <c r="E58" t="s">
        <v>89</v>
      </c>
      <c r="F58" s="4">
        <v>205.315</v>
      </c>
      <c r="G58" s="4">
        <v>522845.21100000001</v>
      </c>
      <c r="H58" s="4">
        <v>523050.52600000001</v>
      </c>
      <c r="I58" s="5">
        <f>16454 / 86400</f>
        <v>0.19043981481481481</v>
      </c>
      <c r="J58" t="s">
        <v>105</v>
      </c>
      <c r="K58" t="s">
        <v>51</v>
      </c>
      <c r="L58" s="5">
        <f>45118 / 86400</f>
        <v>0.52219907407407407</v>
      </c>
      <c r="M58" s="5">
        <f>41278 / 86400</f>
        <v>0.47775462962962961</v>
      </c>
    </row>
    <row r="59" spans="1:13" x14ac:dyDescent="0.25">
      <c r="A59" t="s">
        <v>477</v>
      </c>
      <c r="B59" s="3">
        <v>45701.151944444442</v>
      </c>
      <c r="C59" t="s">
        <v>106</v>
      </c>
      <c r="D59" s="3">
        <v>45701.807175925926</v>
      </c>
      <c r="E59" t="s">
        <v>106</v>
      </c>
      <c r="F59" s="4">
        <v>213.446</v>
      </c>
      <c r="G59" s="4">
        <v>22826.422999999999</v>
      </c>
      <c r="H59" s="4">
        <v>23039.868999999999</v>
      </c>
      <c r="I59" s="5">
        <f>9774 / 86400</f>
        <v>0.113125</v>
      </c>
      <c r="J59" t="s">
        <v>107</v>
      </c>
      <c r="K59" t="s">
        <v>34</v>
      </c>
      <c r="L59" s="5">
        <f>38447 / 86400</f>
        <v>0.44498842592592591</v>
      </c>
      <c r="M59" s="5">
        <f>47948 / 86400</f>
        <v>0.55495370370370367</v>
      </c>
    </row>
    <row r="60" spans="1:13" x14ac:dyDescent="0.25">
      <c r="A60" t="s">
        <v>478</v>
      </c>
      <c r="B60" s="3">
        <v>45701.254618055551</v>
      </c>
      <c r="C60" t="s">
        <v>35</v>
      </c>
      <c r="D60" s="3">
        <v>45701.751805555556</v>
      </c>
      <c r="E60" t="s">
        <v>35</v>
      </c>
      <c r="F60" s="4">
        <v>165.12700000000001</v>
      </c>
      <c r="G60" s="4">
        <v>64005.578999999998</v>
      </c>
      <c r="H60" s="4">
        <v>64170.705999999998</v>
      </c>
      <c r="I60" s="5">
        <f>11499 / 86400</f>
        <v>0.13309027777777777</v>
      </c>
      <c r="J60" t="s">
        <v>42</v>
      </c>
      <c r="K60" t="s">
        <v>20</v>
      </c>
      <c r="L60" s="5">
        <f>35362 / 86400</f>
        <v>0.4092824074074074</v>
      </c>
      <c r="M60" s="5">
        <f>51034 / 86400</f>
        <v>0.59067129629629633</v>
      </c>
    </row>
    <row r="61" spans="1:13" x14ac:dyDescent="0.25">
      <c r="A61" t="s">
        <v>479</v>
      </c>
      <c r="B61" s="3">
        <v>45701.271990740745</v>
      </c>
      <c r="C61" t="s">
        <v>108</v>
      </c>
      <c r="D61" s="3">
        <v>45701.275937500002</v>
      </c>
      <c r="E61" t="s">
        <v>109</v>
      </c>
      <c r="F61" s="4">
        <v>2.5000000000000001E-2</v>
      </c>
      <c r="G61" s="4">
        <v>5444.4930000000004</v>
      </c>
      <c r="H61" s="4">
        <v>5444.518</v>
      </c>
      <c r="I61" s="5">
        <f>119 / 86400</f>
        <v>1.3773148148148147E-3</v>
      </c>
      <c r="J61" t="s">
        <v>110</v>
      </c>
      <c r="K61" t="s">
        <v>91</v>
      </c>
      <c r="L61" s="5">
        <f>181 / 86400</f>
        <v>2.0949074074074073E-3</v>
      </c>
      <c r="M61" s="5">
        <f>86216 / 86400</f>
        <v>0.99787037037037041</v>
      </c>
    </row>
    <row r="62" spans="1:13" x14ac:dyDescent="0.25">
      <c r="A62" t="s">
        <v>480</v>
      </c>
      <c r="B62" s="3">
        <v>45701</v>
      </c>
      <c r="C62" t="s">
        <v>111</v>
      </c>
      <c r="D62" s="3">
        <v>45701.99998842593</v>
      </c>
      <c r="E62" t="s">
        <v>112</v>
      </c>
      <c r="F62" s="4">
        <v>176.21899999999999</v>
      </c>
      <c r="G62" s="4">
        <v>407943.33100000001</v>
      </c>
      <c r="H62" s="4">
        <v>408119.55</v>
      </c>
      <c r="I62" s="5">
        <f>9042 / 86400</f>
        <v>0.10465277777777778</v>
      </c>
      <c r="J62" t="s">
        <v>53</v>
      </c>
      <c r="K62" t="s">
        <v>34</v>
      </c>
      <c r="L62" s="5">
        <f>31778 / 86400</f>
        <v>0.36780092592592595</v>
      </c>
      <c r="M62" s="5">
        <f>54613 / 86400</f>
        <v>0.63209490740740737</v>
      </c>
    </row>
    <row r="63" spans="1:13" x14ac:dyDescent="0.25">
      <c r="A63" t="s">
        <v>481</v>
      </c>
      <c r="B63" s="3">
        <v>45701</v>
      </c>
      <c r="C63" t="s">
        <v>113</v>
      </c>
      <c r="D63" s="3">
        <v>45701.99998842593</v>
      </c>
      <c r="E63" t="s">
        <v>114</v>
      </c>
      <c r="F63" s="4">
        <v>261.80899999999997</v>
      </c>
      <c r="G63" s="4">
        <v>550051.10900000005</v>
      </c>
      <c r="H63" s="4">
        <v>550312.91799999995</v>
      </c>
      <c r="I63" s="5">
        <f>19800 / 86400</f>
        <v>0.22916666666666666</v>
      </c>
      <c r="J63" t="s">
        <v>115</v>
      </c>
      <c r="K63" t="s">
        <v>20</v>
      </c>
      <c r="L63" s="5">
        <f>56998 / 86400</f>
        <v>0.65969907407407402</v>
      </c>
      <c r="M63" s="5">
        <f>29398 / 86400</f>
        <v>0.34025462962962966</v>
      </c>
    </row>
    <row r="64" spans="1:13" x14ac:dyDescent="0.25">
      <c r="A64" t="s">
        <v>482</v>
      </c>
      <c r="B64" s="3">
        <v>45701.575740740736</v>
      </c>
      <c r="C64" t="s">
        <v>116</v>
      </c>
      <c r="D64" s="3">
        <v>45701.99998842593</v>
      </c>
      <c r="E64" t="s">
        <v>72</v>
      </c>
      <c r="F64" s="4">
        <v>635.48500000000001</v>
      </c>
      <c r="G64" s="4">
        <v>52118.114999999998</v>
      </c>
      <c r="H64" s="4">
        <v>52753.599999999999</v>
      </c>
      <c r="I64" s="5">
        <f>8413 / 86400</f>
        <v>9.7372685185185187E-2</v>
      </c>
      <c r="J64" t="s">
        <v>87</v>
      </c>
      <c r="K64" t="s">
        <v>97</v>
      </c>
      <c r="L64" s="5">
        <f>25102 / 86400</f>
        <v>0.29053240740740743</v>
      </c>
      <c r="M64" s="5">
        <f>61292 / 86400</f>
        <v>0.70939814814814817</v>
      </c>
    </row>
    <row r="65" spans="1:13" x14ac:dyDescent="0.25">
      <c r="A65" t="s">
        <v>483</v>
      </c>
      <c r="B65" s="3">
        <v>45701</v>
      </c>
      <c r="C65" t="s">
        <v>72</v>
      </c>
      <c r="D65" s="3">
        <v>45701.99998842593</v>
      </c>
      <c r="E65" t="s">
        <v>72</v>
      </c>
      <c r="F65" s="4">
        <v>136.08600000000001</v>
      </c>
      <c r="G65" s="4">
        <v>59363.000999999997</v>
      </c>
      <c r="H65" s="4">
        <v>59499.087</v>
      </c>
      <c r="I65" s="5">
        <f>10557 / 86400</f>
        <v>0.1221875</v>
      </c>
      <c r="J65" t="s">
        <v>19</v>
      </c>
      <c r="K65" t="s">
        <v>20</v>
      </c>
      <c r="L65" s="5">
        <f>29643 / 86400</f>
        <v>0.34309027777777779</v>
      </c>
      <c r="M65" s="5">
        <f>56755 / 86400</f>
        <v>0.65688657407407403</v>
      </c>
    </row>
    <row r="66" spans="1:13" x14ac:dyDescent="0.25">
      <c r="A66" t="s">
        <v>484</v>
      </c>
      <c r="B66" s="3">
        <v>45701.026736111111</v>
      </c>
      <c r="C66" t="s">
        <v>18</v>
      </c>
      <c r="D66" s="3">
        <v>45701.99998842593</v>
      </c>
      <c r="E66" t="s">
        <v>117</v>
      </c>
      <c r="F66" s="4">
        <v>336.58199999999999</v>
      </c>
      <c r="G66" s="4">
        <v>62865.841999999997</v>
      </c>
      <c r="H66" s="4">
        <v>63202.423999999999</v>
      </c>
      <c r="I66" s="5">
        <f>21067 / 86400</f>
        <v>0.24383101851851852</v>
      </c>
      <c r="J66" t="s">
        <v>46</v>
      </c>
      <c r="K66" t="s">
        <v>76</v>
      </c>
      <c r="L66" s="5">
        <f>65549 / 86400</f>
        <v>0.75866898148148143</v>
      </c>
      <c r="M66" s="5">
        <f>20848 / 86400</f>
        <v>0.24129629629629629</v>
      </c>
    </row>
    <row r="67" spans="1:13" x14ac:dyDescent="0.25">
      <c r="A67" t="s">
        <v>485</v>
      </c>
      <c r="B67" s="3">
        <v>45701.456469907411</v>
      </c>
      <c r="C67" t="s">
        <v>118</v>
      </c>
      <c r="D67" s="3">
        <v>45701.99998842593</v>
      </c>
      <c r="E67" t="s">
        <v>119</v>
      </c>
      <c r="F67" s="4">
        <v>158.70400000000001</v>
      </c>
      <c r="G67" s="4">
        <v>291648.19400000002</v>
      </c>
      <c r="H67" s="4">
        <v>291806.89799999999</v>
      </c>
      <c r="I67" s="5">
        <f>25457 / 86400</f>
        <v>0.29464120370370372</v>
      </c>
      <c r="J67" t="s">
        <v>50</v>
      </c>
      <c r="K67" t="s">
        <v>120</v>
      </c>
      <c r="L67" s="5">
        <f>46960 / 86400</f>
        <v>0.54351851851851851</v>
      </c>
      <c r="M67" s="5">
        <f>39439 / 86400</f>
        <v>0.45646990740740739</v>
      </c>
    </row>
    <row r="68" spans="1:13" x14ac:dyDescent="0.25">
      <c r="A68" s="6" t="s">
        <v>121</v>
      </c>
      <c r="B68" s="6" t="s">
        <v>122</v>
      </c>
      <c r="C68" s="6" t="s">
        <v>122</v>
      </c>
      <c r="D68" s="6" t="s">
        <v>122</v>
      </c>
      <c r="E68" s="6" t="s">
        <v>122</v>
      </c>
      <c r="F68" s="7">
        <v>11666.569536320627</v>
      </c>
      <c r="G68" s="6" t="s">
        <v>122</v>
      </c>
      <c r="H68" s="6" t="s">
        <v>122</v>
      </c>
      <c r="I68" s="8">
        <f>812758 / 86400</f>
        <v>9.4069212962962965</v>
      </c>
      <c r="J68" s="6" t="s">
        <v>122</v>
      </c>
      <c r="K68" s="6" t="s">
        <v>122</v>
      </c>
      <c r="L68" s="8">
        <f>2400432 / 86400</f>
        <v>27.782777777777778</v>
      </c>
      <c r="M68" s="8">
        <f>2869672 / 86400</f>
        <v>33.213796296296294</v>
      </c>
    </row>
    <row r="69" spans="1:13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</row>
    <row r="70" spans="1:13" s="9" customFormat="1" x14ac:dyDescent="0.25">
      <c r="A70" s="15" t="s">
        <v>123</v>
      </c>
      <c r="B70" s="15"/>
      <c r="C70" s="15"/>
      <c r="D70" s="15"/>
      <c r="E70" s="15"/>
      <c r="F70" s="15"/>
      <c r="G70" s="15"/>
      <c r="H70" s="15"/>
      <c r="I70" s="15"/>
      <c r="J70" s="15"/>
    </row>
    <row r="71" spans="1:13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</row>
    <row r="72" spans="1:13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</row>
    <row r="73" spans="1:13" s="10" customFormat="1" ht="20.100000000000001" customHeight="1" x14ac:dyDescent="0.35">
      <c r="A73" s="12" t="s">
        <v>425</v>
      </c>
      <c r="B73" s="12"/>
      <c r="C73" s="12"/>
      <c r="D73" s="12"/>
      <c r="E73" s="12"/>
      <c r="F73" s="12"/>
      <c r="G73" s="12"/>
      <c r="H73" s="12"/>
      <c r="I73" s="12"/>
      <c r="J73" s="12"/>
    </row>
    <row r="74" spans="1:13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</row>
    <row r="75" spans="1:13" ht="30" x14ac:dyDescent="0.25">
      <c r="A75" s="2" t="s">
        <v>5</v>
      </c>
      <c r="B75" s="2" t="s">
        <v>6</v>
      </c>
      <c r="C75" s="2" t="s">
        <v>7</v>
      </c>
      <c r="D75" s="2" t="s">
        <v>8</v>
      </c>
      <c r="E75" s="2" t="s">
        <v>9</v>
      </c>
      <c r="F75" s="2" t="s">
        <v>10</v>
      </c>
      <c r="G75" s="2" t="s">
        <v>11</v>
      </c>
      <c r="H75" s="2" t="s">
        <v>12</v>
      </c>
      <c r="I75" s="2" t="s">
        <v>13</v>
      </c>
      <c r="J75" s="2" t="s">
        <v>14</v>
      </c>
      <c r="K75" s="2" t="s">
        <v>15</v>
      </c>
      <c r="L75" s="2" t="s">
        <v>16</v>
      </c>
    </row>
    <row r="76" spans="1:13" x14ac:dyDescent="0.25">
      <c r="A76" s="3">
        <v>45701.179386574076</v>
      </c>
      <c r="B76" t="s">
        <v>17</v>
      </c>
      <c r="C76" s="3">
        <v>45701.18277777778</v>
      </c>
      <c r="D76" t="s">
        <v>17</v>
      </c>
      <c r="E76" s="4">
        <v>4.1000000000000002E-2</v>
      </c>
      <c r="F76" s="4">
        <v>514138.86599999998</v>
      </c>
      <c r="G76" s="4">
        <v>514138.90700000001</v>
      </c>
      <c r="H76" s="5">
        <f>219 / 86400</f>
        <v>2.5347222222222221E-3</v>
      </c>
      <c r="I76" t="s">
        <v>124</v>
      </c>
      <c r="J76" t="s">
        <v>125</v>
      </c>
      <c r="K76" s="5">
        <f>293 / 86400</f>
        <v>3.3912037037037036E-3</v>
      </c>
      <c r="L76" s="5">
        <f>21564 / 86400</f>
        <v>0.24958333333333332</v>
      </c>
    </row>
    <row r="77" spans="1:13" x14ac:dyDescent="0.25">
      <c r="A77" s="3">
        <v>45701.252974537041</v>
      </c>
      <c r="B77" t="s">
        <v>17</v>
      </c>
      <c r="C77" s="3">
        <v>45701.255543981482</v>
      </c>
      <c r="D77" t="s">
        <v>126</v>
      </c>
      <c r="E77" s="4">
        <v>0.59499999999999997</v>
      </c>
      <c r="F77" s="4">
        <v>514138.90700000001</v>
      </c>
      <c r="G77" s="4">
        <v>514139.50199999998</v>
      </c>
      <c r="H77" s="5">
        <f>99 / 86400</f>
        <v>1.1458333333333333E-3</v>
      </c>
      <c r="I77" t="s">
        <v>127</v>
      </c>
      <c r="J77" t="s">
        <v>128</v>
      </c>
      <c r="K77" s="5">
        <f>222 / 86400</f>
        <v>2.5694444444444445E-3</v>
      </c>
      <c r="L77" s="5">
        <f>2468 / 86400</f>
        <v>2.8564814814814814E-2</v>
      </c>
    </row>
    <row r="78" spans="1:13" x14ac:dyDescent="0.25">
      <c r="A78" s="3">
        <v>45701.284108796295</v>
      </c>
      <c r="B78" t="s">
        <v>129</v>
      </c>
      <c r="C78" s="3">
        <v>45701.288541666669</v>
      </c>
      <c r="D78" t="s">
        <v>17</v>
      </c>
      <c r="E78" s="4">
        <v>0.86399999999999999</v>
      </c>
      <c r="F78" s="4">
        <v>514139.50199999998</v>
      </c>
      <c r="G78" s="4">
        <v>514140.36599999998</v>
      </c>
      <c r="H78" s="5">
        <f>119 / 86400</f>
        <v>1.3773148148148147E-3</v>
      </c>
      <c r="I78" t="s">
        <v>130</v>
      </c>
      <c r="J78" t="s">
        <v>90</v>
      </c>
      <c r="K78" s="5">
        <f>383 / 86400</f>
        <v>4.43287037037037E-3</v>
      </c>
      <c r="L78" s="5">
        <f>479 / 86400</f>
        <v>5.5439814814814813E-3</v>
      </c>
    </row>
    <row r="79" spans="1:13" x14ac:dyDescent="0.25">
      <c r="A79" s="3">
        <v>45701.294085648144</v>
      </c>
      <c r="B79" t="s">
        <v>17</v>
      </c>
      <c r="C79" s="3">
        <v>45701.366064814814</v>
      </c>
      <c r="D79" t="s">
        <v>131</v>
      </c>
      <c r="E79" s="4">
        <v>38.182000000000002</v>
      </c>
      <c r="F79" s="4">
        <v>514140.36599999998</v>
      </c>
      <c r="G79" s="4">
        <v>514178.54800000001</v>
      </c>
      <c r="H79" s="5">
        <f>1319 / 86400</f>
        <v>1.5266203703703704E-2</v>
      </c>
      <c r="I79" t="s">
        <v>55</v>
      </c>
      <c r="J79" t="s">
        <v>132</v>
      </c>
      <c r="K79" s="5">
        <f>6219 / 86400</f>
        <v>7.1979166666666664E-2</v>
      </c>
      <c r="L79" s="5">
        <f>1368 / 86400</f>
        <v>1.5833333333333335E-2</v>
      </c>
    </row>
    <row r="80" spans="1:13" x14ac:dyDescent="0.25">
      <c r="A80" s="3">
        <v>45701.381898148145</v>
      </c>
      <c r="B80" t="s">
        <v>133</v>
      </c>
      <c r="C80" s="3">
        <v>45701.381979166668</v>
      </c>
      <c r="D80" t="s">
        <v>133</v>
      </c>
      <c r="E80" s="4">
        <v>0</v>
      </c>
      <c r="F80" s="4">
        <v>514178.54800000001</v>
      </c>
      <c r="G80" s="4">
        <v>514178.54800000001</v>
      </c>
      <c r="H80" s="5">
        <f>0 / 86400</f>
        <v>0</v>
      </c>
      <c r="I80" t="s">
        <v>91</v>
      </c>
      <c r="J80" t="s">
        <v>91</v>
      </c>
      <c r="K80" s="5">
        <f>7 / 86400</f>
        <v>8.1018518518518516E-5</v>
      </c>
      <c r="L80" s="5">
        <f>947 / 86400</f>
        <v>1.0960648148148148E-2</v>
      </c>
    </row>
    <row r="81" spans="1:12" x14ac:dyDescent="0.25">
      <c r="A81" s="3">
        <v>45701.392939814818</v>
      </c>
      <c r="B81" t="s">
        <v>131</v>
      </c>
      <c r="C81" s="3">
        <v>45701.39534722222</v>
      </c>
      <c r="D81" t="s">
        <v>134</v>
      </c>
      <c r="E81" s="4">
        <v>0.46500000000000002</v>
      </c>
      <c r="F81" s="4">
        <v>514178.54800000001</v>
      </c>
      <c r="G81" s="4">
        <v>514179.01299999998</v>
      </c>
      <c r="H81" s="5">
        <f>60 / 86400</f>
        <v>6.9444444444444447E-4</v>
      </c>
      <c r="I81" t="s">
        <v>135</v>
      </c>
      <c r="J81" t="s">
        <v>90</v>
      </c>
      <c r="K81" s="5">
        <f>208 / 86400</f>
        <v>2.4074074074074076E-3</v>
      </c>
      <c r="L81" s="5">
        <f>2477 / 86400</f>
        <v>2.8668981481481483E-2</v>
      </c>
    </row>
    <row r="82" spans="1:12" x14ac:dyDescent="0.25">
      <c r="A82" s="3">
        <v>45701.424016203702</v>
      </c>
      <c r="B82" t="s">
        <v>134</v>
      </c>
      <c r="C82" s="3">
        <v>45701.533402777779</v>
      </c>
      <c r="D82" t="s">
        <v>136</v>
      </c>
      <c r="E82" s="4">
        <v>50.853000000000002</v>
      </c>
      <c r="F82" s="4">
        <v>514179.01299999998</v>
      </c>
      <c r="G82" s="4">
        <v>514229.86599999998</v>
      </c>
      <c r="H82" s="5">
        <f>2341 / 86400</f>
        <v>2.7094907407407408E-2</v>
      </c>
      <c r="I82" t="s">
        <v>19</v>
      </c>
      <c r="J82" t="s">
        <v>23</v>
      </c>
      <c r="K82" s="5">
        <f>9450 / 86400</f>
        <v>0.109375</v>
      </c>
      <c r="L82" s="5">
        <f>281 / 86400</f>
        <v>3.2523148148148147E-3</v>
      </c>
    </row>
    <row r="83" spans="1:12" x14ac:dyDescent="0.25">
      <c r="A83" s="3">
        <v>45701.536655092597</v>
      </c>
      <c r="B83" t="s">
        <v>136</v>
      </c>
      <c r="C83" s="3">
        <v>45701.539942129632</v>
      </c>
      <c r="D83" t="s">
        <v>137</v>
      </c>
      <c r="E83" s="4">
        <v>0.61</v>
      </c>
      <c r="F83" s="4">
        <v>514229.86599999998</v>
      </c>
      <c r="G83" s="4">
        <v>514230.47600000002</v>
      </c>
      <c r="H83" s="5">
        <f>80 / 86400</f>
        <v>9.2592592592592596E-4</v>
      </c>
      <c r="I83" t="s">
        <v>138</v>
      </c>
      <c r="J83" t="s">
        <v>90</v>
      </c>
      <c r="K83" s="5">
        <f>283 / 86400</f>
        <v>3.2754629629629631E-3</v>
      </c>
      <c r="L83" s="5">
        <f>730 / 86400</f>
        <v>8.4490740740740741E-3</v>
      </c>
    </row>
    <row r="84" spans="1:12" x14ac:dyDescent="0.25">
      <c r="A84" s="3">
        <v>45701.548391203702</v>
      </c>
      <c r="B84" t="s">
        <v>137</v>
      </c>
      <c r="C84" s="3">
        <v>45701.554803240739</v>
      </c>
      <c r="D84" t="s">
        <v>139</v>
      </c>
      <c r="E84" s="4">
        <v>1.4059999999999999</v>
      </c>
      <c r="F84" s="4">
        <v>514230.47600000002</v>
      </c>
      <c r="G84" s="4">
        <v>514231.88199999998</v>
      </c>
      <c r="H84" s="5">
        <f>160 / 86400</f>
        <v>1.8518518518518519E-3</v>
      </c>
      <c r="I84" t="s">
        <v>135</v>
      </c>
      <c r="J84" t="s">
        <v>140</v>
      </c>
      <c r="K84" s="5">
        <f>553 / 86400</f>
        <v>6.4004629629629628E-3</v>
      </c>
      <c r="L84" s="5">
        <f>974 / 86400</f>
        <v>1.1273148148148148E-2</v>
      </c>
    </row>
    <row r="85" spans="1:12" x14ac:dyDescent="0.25">
      <c r="A85" s="3">
        <v>45701.566076388888</v>
      </c>
      <c r="B85" t="s">
        <v>139</v>
      </c>
      <c r="C85" s="3">
        <v>45701.631574074076</v>
      </c>
      <c r="D85" t="s">
        <v>129</v>
      </c>
      <c r="E85" s="4">
        <v>19.21</v>
      </c>
      <c r="F85" s="4">
        <v>514231.88199999998</v>
      </c>
      <c r="G85" s="4">
        <v>514251.092</v>
      </c>
      <c r="H85" s="5">
        <f>2161 / 86400</f>
        <v>2.5011574074074075E-2</v>
      </c>
      <c r="I85" t="s">
        <v>68</v>
      </c>
      <c r="J85" t="s">
        <v>120</v>
      </c>
      <c r="K85" s="5">
        <f>5659 / 86400</f>
        <v>6.5497685185185187E-2</v>
      </c>
      <c r="L85" s="5">
        <f>423 / 86400</f>
        <v>4.8958333333333336E-3</v>
      </c>
    </row>
    <row r="86" spans="1:12" x14ac:dyDescent="0.25">
      <c r="A86" s="3">
        <v>45701.636469907404</v>
      </c>
      <c r="B86" t="s">
        <v>129</v>
      </c>
      <c r="C86" s="3">
        <v>45701.636666666665</v>
      </c>
      <c r="D86" t="s">
        <v>129</v>
      </c>
      <c r="E86" s="4">
        <v>6.0000000000000001E-3</v>
      </c>
      <c r="F86" s="4">
        <v>514251.092</v>
      </c>
      <c r="G86" s="4">
        <v>514251.098</v>
      </c>
      <c r="H86" s="5">
        <f>0 / 86400</f>
        <v>0</v>
      </c>
      <c r="I86" t="s">
        <v>37</v>
      </c>
      <c r="J86" t="s">
        <v>125</v>
      </c>
      <c r="K86" s="5">
        <f>17 / 86400</f>
        <v>1.9675925925925926E-4</v>
      </c>
      <c r="L86" s="5">
        <f>1053 / 86400</f>
        <v>1.21875E-2</v>
      </c>
    </row>
    <row r="87" spans="1:12" x14ac:dyDescent="0.25">
      <c r="A87" s="3">
        <v>45701.648854166662</v>
      </c>
      <c r="B87" t="s">
        <v>129</v>
      </c>
      <c r="C87" s="3">
        <v>45701.655555555553</v>
      </c>
      <c r="D87" t="s">
        <v>141</v>
      </c>
      <c r="E87" s="4">
        <v>2.5880000000000001</v>
      </c>
      <c r="F87" s="4">
        <v>514251.098</v>
      </c>
      <c r="G87" s="4">
        <v>514253.68599999999</v>
      </c>
      <c r="H87" s="5">
        <f>60 / 86400</f>
        <v>6.9444444444444447E-4</v>
      </c>
      <c r="I87" t="s">
        <v>71</v>
      </c>
      <c r="J87" t="s">
        <v>51</v>
      </c>
      <c r="K87" s="5">
        <f>578 / 86400</f>
        <v>6.6898148148148151E-3</v>
      </c>
      <c r="L87" s="5">
        <f>5624 / 86400</f>
        <v>6.5092592592592591E-2</v>
      </c>
    </row>
    <row r="88" spans="1:12" x14ac:dyDescent="0.25">
      <c r="A88" s="3">
        <v>45701.720648148148</v>
      </c>
      <c r="B88" t="s">
        <v>141</v>
      </c>
      <c r="C88" s="3">
        <v>45701.889733796299</v>
      </c>
      <c r="D88" t="s">
        <v>142</v>
      </c>
      <c r="E88" s="4">
        <v>79.263999999999996</v>
      </c>
      <c r="F88" s="4">
        <v>514253.68599999999</v>
      </c>
      <c r="G88" s="4">
        <v>514332.95</v>
      </c>
      <c r="H88" s="5">
        <f>3840 / 86400</f>
        <v>4.4444444444444446E-2</v>
      </c>
      <c r="I88" t="s">
        <v>19</v>
      </c>
      <c r="J88" t="s">
        <v>34</v>
      </c>
      <c r="K88" s="5">
        <f>14609 / 86400</f>
        <v>0.16908564814814814</v>
      </c>
      <c r="L88" s="5">
        <f>666 / 86400</f>
        <v>7.7083333333333335E-3</v>
      </c>
    </row>
    <row r="89" spans="1:12" x14ac:dyDescent="0.25">
      <c r="A89" s="3">
        <v>45701.89744212963</v>
      </c>
      <c r="B89" t="s">
        <v>142</v>
      </c>
      <c r="C89" s="3">
        <v>45701.909016203703</v>
      </c>
      <c r="D89" t="s">
        <v>73</v>
      </c>
      <c r="E89" s="4">
        <v>4.9960000000000004</v>
      </c>
      <c r="F89" s="4">
        <v>514332.95</v>
      </c>
      <c r="G89" s="4">
        <v>514337.946</v>
      </c>
      <c r="H89" s="5">
        <f>119 / 86400</f>
        <v>1.3773148148148147E-3</v>
      </c>
      <c r="I89" t="s">
        <v>143</v>
      </c>
      <c r="J89" t="s">
        <v>76</v>
      </c>
      <c r="K89" s="5">
        <f>999 / 86400</f>
        <v>1.15625E-2</v>
      </c>
      <c r="L89" s="5">
        <f>1884 / 86400</f>
        <v>2.1805555555555557E-2</v>
      </c>
    </row>
    <row r="90" spans="1:12" x14ac:dyDescent="0.25">
      <c r="A90" s="3">
        <v>45701.930821759262</v>
      </c>
      <c r="B90" t="s">
        <v>73</v>
      </c>
      <c r="C90" s="3">
        <v>45701.99998842593</v>
      </c>
      <c r="D90" t="s">
        <v>18</v>
      </c>
      <c r="E90" s="4">
        <v>16.998999999999999</v>
      </c>
      <c r="F90" s="4">
        <v>514337.946</v>
      </c>
      <c r="G90" s="4">
        <v>514354.94500000001</v>
      </c>
      <c r="H90" s="5">
        <f>1480 / 86400</f>
        <v>1.712962962962963E-2</v>
      </c>
      <c r="I90" t="s">
        <v>132</v>
      </c>
      <c r="J90" t="s">
        <v>128</v>
      </c>
      <c r="K90" s="5">
        <f>5976 / 86400</f>
        <v>6.9166666666666668E-2</v>
      </c>
      <c r="L90" s="5">
        <f>0 / 86400</f>
        <v>0</v>
      </c>
    </row>
    <row r="91" spans="1:12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</row>
    <row r="92" spans="1:12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</row>
    <row r="93" spans="1:12" s="10" customFormat="1" ht="20.100000000000001" customHeight="1" x14ac:dyDescent="0.35">
      <c r="A93" s="12" t="s">
        <v>426</v>
      </c>
      <c r="B93" s="12"/>
      <c r="C93" s="12"/>
      <c r="D93" s="12"/>
      <c r="E93" s="12"/>
      <c r="F93" s="12"/>
      <c r="G93" s="12"/>
      <c r="H93" s="12"/>
      <c r="I93" s="12"/>
      <c r="J93" s="12"/>
    </row>
    <row r="94" spans="1:12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</row>
    <row r="95" spans="1:12" ht="30" x14ac:dyDescent="0.25">
      <c r="A95" s="2" t="s">
        <v>5</v>
      </c>
      <c r="B95" s="2" t="s">
        <v>6</v>
      </c>
      <c r="C95" s="2" t="s">
        <v>7</v>
      </c>
      <c r="D95" s="2" t="s">
        <v>8</v>
      </c>
      <c r="E95" s="2" t="s">
        <v>9</v>
      </c>
      <c r="F95" s="2" t="s">
        <v>10</v>
      </c>
      <c r="G95" s="2" t="s">
        <v>11</v>
      </c>
      <c r="H95" s="2" t="s">
        <v>12</v>
      </c>
      <c r="I95" s="2" t="s">
        <v>13</v>
      </c>
      <c r="J95" s="2" t="s">
        <v>14</v>
      </c>
      <c r="K95" s="2" t="s">
        <v>15</v>
      </c>
      <c r="L95" s="2" t="s">
        <v>16</v>
      </c>
    </row>
    <row r="96" spans="1:12" x14ac:dyDescent="0.25">
      <c r="A96" s="3">
        <v>45701.09783564815</v>
      </c>
      <c r="B96" t="s">
        <v>21</v>
      </c>
      <c r="C96" s="3">
        <v>45701.292557870373</v>
      </c>
      <c r="D96" t="s">
        <v>131</v>
      </c>
      <c r="E96" s="4">
        <v>101.95099999999999</v>
      </c>
      <c r="F96" s="4">
        <v>19140.677</v>
      </c>
      <c r="G96" s="4">
        <v>19242.628000000001</v>
      </c>
      <c r="H96" s="5">
        <f>4799 / 86400</f>
        <v>5.5543981481481479E-2</v>
      </c>
      <c r="I96" t="s">
        <v>42</v>
      </c>
      <c r="J96" t="s">
        <v>132</v>
      </c>
      <c r="K96" s="5">
        <f>16824 / 86400</f>
        <v>0.19472222222222221</v>
      </c>
      <c r="L96" s="5">
        <f>8533 / 86400</f>
        <v>9.8761574074074071E-2</v>
      </c>
    </row>
    <row r="97" spans="1:12" x14ac:dyDescent="0.25">
      <c r="A97" s="3">
        <v>45701.293483796297</v>
      </c>
      <c r="B97" t="s">
        <v>131</v>
      </c>
      <c r="C97" s="3">
        <v>45701.293773148151</v>
      </c>
      <c r="D97" t="s">
        <v>131</v>
      </c>
      <c r="E97" s="4">
        <v>1.9E-2</v>
      </c>
      <c r="F97" s="4">
        <v>19242.628000000001</v>
      </c>
      <c r="G97" s="4">
        <v>19242.647000000001</v>
      </c>
      <c r="H97" s="5">
        <f>19 / 86400</f>
        <v>2.199074074074074E-4</v>
      </c>
      <c r="I97" t="s">
        <v>91</v>
      </c>
      <c r="J97" t="s">
        <v>124</v>
      </c>
      <c r="K97" s="5">
        <f>25 / 86400</f>
        <v>2.8935185185185184E-4</v>
      </c>
      <c r="L97" s="5">
        <f>1474 / 86400</f>
        <v>1.7060185185185185E-2</v>
      </c>
    </row>
    <row r="98" spans="1:12" x14ac:dyDescent="0.25">
      <c r="A98" s="3">
        <v>45701.310833333337</v>
      </c>
      <c r="B98" t="s">
        <v>131</v>
      </c>
      <c r="C98" s="3">
        <v>45701.310983796298</v>
      </c>
      <c r="D98" t="s">
        <v>131</v>
      </c>
      <c r="E98" s="4">
        <v>8.9999999999999993E-3</v>
      </c>
      <c r="F98" s="4">
        <v>19242.647000000001</v>
      </c>
      <c r="G98" s="4">
        <v>19242.655999999999</v>
      </c>
      <c r="H98" s="5">
        <f>0 / 86400</f>
        <v>0</v>
      </c>
      <c r="I98" t="s">
        <v>37</v>
      </c>
      <c r="J98" t="s">
        <v>110</v>
      </c>
      <c r="K98" s="5">
        <f>13 / 86400</f>
        <v>1.5046296296296297E-4</v>
      </c>
      <c r="L98" s="5">
        <f>1140 / 86400</f>
        <v>1.3194444444444444E-2</v>
      </c>
    </row>
    <row r="99" spans="1:12" x14ac:dyDescent="0.25">
      <c r="A99" s="3">
        <v>45701.324178240742</v>
      </c>
      <c r="B99" t="s">
        <v>131</v>
      </c>
      <c r="C99" s="3">
        <v>45701.329918981486</v>
      </c>
      <c r="D99" t="s">
        <v>144</v>
      </c>
      <c r="E99" s="4">
        <v>1.643</v>
      </c>
      <c r="F99" s="4">
        <v>19242.655999999999</v>
      </c>
      <c r="G99" s="4">
        <v>19244.298999999999</v>
      </c>
      <c r="H99" s="5">
        <f>120 / 86400</f>
        <v>1.3888888888888889E-3</v>
      </c>
      <c r="I99" t="s">
        <v>145</v>
      </c>
      <c r="J99" t="s">
        <v>120</v>
      </c>
      <c r="K99" s="5">
        <f>496 / 86400</f>
        <v>5.7407407407407407E-3</v>
      </c>
      <c r="L99" s="5">
        <f>565 / 86400</f>
        <v>6.5393518518518517E-3</v>
      </c>
    </row>
    <row r="100" spans="1:12" x14ac:dyDescent="0.25">
      <c r="A100" s="3">
        <v>45701.336458333331</v>
      </c>
      <c r="B100" t="s">
        <v>146</v>
      </c>
      <c r="C100" s="3">
        <v>45701.339143518519</v>
      </c>
      <c r="D100" t="s">
        <v>18</v>
      </c>
      <c r="E100" s="4">
        <v>0.311</v>
      </c>
      <c r="F100" s="4">
        <v>19244.298999999999</v>
      </c>
      <c r="G100" s="4">
        <v>19244.61</v>
      </c>
      <c r="H100" s="5">
        <f>99 / 86400</f>
        <v>1.1458333333333333E-3</v>
      </c>
      <c r="I100" t="s">
        <v>23</v>
      </c>
      <c r="J100" t="s">
        <v>37</v>
      </c>
      <c r="K100" s="5">
        <f>232 / 86400</f>
        <v>2.685185185185185E-3</v>
      </c>
      <c r="L100" s="5">
        <f>2845 / 86400</f>
        <v>3.2928240740740744E-2</v>
      </c>
    </row>
    <row r="101" spans="1:12" x14ac:dyDescent="0.25">
      <c r="A101" s="3">
        <v>45701.372071759259</v>
      </c>
      <c r="B101" t="s">
        <v>18</v>
      </c>
      <c r="C101" s="3">
        <v>45701.372881944444</v>
      </c>
      <c r="D101" t="s">
        <v>18</v>
      </c>
      <c r="E101" s="4">
        <v>0.03</v>
      </c>
      <c r="F101" s="4">
        <v>19244.61</v>
      </c>
      <c r="G101" s="4">
        <v>19244.64</v>
      </c>
      <c r="H101" s="5">
        <f>40 / 86400</f>
        <v>4.6296296296296298E-4</v>
      </c>
      <c r="I101" t="s">
        <v>125</v>
      </c>
      <c r="J101" t="s">
        <v>110</v>
      </c>
      <c r="K101" s="5">
        <f>69 / 86400</f>
        <v>7.9861111111111116E-4</v>
      </c>
      <c r="L101" s="5">
        <f>607 / 86400</f>
        <v>7.0254629629629634E-3</v>
      </c>
    </row>
    <row r="102" spans="1:12" x14ac:dyDescent="0.25">
      <c r="A102" s="3">
        <v>45701.379907407405</v>
      </c>
      <c r="B102" t="s">
        <v>18</v>
      </c>
      <c r="C102" s="3">
        <v>45701.381990740745</v>
      </c>
      <c r="D102" t="s">
        <v>147</v>
      </c>
      <c r="E102" s="4">
        <v>0.53500000000000003</v>
      </c>
      <c r="F102" s="4">
        <v>19244.64</v>
      </c>
      <c r="G102" s="4">
        <v>19245.174999999999</v>
      </c>
      <c r="H102" s="5">
        <f>39 / 86400</f>
        <v>4.5138888888888887E-4</v>
      </c>
      <c r="I102" t="s">
        <v>148</v>
      </c>
      <c r="J102" t="s">
        <v>149</v>
      </c>
      <c r="K102" s="5">
        <f>180 / 86400</f>
        <v>2.0833333333333333E-3</v>
      </c>
      <c r="L102" s="5">
        <f>3455 / 86400</f>
        <v>3.9988425925925927E-2</v>
      </c>
    </row>
    <row r="103" spans="1:12" x14ac:dyDescent="0.25">
      <c r="A103" s="3">
        <v>45701.421979166669</v>
      </c>
      <c r="B103" t="s">
        <v>147</v>
      </c>
      <c r="C103" s="3">
        <v>45701.425370370373</v>
      </c>
      <c r="D103" t="s">
        <v>147</v>
      </c>
      <c r="E103" s="4">
        <v>0</v>
      </c>
      <c r="F103" s="4">
        <v>19245.174999999999</v>
      </c>
      <c r="G103" s="4">
        <v>19245.174999999999</v>
      </c>
      <c r="H103" s="5">
        <f>279 / 86400</f>
        <v>3.2291666666666666E-3</v>
      </c>
      <c r="I103" t="s">
        <v>91</v>
      </c>
      <c r="J103" t="s">
        <v>91</v>
      </c>
      <c r="K103" s="5">
        <f>293 / 86400</f>
        <v>3.3912037037037036E-3</v>
      </c>
      <c r="L103" s="5">
        <f>311 / 86400</f>
        <v>3.5995370370370369E-3</v>
      </c>
    </row>
    <row r="104" spans="1:12" x14ac:dyDescent="0.25">
      <c r="A104" s="3">
        <v>45701.428969907407</v>
      </c>
      <c r="B104" t="s">
        <v>147</v>
      </c>
      <c r="C104" s="3">
        <v>45701.429571759261</v>
      </c>
      <c r="D104" t="s">
        <v>147</v>
      </c>
      <c r="E104" s="4">
        <v>2.1000000000000001E-2</v>
      </c>
      <c r="F104" s="4">
        <v>19245.174999999999</v>
      </c>
      <c r="G104" s="4">
        <v>19245.196</v>
      </c>
      <c r="H104" s="5">
        <f>0 / 86400</f>
        <v>0</v>
      </c>
      <c r="I104" t="s">
        <v>124</v>
      </c>
      <c r="J104" t="s">
        <v>125</v>
      </c>
      <c r="K104" s="5">
        <f>51 / 86400</f>
        <v>5.9027777777777778E-4</v>
      </c>
      <c r="L104" s="5">
        <f>385 / 86400</f>
        <v>4.4560185185185189E-3</v>
      </c>
    </row>
    <row r="105" spans="1:12" x14ac:dyDescent="0.25">
      <c r="A105" s="3">
        <v>45701.434027777781</v>
      </c>
      <c r="B105" t="s">
        <v>147</v>
      </c>
      <c r="C105" s="3">
        <v>45701.436539351853</v>
      </c>
      <c r="D105" t="s">
        <v>147</v>
      </c>
      <c r="E105" s="4">
        <v>0</v>
      </c>
      <c r="F105" s="4">
        <v>19245.196</v>
      </c>
      <c r="G105" s="4">
        <v>19245.196</v>
      </c>
      <c r="H105" s="5">
        <f>199 / 86400</f>
        <v>2.3032407407407407E-3</v>
      </c>
      <c r="I105" t="s">
        <v>91</v>
      </c>
      <c r="J105" t="s">
        <v>91</v>
      </c>
      <c r="K105" s="5">
        <f>216 / 86400</f>
        <v>2.5000000000000001E-3</v>
      </c>
      <c r="L105" s="5">
        <f>3237 / 86400</f>
        <v>3.7465277777777778E-2</v>
      </c>
    </row>
    <row r="106" spans="1:12" x14ac:dyDescent="0.25">
      <c r="A106" s="3">
        <v>45701.474004629628</v>
      </c>
      <c r="B106" t="s">
        <v>147</v>
      </c>
      <c r="C106" s="3">
        <v>45701.475729166668</v>
      </c>
      <c r="D106" t="s">
        <v>147</v>
      </c>
      <c r="E106" s="4">
        <v>0</v>
      </c>
      <c r="F106" s="4">
        <v>19245.196</v>
      </c>
      <c r="G106" s="4">
        <v>19245.196</v>
      </c>
      <c r="H106" s="5">
        <f>139 / 86400</f>
        <v>1.6087962962962963E-3</v>
      </c>
      <c r="I106" t="s">
        <v>91</v>
      </c>
      <c r="J106" t="s">
        <v>91</v>
      </c>
      <c r="K106" s="5">
        <f>148 / 86400</f>
        <v>1.712962962962963E-3</v>
      </c>
      <c r="L106" s="5">
        <f>201 / 86400</f>
        <v>2.3263888888888887E-3</v>
      </c>
    </row>
    <row r="107" spans="1:12" x14ac:dyDescent="0.25">
      <c r="A107" s="3">
        <v>45701.478055555555</v>
      </c>
      <c r="B107" t="s">
        <v>147</v>
      </c>
      <c r="C107" s="3">
        <v>45701.480729166666</v>
      </c>
      <c r="D107" t="s">
        <v>104</v>
      </c>
      <c r="E107" s="4">
        <v>0.193</v>
      </c>
      <c r="F107" s="4">
        <v>19245.196</v>
      </c>
      <c r="G107" s="4">
        <v>19245.388999999999</v>
      </c>
      <c r="H107" s="5">
        <f>60 / 86400</f>
        <v>6.9444444444444447E-4</v>
      </c>
      <c r="I107" t="s">
        <v>43</v>
      </c>
      <c r="J107" t="s">
        <v>124</v>
      </c>
      <c r="K107" s="5">
        <f>230 / 86400</f>
        <v>2.662037037037037E-3</v>
      </c>
      <c r="L107" s="5">
        <f>251 / 86400</f>
        <v>2.9050925925925928E-3</v>
      </c>
    </row>
    <row r="108" spans="1:12" x14ac:dyDescent="0.25">
      <c r="A108" s="3">
        <v>45701.483634259261</v>
      </c>
      <c r="B108" t="s">
        <v>104</v>
      </c>
      <c r="C108" s="3">
        <v>45701.48636574074</v>
      </c>
      <c r="D108" t="s">
        <v>150</v>
      </c>
      <c r="E108" s="4">
        <v>1.528</v>
      </c>
      <c r="F108" s="4">
        <v>19245.388999999999</v>
      </c>
      <c r="G108" s="4">
        <v>19246.917000000001</v>
      </c>
      <c r="H108" s="5">
        <f>20 / 86400</f>
        <v>2.3148148148148149E-4</v>
      </c>
      <c r="I108" t="s">
        <v>151</v>
      </c>
      <c r="J108" t="s">
        <v>152</v>
      </c>
      <c r="K108" s="5">
        <f>235 / 86400</f>
        <v>2.7199074074074074E-3</v>
      </c>
      <c r="L108" s="5">
        <f>5481 / 86400</f>
        <v>6.3437499999999994E-2</v>
      </c>
    </row>
    <row r="109" spans="1:12" x14ac:dyDescent="0.25">
      <c r="A109" s="3">
        <v>45701.549803240741</v>
      </c>
      <c r="B109" t="s">
        <v>82</v>
      </c>
      <c r="C109" s="3">
        <v>45701.947858796295</v>
      </c>
      <c r="D109" t="s">
        <v>47</v>
      </c>
      <c r="E109" s="4">
        <v>174.12799999999999</v>
      </c>
      <c r="F109" s="4">
        <v>19246.917000000001</v>
      </c>
      <c r="G109" s="4">
        <v>19421.044999999998</v>
      </c>
      <c r="H109" s="5">
        <f>11080 / 86400</f>
        <v>0.12824074074074074</v>
      </c>
      <c r="I109" t="s">
        <v>22</v>
      </c>
      <c r="J109" t="s">
        <v>76</v>
      </c>
      <c r="K109" s="5">
        <f>34392 / 86400</f>
        <v>0.39805555555555555</v>
      </c>
      <c r="L109" s="5">
        <f>2339 / 86400</f>
        <v>2.7071759259259261E-2</v>
      </c>
    </row>
    <row r="110" spans="1:12" x14ac:dyDescent="0.25">
      <c r="A110" s="3">
        <v>45701.97493055556</v>
      </c>
      <c r="B110" t="s">
        <v>47</v>
      </c>
      <c r="C110" s="3">
        <v>45701.97856481481</v>
      </c>
      <c r="D110" t="s">
        <v>153</v>
      </c>
      <c r="E110" s="4">
        <v>0.69399999999999995</v>
      </c>
      <c r="F110" s="4">
        <v>19421.044999999998</v>
      </c>
      <c r="G110" s="4">
        <v>19421.739000000001</v>
      </c>
      <c r="H110" s="5">
        <f>160 / 86400</f>
        <v>1.8518518518518519E-3</v>
      </c>
      <c r="I110" t="s">
        <v>143</v>
      </c>
      <c r="J110" t="s">
        <v>90</v>
      </c>
      <c r="K110" s="5">
        <f>313 / 86400</f>
        <v>3.6226851851851854E-3</v>
      </c>
      <c r="L110" s="5">
        <f>480 / 86400</f>
        <v>5.5555555555555558E-3</v>
      </c>
    </row>
    <row r="111" spans="1:12" x14ac:dyDescent="0.25">
      <c r="A111" s="3">
        <v>45701.984120370369</v>
      </c>
      <c r="B111" t="s">
        <v>153</v>
      </c>
      <c r="C111" s="3">
        <v>45701.992395833338</v>
      </c>
      <c r="D111" t="s">
        <v>154</v>
      </c>
      <c r="E111" s="4">
        <v>0.66100000000000003</v>
      </c>
      <c r="F111" s="4">
        <v>19421.739000000001</v>
      </c>
      <c r="G111" s="4">
        <v>19422.400000000001</v>
      </c>
      <c r="H111" s="5">
        <f>500 / 86400</f>
        <v>5.7870370370370367E-3</v>
      </c>
      <c r="I111" t="s">
        <v>155</v>
      </c>
      <c r="J111" t="s">
        <v>124</v>
      </c>
      <c r="K111" s="5">
        <f>714 / 86400</f>
        <v>8.2638888888888883E-3</v>
      </c>
      <c r="L111" s="5">
        <f>104 / 86400</f>
        <v>1.2037037037037038E-3</v>
      </c>
    </row>
    <row r="112" spans="1:12" x14ac:dyDescent="0.25">
      <c r="A112" s="3">
        <v>45701.993599537032</v>
      </c>
      <c r="B112" t="s">
        <v>154</v>
      </c>
      <c r="C112" s="3">
        <v>45701.995462962965</v>
      </c>
      <c r="D112" t="s">
        <v>21</v>
      </c>
      <c r="E112" s="4">
        <v>8.5000000000000006E-2</v>
      </c>
      <c r="F112" s="4">
        <v>19422.400000000001</v>
      </c>
      <c r="G112" s="4">
        <v>19422.485000000001</v>
      </c>
      <c r="H112" s="5">
        <f>80 / 86400</f>
        <v>9.2592592592592596E-4</v>
      </c>
      <c r="I112" t="s">
        <v>156</v>
      </c>
      <c r="J112" t="s">
        <v>110</v>
      </c>
      <c r="K112" s="5">
        <f>161 / 86400</f>
        <v>1.8634259259259259E-3</v>
      </c>
      <c r="L112" s="5">
        <f>391 / 86400</f>
        <v>4.5254629629629629E-3</v>
      </c>
    </row>
    <row r="113" spans="1:12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2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2" s="10" customFormat="1" ht="20.100000000000001" customHeight="1" x14ac:dyDescent="0.35">
      <c r="A115" s="12" t="s">
        <v>427</v>
      </c>
      <c r="B115" s="12"/>
      <c r="C115" s="12"/>
      <c r="D115" s="12"/>
      <c r="E115" s="12"/>
      <c r="F115" s="12"/>
      <c r="G115" s="12"/>
      <c r="H115" s="12"/>
      <c r="I115" s="12"/>
      <c r="J115" s="12"/>
    </row>
    <row r="116" spans="1:12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2" ht="30" x14ac:dyDescent="0.25">
      <c r="A117" s="2" t="s">
        <v>5</v>
      </c>
      <c r="B117" s="2" t="s">
        <v>6</v>
      </c>
      <c r="C117" s="2" t="s">
        <v>7</v>
      </c>
      <c r="D117" s="2" t="s">
        <v>8</v>
      </c>
      <c r="E117" s="2" t="s">
        <v>9</v>
      </c>
      <c r="F117" s="2" t="s">
        <v>10</v>
      </c>
      <c r="G117" s="2" t="s">
        <v>11</v>
      </c>
      <c r="H117" s="2" t="s">
        <v>12</v>
      </c>
      <c r="I117" s="2" t="s">
        <v>13</v>
      </c>
      <c r="J117" s="2" t="s">
        <v>14</v>
      </c>
      <c r="K117" s="2" t="s">
        <v>15</v>
      </c>
      <c r="L117" s="2" t="s">
        <v>16</v>
      </c>
    </row>
    <row r="118" spans="1:12" x14ac:dyDescent="0.25">
      <c r="A118" s="3">
        <v>45701.297418981485</v>
      </c>
      <c r="B118" t="s">
        <v>24</v>
      </c>
      <c r="C118" s="3">
        <v>45701.303900462968</v>
      </c>
      <c r="D118" t="s">
        <v>88</v>
      </c>
      <c r="E118" s="4">
        <v>1.8169999999999999</v>
      </c>
      <c r="F118" s="4">
        <v>328582.658</v>
      </c>
      <c r="G118" s="4">
        <v>328584.47499999998</v>
      </c>
      <c r="H118" s="5">
        <f>60 / 86400</f>
        <v>6.9444444444444447E-4</v>
      </c>
      <c r="I118" t="s">
        <v>135</v>
      </c>
      <c r="J118" t="s">
        <v>120</v>
      </c>
      <c r="K118" s="5">
        <f>560 / 86400</f>
        <v>6.4814814814814813E-3</v>
      </c>
      <c r="L118" s="5">
        <f>26047 / 86400</f>
        <v>0.30146990740740742</v>
      </c>
    </row>
    <row r="119" spans="1:12" x14ac:dyDescent="0.25">
      <c r="A119" s="3">
        <v>45701.307951388888</v>
      </c>
      <c r="B119" t="s">
        <v>88</v>
      </c>
      <c r="C119" s="3">
        <v>45701.348229166666</v>
      </c>
      <c r="D119" t="s">
        <v>157</v>
      </c>
      <c r="E119" s="4">
        <v>23.047000000000001</v>
      </c>
      <c r="F119" s="4">
        <v>328584.47499999998</v>
      </c>
      <c r="G119" s="4">
        <v>328607.522</v>
      </c>
      <c r="H119" s="5">
        <f>659 / 86400</f>
        <v>7.6273148148148151E-3</v>
      </c>
      <c r="I119" t="s">
        <v>26</v>
      </c>
      <c r="J119" t="s">
        <v>130</v>
      </c>
      <c r="K119" s="5">
        <f>3479 / 86400</f>
        <v>4.0266203703703707E-2</v>
      </c>
      <c r="L119" s="5">
        <f>874 / 86400</f>
        <v>1.0115740740740741E-2</v>
      </c>
    </row>
    <row r="120" spans="1:12" x14ac:dyDescent="0.25">
      <c r="A120" s="3">
        <v>45701.358344907407</v>
      </c>
      <c r="B120" t="s">
        <v>157</v>
      </c>
      <c r="C120" s="3">
        <v>45701.360995370371</v>
      </c>
      <c r="D120" t="s">
        <v>158</v>
      </c>
      <c r="E120" s="4">
        <v>0.77400000000000002</v>
      </c>
      <c r="F120" s="4">
        <v>328607.522</v>
      </c>
      <c r="G120" s="4">
        <v>328608.29599999997</v>
      </c>
      <c r="H120" s="5">
        <f>40 / 86400</f>
        <v>4.6296296296296298E-4</v>
      </c>
      <c r="I120" t="s">
        <v>159</v>
      </c>
      <c r="J120" t="s">
        <v>120</v>
      </c>
      <c r="K120" s="5">
        <f>228 / 86400</f>
        <v>2.638888888888889E-3</v>
      </c>
      <c r="L120" s="5">
        <f>587 / 86400</f>
        <v>6.7939814814814816E-3</v>
      </c>
    </row>
    <row r="121" spans="1:12" x14ac:dyDescent="0.25">
      <c r="A121" s="3">
        <v>45701.367789351847</v>
      </c>
      <c r="B121" t="s">
        <v>158</v>
      </c>
      <c r="C121" s="3">
        <v>45701.369317129633</v>
      </c>
      <c r="D121" t="s">
        <v>160</v>
      </c>
      <c r="E121" s="4">
        <v>0.23400000000000001</v>
      </c>
      <c r="F121" s="4">
        <v>328608.29599999997</v>
      </c>
      <c r="G121" s="4">
        <v>328608.53000000003</v>
      </c>
      <c r="H121" s="5">
        <f>39 / 86400</f>
        <v>4.5138888888888887E-4</v>
      </c>
      <c r="I121" t="s">
        <v>135</v>
      </c>
      <c r="J121" t="s">
        <v>156</v>
      </c>
      <c r="K121" s="5">
        <f>131 / 86400</f>
        <v>1.5162037037037036E-3</v>
      </c>
      <c r="L121" s="5">
        <f>283 / 86400</f>
        <v>3.2754629629629631E-3</v>
      </c>
    </row>
    <row r="122" spans="1:12" x14ac:dyDescent="0.25">
      <c r="A122" s="3">
        <v>45701.372592592597</v>
      </c>
      <c r="B122" t="s">
        <v>160</v>
      </c>
      <c r="C122" s="3">
        <v>45701.373148148152</v>
      </c>
      <c r="D122" t="s">
        <v>160</v>
      </c>
      <c r="E122" s="4">
        <v>2.7E-2</v>
      </c>
      <c r="F122" s="4">
        <v>328608.53000000003</v>
      </c>
      <c r="G122" s="4">
        <v>328608.55699999997</v>
      </c>
      <c r="H122" s="5">
        <f>0 / 86400</f>
        <v>0</v>
      </c>
      <c r="I122" t="s">
        <v>90</v>
      </c>
      <c r="J122" t="s">
        <v>110</v>
      </c>
      <c r="K122" s="5">
        <f>47 / 86400</f>
        <v>5.4398148148148144E-4</v>
      </c>
      <c r="L122" s="5">
        <f>88 / 86400</f>
        <v>1.0185185185185184E-3</v>
      </c>
    </row>
    <row r="123" spans="1:12" x14ac:dyDescent="0.25">
      <c r="A123" s="3">
        <v>45701.374166666668</v>
      </c>
      <c r="B123" t="s">
        <v>160</v>
      </c>
      <c r="C123" s="3">
        <v>45701.374814814815</v>
      </c>
      <c r="D123" t="s">
        <v>144</v>
      </c>
      <c r="E123" s="4">
        <v>2.7E-2</v>
      </c>
      <c r="F123" s="4">
        <v>328608.55699999997</v>
      </c>
      <c r="G123" s="4">
        <v>328608.58399999997</v>
      </c>
      <c r="H123" s="5">
        <f>20 / 86400</f>
        <v>2.3148148148148149E-4</v>
      </c>
      <c r="I123" t="s">
        <v>37</v>
      </c>
      <c r="J123" t="s">
        <v>110</v>
      </c>
      <c r="K123" s="5">
        <f>56 / 86400</f>
        <v>6.4814814814814813E-4</v>
      </c>
      <c r="L123" s="5">
        <f>25 / 86400</f>
        <v>2.8935185185185184E-4</v>
      </c>
    </row>
    <row r="124" spans="1:12" x14ac:dyDescent="0.25">
      <c r="A124" s="3">
        <v>45701.375104166669</v>
      </c>
      <c r="B124" t="s">
        <v>144</v>
      </c>
      <c r="C124" s="3">
        <v>45701.376909722225</v>
      </c>
      <c r="D124" t="s">
        <v>158</v>
      </c>
      <c r="E124" s="4">
        <v>0.29399999999999998</v>
      </c>
      <c r="F124" s="4">
        <v>328608.58399999997</v>
      </c>
      <c r="G124" s="4">
        <v>328608.87800000003</v>
      </c>
      <c r="H124" s="5">
        <f>19 / 86400</f>
        <v>2.199074074074074E-4</v>
      </c>
      <c r="I124" t="s">
        <v>20</v>
      </c>
      <c r="J124" t="s">
        <v>161</v>
      </c>
      <c r="K124" s="5">
        <f>156 / 86400</f>
        <v>1.8055555555555555E-3</v>
      </c>
      <c r="L124" s="5">
        <f>2505 / 86400</f>
        <v>2.8993055555555557E-2</v>
      </c>
    </row>
    <row r="125" spans="1:12" x14ac:dyDescent="0.25">
      <c r="A125" s="3">
        <v>45701.405902777777</v>
      </c>
      <c r="B125" t="s">
        <v>158</v>
      </c>
      <c r="C125" s="3">
        <v>45701.406412037039</v>
      </c>
      <c r="D125" t="s">
        <v>158</v>
      </c>
      <c r="E125" s="4">
        <v>0</v>
      </c>
      <c r="F125" s="4">
        <v>328608.87800000003</v>
      </c>
      <c r="G125" s="4">
        <v>328608.87800000003</v>
      </c>
      <c r="H125" s="5">
        <f>39 / 86400</f>
        <v>4.5138888888888887E-4</v>
      </c>
      <c r="I125" t="s">
        <v>91</v>
      </c>
      <c r="J125" t="s">
        <v>91</v>
      </c>
      <c r="K125" s="5">
        <f>43 / 86400</f>
        <v>4.9768518518518521E-4</v>
      </c>
      <c r="L125" s="5">
        <f>57 / 86400</f>
        <v>6.5972222222222224E-4</v>
      </c>
    </row>
    <row r="126" spans="1:12" x14ac:dyDescent="0.25">
      <c r="A126" s="3">
        <v>45701.407071759255</v>
      </c>
      <c r="B126" t="s">
        <v>158</v>
      </c>
      <c r="C126" s="3">
        <v>45701.40934027778</v>
      </c>
      <c r="D126" t="s">
        <v>104</v>
      </c>
      <c r="E126" s="4">
        <v>0.13800000000000001</v>
      </c>
      <c r="F126" s="4">
        <v>328608.87800000003</v>
      </c>
      <c r="G126" s="4">
        <v>328609.016</v>
      </c>
      <c r="H126" s="5">
        <f>79 / 86400</f>
        <v>9.1435185185185185E-4</v>
      </c>
      <c r="I126" t="s">
        <v>140</v>
      </c>
      <c r="J126" t="s">
        <v>124</v>
      </c>
      <c r="K126" s="5">
        <f>195 / 86400</f>
        <v>2.2569444444444442E-3</v>
      </c>
      <c r="L126" s="5">
        <f>142 / 86400</f>
        <v>1.6435185185185185E-3</v>
      </c>
    </row>
    <row r="127" spans="1:12" x14ac:dyDescent="0.25">
      <c r="A127" s="3">
        <v>45701.410983796297</v>
      </c>
      <c r="B127" t="s">
        <v>104</v>
      </c>
      <c r="C127" s="3">
        <v>45701.411134259259</v>
      </c>
      <c r="D127" t="s">
        <v>104</v>
      </c>
      <c r="E127" s="4">
        <v>2E-3</v>
      </c>
      <c r="F127" s="4">
        <v>328609.016</v>
      </c>
      <c r="G127" s="4">
        <v>328609.01799999998</v>
      </c>
      <c r="H127" s="5">
        <f>0 / 86400</f>
        <v>0</v>
      </c>
      <c r="I127" t="s">
        <v>91</v>
      </c>
      <c r="J127" t="s">
        <v>125</v>
      </c>
      <c r="K127" s="5">
        <f>13 / 86400</f>
        <v>1.5046296296296297E-4</v>
      </c>
      <c r="L127" s="5">
        <f>267 / 86400</f>
        <v>3.0902777777777777E-3</v>
      </c>
    </row>
    <row r="128" spans="1:12" x14ac:dyDescent="0.25">
      <c r="A128" s="3">
        <v>45701.414224537039</v>
      </c>
      <c r="B128" t="s">
        <v>104</v>
      </c>
      <c r="C128" s="3">
        <v>45701.415023148147</v>
      </c>
      <c r="D128" t="s">
        <v>158</v>
      </c>
      <c r="E128" s="4">
        <v>6.6000000000000003E-2</v>
      </c>
      <c r="F128" s="4">
        <v>328609.01799999998</v>
      </c>
      <c r="G128" s="4">
        <v>328609.08399999997</v>
      </c>
      <c r="H128" s="5">
        <f>0 / 86400</f>
        <v>0</v>
      </c>
      <c r="I128" t="s">
        <v>140</v>
      </c>
      <c r="J128" t="s">
        <v>124</v>
      </c>
      <c r="K128" s="5">
        <f>68 / 86400</f>
        <v>7.8703703703703705E-4</v>
      </c>
      <c r="L128" s="5">
        <f>4765 / 86400</f>
        <v>5.5150462962962964E-2</v>
      </c>
    </row>
    <row r="129" spans="1:12" x14ac:dyDescent="0.25">
      <c r="A129" s="3">
        <v>45701.470173611116</v>
      </c>
      <c r="B129" t="s">
        <v>158</v>
      </c>
      <c r="C129" s="3">
        <v>45701.471493055556</v>
      </c>
      <c r="D129" t="s">
        <v>158</v>
      </c>
      <c r="E129" s="4">
        <v>1.7000000000000001E-2</v>
      </c>
      <c r="F129" s="4">
        <v>328609.08399999997</v>
      </c>
      <c r="G129" s="4">
        <v>328609.10100000002</v>
      </c>
      <c r="H129" s="5">
        <f>79 / 86400</f>
        <v>9.1435185185185185E-4</v>
      </c>
      <c r="I129" t="s">
        <v>124</v>
      </c>
      <c r="J129" t="s">
        <v>125</v>
      </c>
      <c r="K129" s="5">
        <f>114 / 86400</f>
        <v>1.3194444444444445E-3</v>
      </c>
      <c r="L129" s="5">
        <f>37 / 86400</f>
        <v>4.2824074074074075E-4</v>
      </c>
    </row>
    <row r="130" spans="1:12" x14ac:dyDescent="0.25">
      <c r="A130" s="3">
        <v>45701.471921296295</v>
      </c>
      <c r="B130" t="s">
        <v>158</v>
      </c>
      <c r="C130" s="3">
        <v>45701.475983796292</v>
      </c>
      <c r="D130" t="s">
        <v>118</v>
      </c>
      <c r="E130" s="4">
        <v>1.1879999999999999</v>
      </c>
      <c r="F130" s="4">
        <v>328609.10100000002</v>
      </c>
      <c r="G130" s="4">
        <v>328610.28899999999</v>
      </c>
      <c r="H130" s="5">
        <f>40 / 86400</f>
        <v>4.6296296296296298E-4</v>
      </c>
      <c r="I130" t="s">
        <v>162</v>
      </c>
      <c r="J130" t="s">
        <v>120</v>
      </c>
      <c r="K130" s="5">
        <f>351 / 86400</f>
        <v>4.0625000000000001E-3</v>
      </c>
      <c r="L130" s="5">
        <f>136 / 86400</f>
        <v>1.5740740740740741E-3</v>
      </c>
    </row>
    <row r="131" spans="1:12" x14ac:dyDescent="0.25">
      <c r="A131" s="3">
        <v>45701.47755787037</v>
      </c>
      <c r="B131" t="s">
        <v>118</v>
      </c>
      <c r="C131" s="3">
        <v>45701.481122685189</v>
      </c>
      <c r="D131" t="s">
        <v>158</v>
      </c>
      <c r="E131" s="4">
        <v>1.0660000000000001</v>
      </c>
      <c r="F131" s="4">
        <v>328610.28899999999</v>
      </c>
      <c r="G131" s="4">
        <v>328611.35499999998</v>
      </c>
      <c r="H131" s="5">
        <f>20 / 86400</f>
        <v>2.3148148148148149E-4</v>
      </c>
      <c r="I131" t="s">
        <v>159</v>
      </c>
      <c r="J131" t="s">
        <v>120</v>
      </c>
      <c r="K131" s="5">
        <f>308 / 86400</f>
        <v>3.5648148148148149E-3</v>
      </c>
      <c r="L131" s="5">
        <f>810 / 86400</f>
        <v>9.3749999999999997E-3</v>
      </c>
    </row>
    <row r="132" spans="1:12" x14ac:dyDescent="0.25">
      <c r="A132" s="3">
        <v>45701.490497685183</v>
      </c>
      <c r="B132" t="s">
        <v>158</v>
      </c>
      <c r="C132" s="3">
        <v>45701.493229166663</v>
      </c>
      <c r="D132" t="s">
        <v>163</v>
      </c>
      <c r="E132" s="4">
        <v>0.46300000000000002</v>
      </c>
      <c r="F132" s="4">
        <v>328611.35499999998</v>
      </c>
      <c r="G132" s="4">
        <v>328611.81800000003</v>
      </c>
      <c r="H132" s="5">
        <f>100 / 86400</f>
        <v>1.1574074074074073E-3</v>
      </c>
      <c r="I132" t="s">
        <v>152</v>
      </c>
      <c r="J132" t="s">
        <v>161</v>
      </c>
      <c r="K132" s="5">
        <f>236 / 86400</f>
        <v>2.7314814814814814E-3</v>
      </c>
      <c r="L132" s="5">
        <f>12616 / 86400</f>
        <v>0.14601851851851852</v>
      </c>
    </row>
    <row r="133" spans="1:12" x14ac:dyDescent="0.25">
      <c r="A133" s="3">
        <v>45701.639247685191</v>
      </c>
      <c r="B133" t="s">
        <v>163</v>
      </c>
      <c r="C133" s="3">
        <v>45701.685266203705</v>
      </c>
      <c r="D133" t="s">
        <v>24</v>
      </c>
      <c r="E133" s="4">
        <v>22.808</v>
      </c>
      <c r="F133" s="4">
        <v>328611.81800000003</v>
      </c>
      <c r="G133" s="4">
        <v>328634.62599999999</v>
      </c>
      <c r="H133" s="5">
        <f>1479 / 86400</f>
        <v>1.7118055555555556E-2</v>
      </c>
      <c r="I133" t="s">
        <v>26</v>
      </c>
      <c r="J133" t="s">
        <v>74</v>
      </c>
      <c r="K133" s="5">
        <f>3975 / 86400</f>
        <v>4.6006944444444448E-2</v>
      </c>
      <c r="L133" s="5">
        <f>11233 / 86400</f>
        <v>0.13001157407407407</v>
      </c>
    </row>
    <row r="134" spans="1:12" x14ac:dyDescent="0.25">
      <c r="A134" s="3">
        <v>45701.81527777778</v>
      </c>
      <c r="B134" t="s">
        <v>24</v>
      </c>
      <c r="C134" s="3">
        <v>45701.815717592588</v>
      </c>
      <c r="D134" t="s">
        <v>25</v>
      </c>
      <c r="E134" s="4">
        <v>0.02</v>
      </c>
      <c r="F134" s="4">
        <v>328634.62599999999</v>
      </c>
      <c r="G134" s="4">
        <v>328634.64600000001</v>
      </c>
      <c r="H134" s="5">
        <f>0 / 86400</f>
        <v>0</v>
      </c>
      <c r="I134" t="s">
        <v>37</v>
      </c>
      <c r="J134" t="s">
        <v>110</v>
      </c>
      <c r="K134" s="5">
        <f>38 / 86400</f>
        <v>4.3981481481481481E-4</v>
      </c>
      <c r="L134" s="5">
        <f>15921 / 86400</f>
        <v>0.18427083333333333</v>
      </c>
    </row>
    <row r="135" spans="1:12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2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2" s="10" customFormat="1" ht="20.100000000000001" customHeight="1" x14ac:dyDescent="0.35">
      <c r="A137" s="12" t="s">
        <v>428</v>
      </c>
      <c r="B137" s="12"/>
      <c r="C137" s="12"/>
      <c r="D137" s="12"/>
      <c r="E137" s="12"/>
      <c r="F137" s="12"/>
      <c r="G137" s="12"/>
      <c r="H137" s="12"/>
      <c r="I137" s="12"/>
      <c r="J137" s="12"/>
    </row>
    <row r="138" spans="1:12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2" ht="30" x14ac:dyDescent="0.25">
      <c r="A139" s="2" t="s">
        <v>5</v>
      </c>
      <c r="B139" s="2" t="s">
        <v>6</v>
      </c>
      <c r="C139" s="2" t="s">
        <v>7</v>
      </c>
      <c r="D139" s="2" t="s">
        <v>8</v>
      </c>
      <c r="E139" s="2" t="s">
        <v>9</v>
      </c>
      <c r="F139" s="2" t="s">
        <v>10</v>
      </c>
      <c r="G139" s="2" t="s">
        <v>11</v>
      </c>
      <c r="H139" s="2" t="s">
        <v>12</v>
      </c>
      <c r="I139" s="2" t="s">
        <v>13</v>
      </c>
      <c r="J139" s="2" t="s">
        <v>14</v>
      </c>
      <c r="K139" s="2" t="s">
        <v>15</v>
      </c>
      <c r="L139" s="2" t="s">
        <v>16</v>
      </c>
    </row>
    <row r="140" spans="1:12" x14ac:dyDescent="0.25">
      <c r="A140" s="3">
        <v>45701.427314814813</v>
      </c>
      <c r="B140" t="s">
        <v>27</v>
      </c>
      <c r="C140" s="3">
        <v>45701.427314814813</v>
      </c>
      <c r="D140" t="s">
        <v>27</v>
      </c>
      <c r="E140" s="4">
        <v>0</v>
      </c>
      <c r="F140" s="4">
        <v>20475.022000000001</v>
      </c>
      <c r="G140" s="4">
        <v>20475.022000000001</v>
      </c>
      <c r="H140" s="5">
        <f>0 / 86400</f>
        <v>0</v>
      </c>
      <c r="I140" t="s">
        <v>91</v>
      </c>
      <c r="J140" t="s">
        <v>91</v>
      </c>
      <c r="K140" s="5">
        <f>0 / 86400</f>
        <v>0</v>
      </c>
      <c r="L140" s="5">
        <f>39522 / 86400</f>
        <v>0.45743055555555556</v>
      </c>
    </row>
    <row r="141" spans="1:12" x14ac:dyDescent="0.25">
      <c r="A141" s="3">
        <v>45701.457430555558</v>
      </c>
      <c r="B141" t="s">
        <v>27</v>
      </c>
      <c r="C141" s="3">
        <v>45701.460324074069</v>
      </c>
      <c r="D141" t="s">
        <v>27</v>
      </c>
      <c r="E141" s="4">
        <v>0</v>
      </c>
      <c r="F141" s="4">
        <v>20475.022000000001</v>
      </c>
      <c r="G141" s="4">
        <v>20475.022000000001</v>
      </c>
      <c r="H141" s="5">
        <f>239 / 86400</f>
        <v>2.7662037037037039E-3</v>
      </c>
      <c r="I141" t="s">
        <v>91</v>
      </c>
      <c r="J141" t="s">
        <v>91</v>
      </c>
      <c r="K141" s="5">
        <f>249 / 86400</f>
        <v>2.8819444444444444E-3</v>
      </c>
      <c r="L141" s="5">
        <f>12 / 86400</f>
        <v>1.3888888888888889E-4</v>
      </c>
    </row>
    <row r="142" spans="1:12" x14ac:dyDescent="0.25">
      <c r="A142" s="3">
        <v>45701.460462962961</v>
      </c>
      <c r="B142" t="s">
        <v>27</v>
      </c>
      <c r="C142" s="3">
        <v>45701.460648148146</v>
      </c>
      <c r="D142" t="s">
        <v>27</v>
      </c>
      <c r="E142" s="4">
        <v>0</v>
      </c>
      <c r="F142" s="4">
        <v>20475.022000000001</v>
      </c>
      <c r="G142" s="4">
        <v>20475.022000000001</v>
      </c>
      <c r="H142" s="5">
        <f>0 / 86400</f>
        <v>0</v>
      </c>
      <c r="I142" t="s">
        <v>91</v>
      </c>
      <c r="J142" t="s">
        <v>91</v>
      </c>
      <c r="K142" s="5">
        <f>16 / 86400</f>
        <v>1.8518518518518518E-4</v>
      </c>
      <c r="L142" s="5">
        <f>266 / 86400</f>
        <v>3.0787037037037037E-3</v>
      </c>
    </row>
    <row r="143" spans="1:12" x14ac:dyDescent="0.25">
      <c r="A143" s="3">
        <v>45701.463726851856</v>
      </c>
      <c r="B143" t="s">
        <v>27</v>
      </c>
      <c r="C143" s="3">
        <v>45701.726180555561</v>
      </c>
      <c r="D143" t="s">
        <v>104</v>
      </c>
      <c r="E143" s="4">
        <v>84.4</v>
      </c>
      <c r="F143" s="4">
        <v>20475.022000000001</v>
      </c>
      <c r="G143" s="4">
        <v>20559.421999999999</v>
      </c>
      <c r="H143" s="5">
        <f>7980 / 86400</f>
        <v>9.2361111111111116E-2</v>
      </c>
      <c r="I143" t="s">
        <v>28</v>
      </c>
      <c r="J143" t="s">
        <v>58</v>
      </c>
      <c r="K143" s="5">
        <f>22676 / 86400</f>
        <v>0.26245370370370369</v>
      </c>
      <c r="L143" s="5">
        <f>48 / 86400</f>
        <v>5.5555555555555556E-4</v>
      </c>
    </row>
    <row r="144" spans="1:12" x14ac:dyDescent="0.25">
      <c r="A144" s="3">
        <v>45701.726736111115</v>
      </c>
      <c r="B144" t="s">
        <v>104</v>
      </c>
      <c r="C144" s="3">
        <v>45701.727384259255</v>
      </c>
      <c r="D144" t="s">
        <v>104</v>
      </c>
      <c r="E144" s="4">
        <v>1.2999999999999999E-2</v>
      </c>
      <c r="F144" s="4">
        <v>20559.421999999999</v>
      </c>
      <c r="G144" s="4">
        <v>20559.435000000001</v>
      </c>
      <c r="H144" s="5">
        <f>19 / 86400</f>
        <v>2.199074074074074E-4</v>
      </c>
      <c r="I144" t="s">
        <v>125</v>
      </c>
      <c r="J144" t="s">
        <v>125</v>
      </c>
      <c r="K144" s="5">
        <f>55 / 86400</f>
        <v>6.3657407407407413E-4</v>
      </c>
      <c r="L144" s="5">
        <f>121 / 86400</f>
        <v>1.4004629629629629E-3</v>
      </c>
    </row>
    <row r="145" spans="1:12" x14ac:dyDescent="0.25">
      <c r="A145" s="3">
        <v>45701.728784722218</v>
      </c>
      <c r="B145" t="s">
        <v>104</v>
      </c>
      <c r="C145" s="3">
        <v>45701.73060185185</v>
      </c>
      <c r="D145" t="s">
        <v>134</v>
      </c>
      <c r="E145" s="4">
        <v>0.55300000000000005</v>
      </c>
      <c r="F145" s="4">
        <v>20559.435000000001</v>
      </c>
      <c r="G145" s="4">
        <v>20559.988000000001</v>
      </c>
      <c r="H145" s="5">
        <f>0 / 86400</f>
        <v>0</v>
      </c>
      <c r="I145" t="s">
        <v>155</v>
      </c>
      <c r="J145" t="s">
        <v>58</v>
      </c>
      <c r="K145" s="5">
        <f>156 / 86400</f>
        <v>1.8055555555555555E-3</v>
      </c>
      <c r="L145" s="5">
        <f>3227 / 86400</f>
        <v>3.7349537037037035E-2</v>
      </c>
    </row>
    <row r="146" spans="1:12" x14ac:dyDescent="0.25">
      <c r="A146" s="3">
        <v>45701.767951388887</v>
      </c>
      <c r="B146" t="s">
        <v>134</v>
      </c>
      <c r="C146" s="3">
        <v>45701.771018518513</v>
      </c>
      <c r="D146" t="s">
        <v>164</v>
      </c>
      <c r="E146" s="4">
        <v>6.6000000000000003E-2</v>
      </c>
      <c r="F146" s="4">
        <v>20559.988000000001</v>
      </c>
      <c r="G146" s="4">
        <v>20560.054</v>
      </c>
      <c r="H146" s="5">
        <f>179 / 86400</f>
        <v>2.0717592592592593E-3</v>
      </c>
      <c r="I146" t="s">
        <v>156</v>
      </c>
      <c r="J146" t="s">
        <v>125</v>
      </c>
      <c r="K146" s="5">
        <f>265 / 86400</f>
        <v>3.0671296296296297E-3</v>
      </c>
      <c r="L146" s="5">
        <f>254 / 86400</f>
        <v>2.9398148148148148E-3</v>
      </c>
    </row>
    <row r="147" spans="1:12" x14ac:dyDescent="0.25">
      <c r="A147" s="3">
        <v>45701.773958333331</v>
      </c>
      <c r="B147" t="s">
        <v>164</v>
      </c>
      <c r="C147" s="3">
        <v>45701.95616898148</v>
      </c>
      <c r="D147" t="s">
        <v>165</v>
      </c>
      <c r="E147" s="4">
        <v>75.951999999999998</v>
      </c>
      <c r="F147" s="4">
        <v>20560.054</v>
      </c>
      <c r="G147" s="4">
        <v>20636.006000000001</v>
      </c>
      <c r="H147" s="5">
        <f>4703 / 86400</f>
        <v>5.4432870370370368E-2</v>
      </c>
      <c r="I147" t="s">
        <v>166</v>
      </c>
      <c r="J147" t="s">
        <v>20</v>
      </c>
      <c r="K147" s="5">
        <f>15742 / 86400</f>
        <v>0.18219907407407407</v>
      </c>
      <c r="L147" s="5">
        <f>122 / 86400</f>
        <v>1.4120370370370369E-3</v>
      </c>
    </row>
    <row r="148" spans="1:12" x14ac:dyDescent="0.25">
      <c r="A148" s="3">
        <v>45701.95758101852</v>
      </c>
      <c r="B148" t="s">
        <v>165</v>
      </c>
      <c r="C148" s="3">
        <v>45701.966273148151</v>
      </c>
      <c r="D148" t="s">
        <v>27</v>
      </c>
      <c r="E148" s="4">
        <v>1.7809999999999999</v>
      </c>
      <c r="F148" s="4">
        <v>20636.008000000002</v>
      </c>
      <c r="G148" s="4">
        <v>20637.789000000001</v>
      </c>
      <c r="H148" s="5">
        <f>260 / 86400</f>
        <v>3.0092592592592593E-3</v>
      </c>
      <c r="I148" t="s">
        <v>74</v>
      </c>
      <c r="J148" t="s">
        <v>140</v>
      </c>
      <c r="K148" s="5">
        <f>751 / 86400</f>
        <v>8.6921296296296295E-3</v>
      </c>
      <c r="L148" s="5">
        <f>2913 / 86400</f>
        <v>3.3715277777777775E-2</v>
      </c>
    </row>
    <row r="149" spans="1:12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2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2" s="10" customFormat="1" ht="20.100000000000001" customHeight="1" x14ac:dyDescent="0.35">
      <c r="A151" s="12" t="s">
        <v>429</v>
      </c>
      <c r="B151" s="12"/>
      <c r="C151" s="12"/>
      <c r="D151" s="12"/>
      <c r="E151" s="12"/>
      <c r="F151" s="12"/>
      <c r="G151" s="12"/>
      <c r="H151" s="12"/>
      <c r="I151" s="12"/>
      <c r="J151" s="12"/>
    </row>
    <row r="152" spans="1:12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2" ht="30" x14ac:dyDescent="0.25">
      <c r="A153" s="2" t="s">
        <v>5</v>
      </c>
      <c r="B153" s="2" t="s">
        <v>6</v>
      </c>
      <c r="C153" s="2" t="s">
        <v>7</v>
      </c>
      <c r="D153" s="2" t="s">
        <v>8</v>
      </c>
      <c r="E153" s="2" t="s">
        <v>9</v>
      </c>
      <c r="F153" s="2" t="s">
        <v>10</v>
      </c>
      <c r="G153" s="2" t="s">
        <v>11</v>
      </c>
      <c r="H153" s="2" t="s">
        <v>12</v>
      </c>
      <c r="I153" s="2" t="s">
        <v>13</v>
      </c>
      <c r="J153" s="2" t="s">
        <v>14</v>
      </c>
      <c r="K153" s="2" t="s">
        <v>15</v>
      </c>
      <c r="L153" s="2" t="s">
        <v>16</v>
      </c>
    </row>
    <row r="154" spans="1:12" x14ac:dyDescent="0.25">
      <c r="A154" s="3">
        <v>45701.249166666668</v>
      </c>
      <c r="B154" t="s">
        <v>30</v>
      </c>
      <c r="C154" s="3">
        <v>45701.2497337963</v>
      </c>
      <c r="D154" t="s">
        <v>30</v>
      </c>
      <c r="E154" s="4">
        <v>0</v>
      </c>
      <c r="F154" s="4">
        <v>513247.467</v>
      </c>
      <c r="G154" s="4">
        <v>513247.467</v>
      </c>
      <c r="H154" s="5">
        <f>39 / 86400</f>
        <v>4.5138888888888887E-4</v>
      </c>
      <c r="I154" t="s">
        <v>91</v>
      </c>
      <c r="J154" t="s">
        <v>91</v>
      </c>
      <c r="K154" s="5">
        <f>49 / 86400</f>
        <v>5.6712962962962967E-4</v>
      </c>
      <c r="L154" s="5">
        <f>21770 / 86400</f>
        <v>0.2519675925925926</v>
      </c>
    </row>
    <row r="155" spans="1:12" x14ac:dyDescent="0.25">
      <c r="A155" s="3">
        <v>45701.252534722225</v>
      </c>
      <c r="B155" t="s">
        <v>30</v>
      </c>
      <c r="C155" s="3">
        <v>45701.318136574075</v>
      </c>
      <c r="D155" t="s">
        <v>134</v>
      </c>
      <c r="E155" s="4">
        <v>35.280999999999999</v>
      </c>
      <c r="F155" s="4">
        <v>513247.467</v>
      </c>
      <c r="G155" s="4">
        <v>513282.74800000002</v>
      </c>
      <c r="H155" s="5">
        <f>1259 / 86400</f>
        <v>1.457175925925926E-2</v>
      </c>
      <c r="I155" t="s">
        <v>31</v>
      </c>
      <c r="J155" t="s">
        <v>132</v>
      </c>
      <c r="K155" s="5">
        <f>5668 / 86400</f>
        <v>6.5601851851851856E-2</v>
      </c>
      <c r="L155" s="5">
        <f>3132 / 86400</f>
        <v>3.6249999999999998E-2</v>
      </c>
    </row>
    <row r="156" spans="1:12" x14ac:dyDescent="0.25">
      <c r="A156" s="3">
        <v>45701.354386574079</v>
      </c>
      <c r="B156" t="s">
        <v>134</v>
      </c>
      <c r="C156" s="3">
        <v>45701.358761574069</v>
      </c>
      <c r="D156" t="s">
        <v>131</v>
      </c>
      <c r="E156" s="4">
        <v>0.878</v>
      </c>
      <c r="F156" s="4">
        <v>513282.74800000002</v>
      </c>
      <c r="G156" s="4">
        <v>513283.62599999999</v>
      </c>
      <c r="H156" s="5">
        <f>99 / 86400</f>
        <v>1.1458333333333333E-3</v>
      </c>
      <c r="I156" t="s">
        <v>74</v>
      </c>
      <c r="J156" t="s">
        <v>90</v>
      </c>
      <c r="K156" s="5">
        <f>377 / 86400</f>
        <v>4.363425925925926E-3</v>
      </c>
      <c r="L156" s="5">
        <f>2949 / 86400</f>
        <v>3.4131944444444444E-2</v>
      </c>
    </row>
    <row r="157" spans="1:12" x14ac:dyDescent="0.25">
      <c r="A157" s="3">
        <v>45701.392893518518</v>
      </c>
      <c r="B157" t="s">
        <v>131</v>
      </c>
      <c r="C157" s="3">
        <v>45701.509780092594</v>
      </c>
      <c r="D157" t="s">
        <v>167</v>
      </c>
      <c r="E157" s="4">
        <v>51.848999999999997</v>
      </c>
      <c r="F157" s="4">
        <v>513283.62599999999</v>
      </c>
      <c r="G157" s="4">
        <v>513335.47499999998</v>
      </c>
      <c r="H157" s="5">
        <f>3041 / 86400</f>
        <v>3.5196759259259261E-2</v>
      </c>
      <c r="I157" t="s">
        <v>75</v>
      </c>
      <c r="J157" t="s">
        <v>76</v>
      </c>
      <c r="K157" s="5">
        <f>10099 / 86400</f>
        <v>0.11688657407407407</v>
      </c>
      <c r="L157" s="5">
        <f>203 / 86400</f>
        <v>2.3495370370370371E-3</v>
      </c>
    </row>
    <row r="158" spans="1:12" x14ac:dyDescent="0.25">
      <c r="A158" s="3">
        <v>45701.512129629627</v>
      </c>
      <c r="B158" t="s">
        <v>168</v>
      </c>
      <c r="C158" s="3">
        <v>45701.63380787037</v>
      </c>
      <c r="D158" t="s">
        <v>134</v>
      </c>
      <c r="E158" s="4">
        <v>50.899000000000001</v>
      </c>
      <c r="F158" s="4">
        <v>513335.47499999998</v>
      </c>
      <c r="G158" s="4">
        <v>513386.37400000001</v>
      </c>
      <c r="H158" s="5">
        <f>2844 / 86400</f>
        <v>3.2916666666666664E-2</v>
      </c>
      <c r="I158" t="s">
        <v>55</v>
      </c>
      <c r="J158" t="s">
        <v>20</v>
      </c>
      <c r="K158" s="5">
        <f>10512 / 86400</f>
        <v>0.12166666666666667</v>
      </c>
      <c r="L158" s="5">
        <f>3796 / 86400</f>
        <v>4.3935185185185188E-2</v>
      </c>
    </row>
    <row r="159" spans="1:12" x14ac:dyDescent="0.25">
      <c r="A159" s="3">
        <v>45701.677743055552</v>
      </c>
      <c r="B159" t="s">
        <v>134</v>
      </c>
      <c r="C159" s="3">
        <v>45701.683090277773</v>
      </c>
      <c r="D159" t="s">
        <v>158</v>
      </c>
      <c r="E159" s="4">
        <v>1.5629999999999999</v>
      </c>
      <c r="F159" s="4">
        <v>513386.37400000001</v>
      </c>
      <c r="G159" s="4">
        <v>513387.93699999998</v>
      </c>
      <c r="H159" s="5">
        <f>58 / 86400</f>
        <v>6.7129629629629625E-4</v>
      </c>
      <c r="I159" t="s">
        <v>169</v>
      </c>
      <c r="J159" t="s">
        <v>120</v>
      </c>
      <c r="K159" s="5">
        <f>461 / 86400</f>
        <v>5.3356481481481484E-3</v>
      </c>
      <c r="L159" s="5">
        <f>417 / 86400</f>
        <v>4.8263888888888887E-3</v>
      </c>
    </row>
    <row r="160" spans="1:12" x14ac:dyDescent="0.25">
      <c r="A160" s="3">
        <v>45701.687916666662</v>
      </c>
      <c r="B160" t="s">
        <v>158</v>
      </c>
      <c r="C160" s="3">
        <v>45701.886076388888</v>
      </c>
      <c r="D160" t="s">
        <v>170</v>
      </c>
      <c r="E160" s="4">
        <v>74.632999999999996</v>
      </c>
      <c r="F160" s="4">
        <v>513387.93699999998</v>
      </c>
      <c r="G160" s="4">
        <v>513462.57</v>
      </c>
      <c r="H160" s="5">
        <f>5719 / 86400</f>
        <v>6.6192129629629629E-2</v>
      </c>
      <c r="I160" t="s">
        <v>75</v>
      </c>
      <c r="J160" t="s">
        <v>51</v>
      </c>
      <c r="K160" s="5">
        <f>17120 / 86400</f>
        <v>0.19814814814814816</v>
      </c>
      <c r="L160" s="5">
        <f>678 / 86400</f>
        <v>7.8472222222222224E-3</v>
      </c>
    </row>
    <row r="161" spans="1:12" x14ac:dyDescent="0.25">
      <c r="A161" s="3">
        <v>45701.893923611111</v>
      </c>
      <c r="B161" t="s">
        <v>171</v>
      </c>
      <c r="C161" s="3">
        <v>45701.909733796296</v>
      </c>
      <c r="D161" t="s">
        <v>172</v>
      </c>
      <c r="E161" s="4">
        <v>7.9749999999999996</v>
      </c>
      <c r="F161" s="4">
        <v>513462.57</v>
      </c>
      <c r="G161" s="4">
        <v>513470.54499999998</v>
      </c>
      <c r="H161" s="5">
        <f>220 / 86400</f>
        <v>2.5462962962962965E-3</v>
      </c>
      <c r="I161" t="s">
        <v>173</v>
      </c>
      <c r="J161" t="s">
        <v>74</v>
      </c>
      <c r="K161" s="5">
        <f>1365 / 86400</f>
        <v>1.579861111111111E-2</v>
      </c>
      <c r="L161" s="5">
        <f>208 / 86400</f>
        <v>2.4074074074074076E-3</v>
      </c>
    </row>
    <row r="162" spans="1:12" x14ac:dyDescent="0.25">
      <c r="A162" s="3">
        <v>45701.912141203706</v>
      </c>
      <c r="B162" t="s">
        <v>172</v>
      </c>
      <c r="C162" s="3">
        <v>45701.917349537034</v>
      </c>
      <c r="D162" t="s">
        <v>174</v>
      </c>
      <c r="E162" s="4">
        <v>1.46</v>
      </c>
      <c r="F162" s="4">
        <v>513470.54499999998</v>
      </c>
      <c r="G162" s="4">
        <v>513472.005</v>
      </c>
      <c r="H162" s="5">
        <f>99 / 86400</f>
        <v>1.1458333333333333E-3</v>
      </c>
      <c r="I162" t="s">
        <v>145</v>
      </c>
      <c r="J162" t="s">
        <v>120</v>
      </c>
      <c r="K162" s="5">
        <f>449 / 86400</f>
        <v>5.1967592592592595E-3</v>
      </c>
      <c r="L162" s="5">
        <f>2790 / 86400</f>
        <v>3.229166666666667E-2</v>
      </c>
    </row>
    <row r="163" spans="1:12" x14ac:dyDescent="0.25">
      <c r="A163" s="3">
        <v>45701.949641203704</v>
      </c>
      <c r="B163" t="s">
        <v>174</v>
      </c>
      <c r="C163" s="3">
        <v>45701.954664351855</v>
      </c>
      <c r="D163" t="s">
        <v>30</v>
      </c>
      <c r="E163" s="4">
        <v>0.17100000000000001</v>
      </c>
      <c r="F163" s="4">
        <v>513472.005</v>
      </c>
      <c r="G163" s="4">
        <v>513472.17599999998</v>
      </c>
      <c r="H163" s="5">
        <f>319 / 86400</f>
        <v>3.6921296296296298E-3</v>
      </c>
      <c r="I163" t="s">
        <v>128</v>
      </c>
      <c r="J163" t="s">
        <v>125</v>
      </c>
      <c r="K163" s="5">
        <f>433 / 86400</f>
        <v>5.0115740740740737E-3</v>
      </c>
      <c r="L163" s="5">
        <f>3916 / 86400</f>
        <v>4.5324074074074072E-2</v>
      </c>
    </row>
    <row r="164" spans="1:12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</row>
    <row r="165" spans="1:12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</row>
    <row r="166" spans="1:12" s="10" customFormat="1" ht="20.100000000000001" customHeight="1" x14ac:dyDescent="0.35">
      <c r="A166" s="12" t="s">
        <v>430</v>
      </c>
      <c r="B166" s="12"/>
      <c r="C166" s="12"/>
      <c r="D166" s="12"/>
      <c r="E166" s="12"/>
      <c r="F166" s="12"/>
      <c r="G166" s="12"/>
      <c r="H166" s="12"/>
      <c r="I166" s="12"/>
      <c r="J166" s="12"/>
    </row>
    <row r="167" spans="1:12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</row>
    <row r="168" spans="1:12" ht="30" x14ac:dyDescent="0.25">
      <c r="A168" s="2" t="s">
        <v>5</v>
      </c>
      <c r="B168" s="2" t="s">
        <v>6</v>
      </c>
      <c r="C168" s="2" t="s">
        <v>7</v>
      </c>
      <c r="D168" s="2" t="s">
        <v>8</v>
      </c>
      <c r="E168" s="2" t="s">
        <v>9</v>
      </c>
      <c r="F168" s="2" t="s">
        <v>10</v>
      </c>
      <c r="G168" s="2" t="s">
        <v>11</v>
      </c>
      <c r="H168" s="2" t="s">
        <v>12</v>
      </c>
      <c r="I168" s="2" t="s">
        <v>13</v>
      </c>
      <c r="J168" s="2" t="s">
        <v>14</v>
      </c>
      <c r="K168" s="2" t="s">
        <v>15</v>
      </c>
      <c r="L168" s="2" t="s">
        <v>16</v>
      </c>
    </row>
    <row r="169" spans="1:12" x14ac:dyDescent="0.25">
      <c r="A169" s="3">
        <v>45701.208020833335</v>
      </c>
      <c r="B169" t="s">
        <v>27</v>
      </c>
      <c r="C169" s="3">
        <v>45701.335821759261</v>
      </c>
      <c r="D169" t="s">
        <v>175</v>
      </c>
      <c r="E169" s="4">
        <v>44.83</v>
      </c>
      <c r="F169" s="4">
        <v>92368.027000000002</v>
      </c>
      <c r="G169" s="4">
        <v>92412.857000000004</v>
      </c>
      <c r="H169" s="5">
        <f>3747 / 86400</f>
        <v>4.3368055555555556E-2</v>
      </c>
      <c r="I169" t="s">
        <v>32</v>
      </c>
      <c r="J169" t="s">
        <v>29</v>
      </c>
      <c r="K169" s="5">
        <f>11042 / 86400</f>
        <v>0.12780092592592593</v>
      </c>
      <c r="L169" s="5">
        <f>18887 / 86400</f>
        <v>0.21859953703703705</v>
      </c>
    </row>
    <row r="170" spans="1:12" x14ac:dyDescent="0.25">
      <c r="A170" s="3">
        <v>45701.346400462964</v>
      </c>
      <c r="B170" t="s">
        <v>175</v>
      </c>
      <c r="C170" s="3">
        <v>45701.472592592589</v>
      </c>
      <c r="D170" t="s">
        <v>158</v>
      </c>
      <c r="E170" s="4">
        <v>50.305999999999997</v>
      </c>
      <c r="F170" s="4">
        <v>92412.857000000004</v>
      </c>
      <c r="G170" s="4">
        <v>92463.163</v>
      </c>
      <c r="H170" s="5">
        <f>3078 / 86400</f>
        <v>3.5624999999999997E-2</v>
      </c>
      <c r="I170" t="s">
        <v>176</v>
      </c>
      <c r="J170" t="s">
        <v>20</v>
      </c>
      <c r="K170" s="5">
        <f>10902 / 86400</f>
        <v>0.12618055555555555</v>
      </c>
      <c r="L170" s="5">
        <f>977 / 86400</f>
        <v>1.1307870370370371E-2</v>
      </c>
    </row>
    <row r="171" spans="1:12" x14ac:dyDescent="0.25">
      <c r="A171" s="3">
        <v>45701.483900462961</v>
      </c>
      <c r="B171" t="s">
        <v>158</v>
      </c>
      <c r="C171" s="3">
        <v>45701.484155092592</v>
      </c>
      <c r="D171" t="s">
        <v>158</v>
      </c>
      <c r="E171" s="4">
        <v>0</v>
      </c>
      <c r="F171" s="4">
        <v>92463.163</v>
      </c>
      <c r="G171" s="4">
        <v>92463.163</v>
      </c>
      <c r="H171" s="5">
        <f>19 / 86400</f>
        <v>2.199074074074074E-4</v>
      </c>
      <c r="I171" t="s">
        <v>91</v>
      </c>
      <c r="J171" t="s">
        <v>91</v>
      </c>
      <c r="K171" s="5">
        <f>22 / 86400</f>
        <v>2.5462962962962961E-4</v>
      </c>
      <c r="L171" s="5">
        <f>4317 / 86400</f>
        <v>4.9965277777777775E-2</v>
      </c>
    </row>
    <row r="172" spans="1:12" x14ac:dyDescent="0.25">
      <c r="A172" s="3">
        <v>45701.534120370372</v>
      </c>
      <c r="B172" t="s">
        <v>104</v>
      </c>
      <c r="C172" s="3">
        <v>45701.549849537041</v>
      </c>
      <c r="D172" t="s">
        <v>131</v>
      </c>
      <c r="E172" s="4">
        <v>1.2230000000000001</v>
      </c>
      <c r="F172" s="4">
        <v>92463.163</v>
      </c>
      <c r="G172" s="4">
        <v>92464.385999999999</v>
      </c>
      <c r="H172" s="5">
        <f>1079 / 86400</f>
        <v>1.2488425925925925E-2</v>
      </c>
      <c r="I172" t="s">
        <v>169</v>
      </c>
      <c r="J172" t="s">
        <v>124</v>
      </c>
      <c r="K172" s="5">
        <f>1358 / 86400</f>
        <v>1.5717592592592592E-2</v>
      </c>
      <c r="L172" s="5">
        <f>2073 / 86400</f>
        <v>2.3993055555555556E-2</v>
      </c>
    </row>
    <row r="173" spans="1:12" x14ac:dyDescent="0.25">
      <c r="A173" s="3">
        <v>45701.573842592596</v>
      </c>
      <c r="B173" t="s">
        <v>131</v>
      </c>
      <c r="C173" s="3">
        <v>45701.578240740739</v>
      </c>
      <c r="D173" t="s">
        <v>104</v>
      </c>
      <c r="E173" s="4">
        <v>1.31</v>
      </c>
      <c r="F173" s="4">
        <v>92464.385999999999</v>
      </c>
      <c r="G173" s="4">
        <v>92465.695999999996</v>
      </c>
      <c r="H173" s="5">
        <f>39 / 86400</f>
        <v>4.5138888888888887E-4</v>
      </c>
      <c r="I173" t="s">
        <v>145</v>
      </c>
      <c r="J173" t="s">
        <v>120</v>
      </c>
      <c r="K173" s="5">
        <f>379 / 86400</f>
        <v>4.386574074074074E-3</v>
      </c>
      <c r="L173" s="5">
        <f>4604 / 86400</f>
        <v>5.3287037037037036E-2</v>
      </c>
    </row>
    <row r="174" spans="1:12" x14ac:dyDescent="0.25">
      <c r="A174" s="3">
        <v>45701.631527777776</v>
      </c>
      <c r="B174" t="s">
        <v>104</v>
      </c>
      <c r="C174" s="3">
        <v>45701.632430555561</v>
      </c>
      <c r="D174" t="s">
        <v>158</v>
      </c>
      <c r="E174" s="4">
        <v>7.9000000000000001E-2</v>
      </c>
      <c r="F174" s="4">
        <v>92465.695999999996</v>
      </c>
      <c r="G174" s="4">
        <v>92465.774999999994</v>
      </c>
      <c r="H174" s="5">
        <f>19 / 86400</f>
        <v>2.199074074074074E-4</v>
      </c>
      <c r="I174" t="s">
        <v>161</v>
      </c>
      <c r="J174" t="s">
        <v>177</v>
      </c>
      <c r="K174" s="5">
        <f>78 / 86400</f>
        <v>9.0277777777777774E-4</v>
      </c>
      <c r="L174" s="5">
        <f>370 / 86400</f>
        <v>4.2824074074074075E-3</v>
      </c>
    </row>
    <row r="175" spans="1:12" x14ac:dyDescent="0.25">
      <c r="A175" s="3">
        <v>45701.636712962965</v>
      </c>
      <c r="B175" t="s">
        <v>158</v>
      </c>
      <c r="C175" s="3">
        <v>45701.836273148147</v>
      </c>
      <c r="D175" t="s">
        <v>35</v>
      </c>
      <c r="E175" s="4">
        <v>74.697999999999993</v>
      </c>
      <c r="F175" s="4">
        <v>92465.774999999994</v>
      </c>
      <c r="G175" s="4">
        <v>92540.472999999998</v>
      </c>
      <c r="H175" s="5">
        <f>4700 / 86400</f>
        <v>5.4398148148148147E-2</v>
      </c>
      <c r="I175" t="s">
        <v>55</v>
      </c>
      <c r="J175" t="s">
        <v>51</v>
      </c>
      <c r="K175" s="5">
        <f>17242 / 86400</f>
        <v>0.19956018518518517</v>
      </c>
      <c r="L175" s="5">
        <f>313 / 86400</f>
        <v>3.6226851851851854E-3</v>
      </c>
    </row>
    <row r="176" spans="1:12" x14ac:dyDescent="0.25">
      <c r="A176" s="3">
        <v>45701.839895833335</v>
      </c>
      <c r="B176" t="s">
        <v>35</v>
      </c>
      <c r="C176" s="3">
        <v>45701.84065972222</v>
      </c>
      <c r="D176" t="s">
        <v>35</v>
      </c>
      <c r="E176" s="4">
        <v>4.3999999999999997E-2</v>
      </c>
      <c r="F176" s="4">
        <v>92540.472999999998</v>
      </c>
      <c r="G176" s="4">
        <v>92540.517000000007</v>
      </c>
      <c r="H176" s="5">
        <f>0 / 86400</f>
        <v>0</v>
      </c>
      <c r="I176" t="s">
        <v>156</v>
      </c>
      <c r="J176" t="s">
        <v>110</v>
      </c>
      <c r="K176" s="5">
        <f>65 / 86400</f>
        <v>7.5231481481481482E-4</v>
      </c>
      <c r="L176" s="5">
        <f>242 / 86400</f>
        <v>2.8009259259259259E-3</v>
      </c>
    </row>
    <row r="177" spans="1:12" x14ac:dyDescent="0.25">
      <c r="A177" s="3">
        <v>45701.843460648146</v>
      </c>
      <c r="B177" t="s">
        <v>73</v>
      </c>
      <c r="C177" s="3">
        <v>45701.848634259259</v>
      </c>
      <c r="D177" t="s">
        <v>178</v>
      </c>
      <c r="E177" s="4">
        <v>1.5329999999999999</v>
      </c>
      <c r="F177" s="4">
        <v>92540.517000000007</v>
      </c>
      <c r="G177" s="4">
        <v>92542.05</v>
      </c>
      <c r="H177" s="5">
        <f>100 / 86400</f>
        <v>1.1574074074074073E-3</v>
      </c>
      <c r="I177" t="s">
        <v>179</v>
      </c>
      <c r="J177" t="s">
        <v>120</v>
      </c>
      <c r="K177" s="5">
        <f>447 / 86400</f>
        <v>5.1736111111111115E-3</v>
      </c>
      <c r="L177" s="5">
        <f>59 / 86400</f>
        <v>6.8287037037037036E-4</v>
      </c>
    </row>
    <row r="178" spans="1:12" x14ac:dyDescent="0.25">
      <c r="A178" s="3">
        <v>45701.849317129629</v>
      </c>
      <c r="B178" t="s">
        <v>178</v>
      </c>
      <c r="C178" s="3">
        <v>45701.855532407411</v>
      </c>
      <c r="D178" t="s">
        <v>180</v>
      </c>
      <c r="E178" s="4">
        <v>1.042</v>
      </c>
      <c r="F178" s="4">
        <v>92542.05</v>
      </c>
      <c r="G178" s="4">
        <v>92543.092000000004</v>
      </c>
      <c r="H178" s="5">
        <f>99 / 86400</f>
        <v>1.1458333333333333E-3</v>
      </c>
      <c r="I178" t="s">
        <v>51</v>
      </c>
      <c r="J178" t="s">
        <v>161</v>
      </c>
      <c r="K178" s="5">
        <f>537 / 86400</f>
        <v>6.2152777777777779E-3</v>
      </c>
      <c r="L178" s="5">
        <f>1513 / 86400</f>
        <v>1.7511574074074075E-2</v>
      </c>
    </row>
    <row r="179" spans="1:12" x14ac:dyDescent="0.25">
      <c r="A179" s="3">
        <v>45701.873043981483</v>
      </c>
      <c r="B179" t="s">
        <v>180</v>
      </c>
      <c r="C179" s="3">
        <v>45701.875775462962</v>
      </c>
      <c r="D179" t="s">
        <v>178</v>
      </c>
      <c r="E179" s="4">
        <v>0.373</v>
      </c>
      <c r="F179" s="4">
        <v>92543.092000000004</v>
      </c>
      <c r="G179" s="4">
        <v>92543.464999999997</v>
      </c>
      <c r="H179" s="5">
        <f>79 / 86400</f>
        <v>9.1435185185185185E-4</v>
      </c>
      <c r="I179" t="s">
        <v>149</v>
      </c>
      <c r="J179" t="s">
        <v>156</v>
      </c>
      <c r="K179" s="5">
        <f>236 / 86400</f>
        <v>2.7314814814814814E-3</v>
      </c>
      <c r="L179" s="5">
        <f>261 / 86400</f>
        <v>3.0208333333333333E-3</v>
      </c>
    </row>
    <row r="180" spans="1:12" x14ac:dyDescent="0.25">
      <c r="A180" s="3">
        <v>45701.878796296296</v>
      </c>
      <c r="B180" t="s">
        <v>178</v>
      </c>
      <c r="C180" s="3">
        <v>45701.892060185186</v>
      </c>
      <c r="D180" t="s">
        <v>27</v>
      </c>
      <c r="E180" s="4">
        <v>6.0030000000000001</v>
      </c>
      <c r="F180" s="4">
        <v>92543.464999999997</v>
      </c>
      <c r="G180" s="4">
        <v>92549.467999999993</v>
      </c>
      <c r="H180" s="5">
        <f>79 / 86400</f>
        <v>9.1435185185185185E-4</v>
      </c>
      <c r="I180" t="s">
        <v>173</v>
      </c>
      <c r="J180" t="s">
        <v>23</v>
      </c>
      <c r="K180" s="5">
        <f>1146 / 86400</f>
        <v>1.3263888888888889E-2</v>
      </c>
      <c r="L180" s="5">
        <f>60 / 86400</f>
        <v>6.9444444444444447E-4</v>
      </c>
    </row>
    <row r="181" spans="1:12" x14ac:dyDescent="0.25">
      <c r="A181" s="3">
        <v>45701.892754629633</v>
      </c>
      <c r="B181" t="s">
        <v>27</v>
      </c>
      <c r="C181" s="3">
        <v>45701.893101851849</v>
      </c>
      <c r="D181" t="s">
        <v>27</v>
      </c>
      <c r="E181" s="4">
        <v>0</v>
      </c>
      <c r="F181" s="4">
        <v>92549.467999999993</v>
      </c>
      <c r="G181" s="4">
        <v>92549.467999999993</v>
      </c>
      <c r="H181" s="5">
        <f>19 / 86400</f>
        <v>2.199074074074074E-4</v>
      </c>
      <c r="I181" t="s">
        <v>91</v>
      </c>
      <c r="J181" t="s">
        <v>91</v>
      </c>
      <c r="K181" s="5">
        <f>29 / 86400</f>
        <v>3.3564814814814812E-4</v>
      </c>
      <c r="L181" s="5">
        <f>9235 / 86400</f>
        <v>0.10688657407407408</v>
      </c>
    </row>
    <row r="182" spans="1:12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</row>
    <row r="183" spans="1:12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</row>
    <row r="184" spans="1:12" s="10" customFormat="1" ht="20.100000000000001" customHeight="1" x14ac:dyDescent="0.35">
      <c r="A184" s="12" t="s">
        <v>431</v>
      </c>
      <c r="B184" s="12"/>
      <c r="C184" s="12"/>
      <c r="D184" s="12"/>
      <c r="E184" s="12"/>
      <c r="F184" s="12"/>
      <c r="G184" s="12"/>
      <c r="H184" s="12"/>
      <c r="I184" s="12"/>
      <c r="J184" s="12"/>
    </row>
    <row r="185" spans="1:12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</row>
    <row r="186" spans="1:12" ht="30" x14ac:dyDescent="0.25">
      <c r="A186" s="2" t="s">
        <v>5</v>
      </c>
      <c r="B186" s="2" t="s">
        <v>6</v>
      </c>
      <c r="C186" s="2" t="s">
        <v>7</v>
      </c>
      <c r="D186" s="2" t="s">
        <v>8</v>
      </c>
      <c r="E186" s="2" t="s">
        <v>9</v>
      </c>
      <c r="F186" s="2" t="s">
        <v>10</v>
      </c>
      <c r="G186" s="2" t="s">
        <v>11</v>
      </c>
      <c r="H186" s="2" t="s">
        <v>12</v>
      </c>
      <c r="I186" s="2" t="s">
        <v>13</v>
      </c>
      <c r="J186" s="2" t="s">
        <v>14</v>
      </c>
      <c r="K186" s="2" t="s">
        <v>15</v>
      </c>
      <c r="L186" s="2" t="s">
        <v>16</v>
      </c>
    </row>
    <row r="187" spans="1:12" x14ac:dyDescent="0.25">
      <c r="A187" s="3">
        <v>45701.177222222221</v>
      </c>
      <c r="B187" t="s">
        <v>17</v>
      </c>
      <c r="C187" s="3">
        <v>45701.197708333333</v>
      </c>
      <c r="D187" t="s">
        <v>181</v>
      </c>
      <c r="E187" s="4">
        <v>9.0790000000000006</v>
      </c>
      <c r="F187" s="4">
        <v>137832.889</v>
      </c>
      <c r="G187" s="4">
        <v>137841.96799999999</v>
      </c>
      <c r="H187" s="5">
        <f>679 / 86400</f>
        <v>7.858796296296296E-3</v>
      </c>
      <c r="I187" t="s">
        <v>182</v>
      </c>
      <c r="J187" t="s">
        <v>76</v>
      </c>
      <c r="K187" s="5">
        <f>1770 / 86400</f>
        <v>2.0486111111111111E-2</v>
      </c>
      <c r="L187" s="5">
        <f>15387 / 86400</f>
        <v>0.17809027777777778</v>
      </c>
    </row>
    <row r="188" spans="1:12" x14ac:dyDescent="0.25">
      <c r="A188" s="3">
        <v>45701.198576388888</v>
      </c>
      <c r="B188" t="s">
        <v>181</v>
      </c>
      <c r="C188" s="3">
        <v>45701.270925925928</v>
      </c>
      <c r="D188" t="s">
        <v>183</v>
      </c>
      <c r="E188" s="4">
        <v>40.363</v>
      </c>
      <c r="F188" s="4">
        <v>137841.96799999999</v>
      </c>
      <c r="G188" s="4">
        <v>137882.33100000001</v>
      </c>
      <c r="H188" s="5">
        <f>1180 / 86400</f>
        <v>1.3657407407407408E-2</v>
      </c>
      <c r="I188" t="s">
        <v>184</v>
      </c>
      <c r="J188" t="s">
        <v>152</v>
      </c>
      <c r="K188" s="5">
        <f>6250 / 86400</f>
        <v>7.2337962962962965E-2</v>
      </c>
      <c r="L188" s="5">
        <f>33 / 86400</f>
        <v>3.8194444444444446E-4</v>
      </c>
    </row>
    <row r="189" spans="1:12" x14ac:dyDescent="0.25">
      <c r="A189" s="3">
        <v>45701.271307870367</v>
      </c>
      <c r="B189" t="s">
        <v>183</v>
      </c>
      <c r="C189" s="3">
        <v>45701.272453703699</v>
      </c>
      <c r="D189" t="s">
        <v>133</v>
      </c>
      <c r="E189" s="4">
        <v>0.42599999999999999</v>
      </c>
      <c r="F189" s="4">
        <v>137882.33100000001</v>
      </c>
      <c r="G189" s="4">
        <v>137882.75700000001</v>
      </c>
      <c r="H189" s="5">
        <f>0 / 86400</f>
        <v>0</v>
      </c>
      <c r="I189" t="s">
        <v>135</v>
      </c>
      <c r="J189" t="s">
        <v>51</v>
      </c>
      <c r="K189" s="5">
        <f>98 / 86400</f>
        <v>1.1342592592592593E-3</v>
      </c>
      <c r="L189" s="5">
        <f>1851 / 86400</f>
        <v>2.1423611111111112E-2</v>
      </c>
    </row>
    <row r="190" spans="1:12" x14ac:dyDescent="0.25">
      <c r="A190" s="3">
        <v>45701.29387731482</v>
      </c>
      <c r="B190" t="s">
        <v>133</v>
      </c>
      <c r="C190" s="3">
        <v>45701.380162037036</v>
      </c>
      <c r="D190" t="s">
        <v>185</v>
      </c>
      <c r="E190" s="4">
        <v>40.128</v>
      </c>
      <c r="F190" s="4">
        <v>137882.75700000001</v>
      </c>
      <c r="G190" s="4">
        <v>137922.88500000001</v>
      </c>
      <c r="H190" s="5">
        <f>2318 / 86400</f>
        <v>2.6828703703703705E-2</v>
      </c>
      <c r="I190" t="s">
        <v>32</v>
      </c>
      <c r="J190" t="s">
        <v>23</v>
      </c>
      <c r="K190" s="5">
        <f>7454 / 86400</f>
        <v>8.6273148148148154E-2</v>
      </c>
      <c r="L190" s="5">
        <f>136 / 86400</f>
        <v>1.5740740740740741E-3</v>
      </c>
    </row>
    <row r="191" spans="1:12" x14ac:dyDescent="0.25">
      <c r="A191" s="3">
        <v>45701.381736111114</v>
      </c>
      <c r="B191" t="s">
        <v>185</v>
      </c>
      <c r="C191" s="3">
        <v>45701.467893518522</v>
      </c>
      <c r="D191" t="s">
        <v>158</v>
      </c>
      <c r="E191" s="4">
        <v>38.255000000000003</v>
      </c>
      <c r="F191" s="4">
        <v>137922.88500000001</v>
      </c>
      <c r="G191" s="4">
        <v>137961.14000000001</v>
      </c>
      <c r="H191" s="5">
        <f>2041 / 86400</f>
        <v>2.3622685185185184E-2</v>
      </c>
      <c r="I191" t="s">
        <v>186</v>
      </c>
      <c r="J191" t="s">
        <v>23</v>
      </c>
      <c r="K191" s="5">
        <f>7443 / 86400</f>
        <v>8.6145833333333338E-2</v>
      </c>
      <c r="L191" s="5">
        <f>334 / 86400</f>
        <v>3.8657407407407408E-3</v>
      </c>
    </row>
    <row r="192" spans="1:12" x14ac:dyDescent="0.25">
      <c r="A192" s="3">
        <v>45701.471759259264</v>
      </c>
      <c r="B192" t="s">
        <v>158</v>
      </c>
      <c r="C192" s="3">
        <v>45701.47347222222</v>
      </c>
      <c r="D192" t="s">
        <v>158</v>
      </c>
      <c r="E192" s="4">
        <v>2.9000000000000001E-2</v>
      </c>
      <c r="F192" s="4">
        <v>137961.14000000001</v>
      </c>
      <c r="G192" s="4">
        <v>137961.16899999999</v>
      </c>
      <c r="H192" s="5">
        <f>80 / 86400</f>
        <v>9.2592592592592596E-4</v>
      </c>
      <c r="I192" t="s">
        <v>156</v>
      </c>
      <c r="J192" t="s">
        <v>125</v>
      </c>
      <c r="K192" s="5">
        <f>147 / 86400</f>
        <v>1.7013888888888888E-3</v>
      </c>
      <c r="L192" s="5">
        <f>2098 / 86400</f>
        <v>2.4282407407407409E-2</v>
      </c>
    </row>
    <row r="193" spans="1:12" x14ac:dyDescent="0.25">
      <c r="A193" s="3">
        <v>45701.497754629629</v>
      </c>
      <c r="B193" t="s">
        <v>158</v>
      </c>
      <c r="C193" s="3">
        <v>45701.580185185187</v>
      </c>
      <c r="D193" t="s">
        <v>187</v>
      </c>
      <c r="E193" s="4">
        <v>34.314999999999998</v>
      </c>
      <c r="F193" s="4">
        <v>137961.16899999999</v>
      </c>
      <c r="G193" s="4">
        <v>137995.484</v>
      </c>
      <c r="H193" s="5">
        <f>2779 / 86400</f>
        <v>3.2164351851851854E-2</v>
      </c>
      <c r="I193" t="s">
        <v>55</v>
      </c>
      <c r="J193" t="s">
        <v>20</v>
      </c>
      <c r="K193" s="5">
        <f>7122 / 86400</f>
        <v>8.2430555555555562E-2</v>
      </c>
      <c r="L193" s="5">
        <f>221 / 86400</f>
        <v>2.5578703703703705E-3</v>
      </c>
    </row>
    <row r="194" spans="1:12" x14ac:dyDescent="0.25">
      <c r="A194" s="3">
        <v>45701.582743055551</v>
      </c>
      <c r="B194" t="s">
        <v>187</v>
      </c>
      <c r="C194" s="3">
        <v>45701.583993055552</v>
      </c>
      <c r="D194" t="s">
        <v>188</v>
      </c>
      <c r="E194" s="4">
        <v>0.442</v>
      </c>
      <c r="F194" s="4">
        <v>137995.484</v>
      </c>
      <c r="G194" s="4">
        <v>137995.92600000001</v>
      </c>
      <c r="H194" s="5">
        <f>20 / 86400</f>
        <v>2.3148148148148149E-4</v>
      </c>
      <c r="I194" t="s">
        <v>155</v>
      </c>
      <c r="J194" t="s">
        <v>29</v>
      </c>
      <c r="K194" s="5">
        <f>108 / 86400</f>
        <v>1.25E-3</v>
      </c>
      <c r="L194" s="5">
        <f>763 / 86400</f>
        <v>8.8310185185185193E-3</v>
      </c>
    </row>
    <row r="195" spans="1:12" x14ac:dyDescent="0.25">
      <c r="A195" s="3">
        <v>45701.592824074076</v>
      </c>
      <c r="B195" t="s">
        <v>188</v>
      </c>
      <c r="C195" s="3">
        <v>45701.724629629629</v>
      </c>
      <c r="D195" t="s">
        <v>185</v>
      </c>
      <c r="E195" s="4">
        <v>67.007000000000005</v>
      </c>
      <c r="F195" s="4">
        <v>137995.92600000001</v>
      </c>
      <c r="G195" s="4">
        <v>138062.93299999999</v>
      </c>
      <c r="H195" s="5">
        <f>2580 / 86400</f>
        <v>2.9861111111111113E-2</v>
      </c>
      <c r="I195" t="s">
        <v>189</v>
      </c>
      <c r="J195" t="s">
        <v>74</v>
      </c>
      <c r="K195" s="5">
        <f>11387 / 86400</f>
        <v>0.13179398148148147</v>
      </c>
      <c r="L195" s="5">
        <f>158 / 86400</f>
        <v>1.8287037037037037E-3</v>
      </c>
    </row>
    <row r="196" spans="1:12" x14ac:dyDescent="0.25">
      <c r="A196" s="3">
        <v>45701.726458333331</v>
      </c>
      <c r="B196" t="s">
        <v>185</v>
      </c>
      <c r="C196" s="3">
        <v>45701.797858796301</v>
      </c>
      <c r="D196" t="s">
        <v>190</v>
      </c>
      <c r="E196" s="4">
        <v>25.251000000000001</v>
      </c>
      <c r="F196" s="4">
        <v>138062.93299999999</v>
      </c>
      <c r="G196" s="4">
        <v>138088.18400000001</v>
      </c>
      <c r="H196" s="5">
        <f>1800 / 86400</f>
        <v>2.0833333333333332E-2</v>
      </c>
      <c r="I196" t="s">
        <v>191</v>
      </c>
      <c r="J196" t="s">
        <v>29</v>
      </c>
      <c r="K196" s="5">
        <f>6169 / 86400</f>
        <v>7.1400462962962957E-2</v>
      </c>
      <c r="L196" s="5">
        <f>690 / 86400</f>
        <v>7.9861111111111105E-3</v>
      </c>
    </row>
    <row r="197" spans="1:12" x14ac:dyDescent="0.25">
      <c r="A197" s="3">
        <v>45701.805844907409</v>
      </c>
      <c r="B197" t="s">
        <v>190</v>
      </c>
      <c r="C197" s="3">
        <v>45701.850474537037</v>
      </c>
      <c r="D197" t="s">
        <v>192</v>
      </c>
      <c r="E197" s="4">
        <v>21.263000000000002</v>
      </c>
      <c r="F197" s="4">
        <v>138088.18400000001</v>
      </c>
      <c r="G197" s="4">
        <v>138109.44699999999</v>
      </c>
      <c r="H197" s="5">
        <f>879 / 86400</f>
        <v>1.0173611111111111E-2</v>
      </c>
      <c r="I197" t="s">
        <v>193</v>
      </c>
      <c r="J197" t="s">
        <v>34</v>
      </c>
      <c r="K197" s="5">
        <f>3856 / 86400</f>
        <v>4.462962962962963E-2</v>
      </c>
      <c r="L197" s="5">
        <f>361 / 86400</f>
        <v>4.178240740740741E-3</v>
      </c>
    </row>
    <row r="198" spans="1:12" x14ac:dyDescent="0.25">
      <c r="A198" s="3">
        <v>45701.85465277778</v>
      </c>
      <c r="B198" t="s">
        <v>192</v>
      </c>
      <c r="C198" s="3">
        <v>45701.858402777776</v>
      </c>
      <c r="D198" t="s">
        <v>192</v>
      </c>
      <c r="E198" s="4">
        <v>0.56799999999999995</v>
      </c>
      <c r="F198" s="4">
        <v>138109.44699999999</v>
      </c>
      <c r="G198" s="4">
        <v>138110.01500000001</v>
      </c>
      <c r="H198" s="5">
        <f>119 / 86400</f>
        <v>1.3773148148148147E-3</v>
      </c>
      <c r="I198" t="s">
        <v>74</v>
      </c>
      <c r="J198" t="s">
        <v>156</v>
      </c>
      <c r="K198" s="5">
        <f>324 / 86400</f>
        <v>3.7499999999999999E-3</v>
      </c>
      <c r="L198" s="5">
        <f>183 / 86400</f>
        <v>2.1180555555555558E-3</v>
      </c>
    </row>
    <row r="199" spans="1:12" x14ac:dyDescent="0.25">
      <c r="A199" s="3">
        <v>45701.860520833332</v>
      </c>
      <c r="B199" t="s">
        <v>192</v>
      </c>
      <c r="C199" s="3">
        <v>45701.862164351856</v>
      </c>
      <c r="D199" t="s">
        <v>17</v>
      </c>
      <c r="E199" s="4">
        <v>0.44</v>
      </c>
      <c r="F199" s="4">
        <v>138110.01500000001</v>
      </c>
      <c r="G199" s="4">
        <v>138110.45499999999</v>
      </c>
      <c r="H199" s="5">
        <f>20 / 86400</f>
        <v>2.3148148148148149E-4</v>
      </c>
      <c r="I199" t="s">
        <v>132</v>
      </c>
      <c r="J199" t="s">
        <v>149</v>
      </c>
      <c r="K199" s="5">
        <f>142 / 86400</f>
        <v>1.6435185185185185E-3</v>
      </c>
      <c r="L199" s="5">
        <f>38 / 86400</f>
        <v>4.3981481481481481E-4</v>
      </c>
    </row>
    <row r="200" spans="1:12" x14ac:dyDescent="0.25">
      <c r="A200" s="3">
        <v>45701.862604166672</v>
      </c>
      <c r="B200" t="s">
        <v>17</v>
      </c>
      <c r="C200" s="3">
        <v>45701.863796296297</v>
      </c>
      <c r="D200" t="s">
        <v>17</v>
      </c>
      <c r="E200" s="4">
        <v>6.5000000000000002E-2</v>
      </c>
      <c r="F200" s="4">
        <v>138110.45499999999</v>
      </c>
      <c r="G200" s="4">
        <v>138110.51999999999</v>
      </c>
      <c r="H200" s="5">
        <f>99 / 86400</f>
        <v>1.1458333333333333E-3</v>
      </c>
      <c r="I200" t="s">
        <v>91</v>
      </c>
      <c r="J200" t="s">
        <v>110</v>
      </c>
      <c r="K200" s="5">
        <f>102 / 86400</f>
        <v>1.1805555555555556E-3</v>
      </c>
      <c r="L200" s="5">
        <f>4468 / 86400</f>
        <v>5.1712962962962961E-2</v>
      </c>
    </row>
    <row r="201" spans="1:12" x14ac:dyDescent="0.25">
      <c r="A201" s="3">
        <v>45701.915509259255</v>
      </c>
      <c r="B201" t="s">
        <v>17</v>
      </c>
      <c r="C201" s="3">
        <v>45701.921226851853</v>
      </c>
      <c r="D201" t="s">
        <v>17</v>
      </c>
      <c r="E201" s="4">
        <v>1.4E-2</v>
      </c>
      <c r="F201" s="4">
        <v>138110.51999999999</v>
      </c>
      <c r="G201" s="4">
        <v>138110.53400000001</v>
      </c>
      <c r="H201" s="5">
        <f>459 / 86400</f>
        <v>5.3125000000000004E-3</v>
      </c>
      <c r="I201" t="s">
        <v>37</v>
      </c>
      <c r="J201" t="s">
        <v>91</v>
      </c>
      <c r="K201" s="5">
        <f>494 / 86400</f>
        <v>5.7175925925925927E-3</v>
      </c>
      <c r="L201" s="5">
        <f>210 / 86400</f>
        <v>2.4305555555555556E-3</v>
      </c>
    </row>
    <row r="202" spans="1:12" x14ac:dyDescent="0.25">
      <c r="A202" s="3">
        <v>45701.923657407402</v>
      </c>
      <c r="B202" t="s">
        <v>17</v>
      </c>
      <c r="C202" s="3">
        <v>45701.962488425925</v>
      </c>
      <c r="D202" t="s">
        <v>194</v>
      </c>
      <c r="E202" s="4">
        <v>22.605</v>
      </c>
      <c r="F202" s="4">
        <v>138110.53400000001</v>
      </c>
      <c r="G202" s="4">
        <v>138133.139</v>
      </c>
      <c r="H202" s="5">
        <f>539 / 86400</f>
        <v>6.2384259259259259E-3</v>
      </c>
      <c r="I202" t="s">
        <v>195</v>
      </c>
      <c r="J202" t="s">
        <v>130</v>
      </c>
      <c r="K202" s="5">
        <f>3355 / 86400</f>
        <v>3.8831018518518522E-2</v>
      </c>
      <c r="L202" s="5">
        <f>189 / 86400</f>
        <v>2.1875000000000002E-3</v>
      </c>
    </row>
    <row r="203" spans="1:12" x14ac:dyDescent="0.25">
      <c r="A203" s="3">
        <v>45701.964675925927</v>
      </c>
      <c r="B203" t="s">
        <v>194</v>
      </c>
      <c r="C203" s="3">
        <v>45701.988206018519</v>
      </c>
      <c r="D203" t="s">
        <v>154</v>
      </c>
      <c r="E203" s="4">
        <v>9.7240000000000002</v>
      </c>
      <c r="F203" s="4">
        <v>138133.139</v>
      </c>
      <c r="G203" s="4">
        <v>138142.86300000001</v>
      </c>
      <c r="H203" s="5">
        <f>79 / 86400</f>
        <v>9.1435185185185185E-4</v>
      </c>
      <c r="I203" t="s">
        <v>74</v>
      </c>
      <c r="J203" t="s">
        <v>20</v>
      </c>
      <c r="K203" s="5">
        <f>2033 / 86400</f>
        <v>2.3530092592592592E-2</v>
      </c>
      <c r="L203" s="5">
        <f>65 / 86400</f>
        <v>7.5231481481481482E-4</v>
      </c>
    </row>
    <row r="204" spans="1:12" x14ac:dyDescent="0.25">
      <c r="A204" s="3">
        <v>45701.988958333328</v>
      </c>
      <c r="B204" t="s">
        <v>154</v>
      </c>
      <c r="C204" s="3">
        <v>45701.99998842593</v>
      </c>
      <c r="D204" t="s">
        <v>18</v>
      </c>
      <c r="E204" s="4">
        <v>9.8000000000000004E-2</v>
      </c>
      <c r="F204" s="4">
        <v>138142.86300000001</v>
      </c>
      <c r="G204" s="4">
        <v>138142.96100000001</v>
      </c>
      <c r="H204" s="5">
        <f>879 / 86400</f>
        <v>1.0173611111111111E-2</v>
      </c>
      <c r="I204" t="s">
        <v>37</v>
      </c>
      <c r="J204" t="s">
        <v>91</v>
      </c>
      <c r="K204" s="5">
        <f>953 / 86400</f>
        <v>1.1030092592592593E-2</v>
      </c>
      <c r="L204" s="5">
        <f>0 / 86400</f>
        <v>0</v>
      </c>
    </row>
    <row r="205" spans="1:12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</row>
    <row r="206" spans="1:12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</row>
    <row r="207" spans="1:12" s="10" customFormat="1" ht="20.100000000000001" customHeight="1" x14ac:dyDescent="0.35">
      <c r="A207" s="12" t="s">
        <v>432</v>
      </c>
      <c r="B207" s="12"/>
      <c r="C207" s="12"/>
      <c r="D207" s="12"/>
      <c r="E207" s="12"/>
      <c r="F207" s="12"/>
      <c r="G207" s="12"/>
      <c r="H207" s="12"/>
      <c r="I207" s="12"/>
      <c r="J207" s="12"/>
    </row>
    <row r="208" spans="1:12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</row>
    <row r="209" spans="1:12" ht="30" x14ac:dyDescent="0.25">
      <c r="A209" s="2" t="s">
        <v>5</v>
      </c>
      <c r="B209" s="2" t="s">
        <v>6</v>
      </c>
      <c r="C209" s="2" t="s">
        <v>7</v>
      </c>
      <c r="D209" s="2" t="s">
        <v>8</v>
      </c>
      <c r="E209" s="2" t="s">
        <v>9</v>
      </c>
      <c r="F209" s="2" t="s">
        <v>10</v>
      </c>
      <c r="G209" s="2" t="s">
        <v>11</v>
      </c>
      <c r="H209" s="2" t="s">
        <v>12</v>
      </c>
      <c r="I209" s="2" t="s">
        <v>13</v>
      </c>
      <c r="J209" s="2" t="s">
        <v>14</v>
      </c>
      <c r="K209" s="2" t="s">
        <v>15</v>
      </c>
      <c r="L209" s="2" t="s">
        <v>16</v>
      </c>
    </row>
    <row r="210" spans="1:12" x14ac:dyDescent="0.25">
      <c r="A210" s="3">
        <v>45701.212349537032</v>
      </c>
      <c r="B210" t="s">
        <v>27</v>
      </c>
      <c r="C210" s="3">
        <v>45701.212581018517</v>
      </c>
      <c r="D210" t="s">
        <v>27</v>
      </c>
      <c r="E210" s="4">
        <v>1.3355666399002075E-3</v>
      </c>
      <c r="F210" s="4">
        <v>347840.96284533606</v>
      </c>
      <c r="G210" s="4">
        <v>347840.96418090269</v>
      </c>
      <c r="H210" s="5">
        <f t="shared" ref="H210:H273" si="0">0 / 86400</f>
        <v>0</v>
      </c>
      <c r="I210" t="s">
        <v>125</v>
      </c>
      <c r="J210" t="s">
        <v>91</v>
      </c>
      <c r="K210" s="5">
        <f>20 / 86400</f>
        <v>2.3148148148148149E-4</v>
      </c>
      <c r="L210" s="5">
        <f>18367 / 86400</f>
        <v>0.21258101851851852</v>
      </c>
    </row>
    <row r="211" spans="1:12" x14ac:dyDescent="0.25">
      <c r="A211" s="3">
        <v>45701.212812500002</v>
      </c>
      <c r="B211" t="s">
        <v>27</v>
      </c>
      <c r="C211" s="3">
        <v>45701.213043981479</v>
      </c>
      <c r="D211" t="s">
        <v>27</v>
      </c>
      <c r="E211" s="4">
        <v>3.2615156769752502E-3</v>
      </c>
      <c r="F211" s="4">
        <v>347840.96876145352</v>
      </c>
      <c r="G211" s="4">
        <v>347840.97202296916</v>
      </c>
      <c r="H211" s="5">
        <f t="shared" si="0"/>
        <v>0</v>
      </c>
      <c r="I211" t="s">
        <v>125</v>
      </c>
      <c r="J211" t="s">
        <v>125</v>
      </c>
      <c r="K211" s="5">
        <f>20 / 86400</f>
        <v>2.3148148148148149E-4</v>
      </c>
      <c r="L211" s="5">
        <f>29 / 86400</f>
        <v>3.3564814814814812E-4</v>
      </c>
    </row>
    <row r="212" spans="1:12" x14ac:dyDescent="0.25">
      <c r="A212" s="3">
        <v>45701.213379629626</v>
      </c>
      <c r="B212" t="s">
        <v>27</v>
      </c>
      <c r="C212" s="3">
        <v>45701.221574074079</v>
      </c>
      <c r="D212" t="s">
        <v>196</v>
      </c>
      <c r="E212" s="4">
        <v>5.8032477279901507</v>
      </c>
      <c r="F212" s="4">
        <v>347840.98342182668</v>
      </c>
      <c r="G212" s="4">
        <v>347846.78666955465</v>
      </c>
      <c r="H212" s="5">
        <f t="shared" si="0"/>
        <v>0</v>
      </c>
      <c r="I212" t="s">
        <v>182</v>
      </c>
      <c r="J212" t="s">
        <v>71</v>
      </c>
      <c r="K212" s="5">
        <f>708 / 86400</f>
        <v>8.1944444444444452E-3</v>
      </c>
      <c r="L212" s="5">
        <f>20 / 86400</f>
        <v>2.3148148148148149E-4</v>
      </c>
    </row>
    <row r="213" spans="1:12" x14ac:dyDescent="0.25">
      <c r="A213" s="3">
        <v>45701.221805555557</v>
      </c>
      <c r="B213" t="s">
        <v>196</v>
      </c>
      <c r="C213" s="3">
        <v>45701.222268518519</v>
      </c>
      <c r="D213" t="s">
        <v>171</v>
      </c>
      <c r="E213" s="4">
        <v>5.3736333191394807E-2</v>
      </c>
      <c r="F213" s="4">
        <v>347846.78830316215</v>
      </c>
      <c r="G213" s="4">
        <v>347846.84203949536</v>
      </c>
      <c r="H213" s="5">
        <f t="shared" si="0"/>
        <v>0</v>
      </c>
      <c r="I213" t="s">
        <v>37</v>
      </c>
      <c r="J213" t="s">
        <v>37</v>
      </c>
      <c r="K213" s="5">
        <f>40 / 86400</f>
        <v>4.6296296296296298E-4</v>
      </c>
      <c r="L213" s="5">
        <f>129 / 86400</f>
        <v>1.4930555555555556E-3</v>
      </c>
    </row>
    <row r="214" spans="1:12" x14ac:dyDescent="0.25">
      <c r="A214" s="3">
        <v>45701.223761574074</v>
      </c>
      <c r="B214" t="s">
        <v>171</v>
      </c>
      <c r="C214" s="3">
        <v>45701.224224537036</v>
      </c>
      <c r="D214" t="s">
        <v>171</v>
      </c>
      <c r="E214" s="4">
        <v>2.0480816125869751E-2</v>
      </c>
      <c r="F214" s="4">
        <v>347846.85612724302</v>
      </c>
      <c r="G214" s="4">
        <v>347846.87660805916</v>
      </c>
      <c r="H214" s="5">
        <f t="shared" si="0"/>
        <v>0</v>
      </c>
      <c r="I214" t="s">
        <v>37</v>
      </c>
      <c r="J214" t="s">
        <v>110</v>
      </c>
      <c r="K214" s="5">
        <f>40 / 86400</f>
        <v>4.6296296296296298E-4</v>
      </c>
      <c r="L214" s="5">
        <f>40 / 86400</f>
        <v>4.6296296296296298E-4</v>
      </c>
    </row>
    <row r="215" spans="1:12" x14ac:dyDescent="0.25">
      <c r="A215" s="3">
        <v>45701.224687499998</v>
      </c>
      <c r="B215" t="s">
        <v>171</v>
      </c>
      <c r="C215" s="3">
        <v>45701.224918981483</v>
      </c>
      <c r="D215" t="s">
        <v>171</v>
      </c>
      <c r="E215" s="4">
        <v>5.3741122484207158E-3</v>
      </c>
      <c r="F215" s="4">
        <v>347846.88758313836</v>
      </c>
      <c r="G215" s="4">
        <v>347846.89295725059</v>
      </c>
      <c r="H215" s="5">
        <f t="shared" si="0"/>
        <v>0</v>
      </c>
      <c r="I215" t="s">
        <v>156</v>
      </c>
      <c r="J215" t="s">
        <v>125</v>
      </c>
      <c r="K215" s="5">
        <f>20 / 86400</f>
        <v>2.3148148148148149E-4</v>
      </c>
      <c r="L215" s="5">
        <f>20 / 86400</f>
        <v>2.3148148148148149E-4</v>
      </c>
    </row>
    <row r="216" spans="1:12" x14ac:dyDescent="0.25">
      <c r="A216" s="3">
        <v>45701.225150462968</v>
      </c>
      <c r="B216" t="s">
        <v>171</v>
      </c>
      <c r="C216" s="3">
        <v>45701.225381944445</v>
      </c>
      <c r="D216" t="s">
        <v>197</v>
      </c>
      <c r="E216" s="4">
        <v>1.3427684426307679E-2</v>
      </c>
      <c r="F216" s="4">
        <v>347846.91100406932</v>
      </c>
      <c r="G216" s="4">
        <v>347846.92443175375</v>
      </c>
      <c r="H216" s="5">
        <f t="shared" si="0"/>
        <v>0</v>
      </c>
      <c r="I216" t="s">
        <v>90</v>
      </c>
      <c r="J216" t="s">
        <v>110</v>
      </c>
      <c r="K216" s="5">
        <f>20 / 86400</f>
        <v>2.3148148148148149E-4</v>
      </c>
      <c r="L216" s="5">
        <f>480 / 86400</f>
        <v>5.5555555555555558E-3</v>
      </c>
    </row>
    <row r="217" spans="1:12" x14ac:dyDescent="0.25">
      <c r="A217" s="3">
        <v>45701.230937500004</v>
      </c>
      <c r="B217" t="s">
        <v>197</v>
      </c>
      <c r="C217" s="3">
        <v>45701.231168981481</v>
      </c>
      <c r="D217" t="s">
        <v>197</v>
      </c>
      <c r="E217" s="4">
        <v>2.4429528117179871E-3</v>
      </c>
      <c r="F217" s="4">
        <v>347846.97362128738</v>
      </c>
      <c r="G217" s="4">
        <v>347846.97606424021</v>
      </c>
      <c r="H217" s="5">
        <f t="shared" si="0"/>
        <v>0</v>
      </c>
      <c r="I217" t="s">
        <v>125</v>
      </c>
      <c r="J217" t="s">
        <v>91</v>
      </c>
      <c r="K217" s="5">
        <f>20 / 86400</f>
        <v>2.3148148148148149E-4</v>
      </c>
      <c r="L217" s="5">
        <f>280 / 86400</f>
        <v>3.2407407407407406E-3</v>
      </c>
    </row>
    <row r="218" spans="1:12" x14ac:dyDescent="0.25">
      <c r="A218" s="3">
        <v>45701.234409722223</v>
      </c>
      <c r="B218" t="s">
        <v>197</v>
      </c>
      <c r="C218" s="3">
        <v>45701.2346412037</v>
      </c>
      <c r="D218" t="s">
        <v>197</v>
      </c>
      <c r="E218" s="4">
        <v>1.8247591674327851E-2</v>
      </c>
      <c r="F218" s="4">
        <v>347847.00995803921</v>
      </c>
      <c r="G218" s="4">
        <v>347847.02820563089</v>
      </c>
      <c r="H218" s="5">
        <f t="shared" si="0"/>
        <v>0</v>
      </c>
      <c r="I218" t="s">
        <v>124</v>
      </c>
      <c r="J218" t="s">
        <v>124</v>
      </c>
      <c r="K218" s="5">
        <f>20 / 86400</f>
        <v>2.3148148148148149E-4</v>
      </c>
      <c r="L218" s="5">
        <f>20 / 86400</f>
        <v>2.3148148148148149E-4</v>
      </c>
    </row>
    <row r="219" spans="1:12" x14ac:dyDescent="0.25">
      <c r="A219" s="3">
        <v>45701.234872685185</v>
      </c>
      <c r="B219" t="s">
        <v>197</v>
      </c>
      <c r="C219" s="3">
        <v>45701.23510416667</v>
      </c>
      <c r="D219" t="s">
        <v>197</v>
      </c>
      <c r="E219" s="4">
        <v>2.5760272145271303E-3</v>
      </c>
      <c r="F219" s="4">
        <v>347847.03001395584</v>
      </c>
      <c r="G219" s="4">
        <v>347847.03258998302</v>
      </c>
      <c r="H219" s="5">
        <f t="shared" si="0"/>
        <v>0</v>
      </c>
      <c r="I219" t="s">
        <v>125</v>
      </c>
      <c r="J219" t="s">
        <v>91</v>
      </c>
      <c r="K219" s="5">
        <f>20 / 86400</f>
        <v>2.3148148148148149E-4</v>
      </c>
      <c r="L219" s="5">
        <f>40 / 86400</f>
        <v>4.6296296296296298E-4</v>
      </c>
    </row>
    <row r="220" spans="1:12" x14ac:dyDescent="0.25">
      <c r="A220" s="3">
        <v>45701.235567129625</v>
      </c>
      <c r="B220" t="s">
        <v>197</v>
      </c>
      <c r="C220" s="3">
        <v>45701.235798611116</v>
      </c>
      <c r="D220" t="s">
        <v>197</v>
      </c>
      <c r="E220" s="4">
        <v>4.4170348048210148E-3</v>
      </c>
      <c r="F220" s="4">
        <v>347847.03738804359</v>
      </c>
      <c r="G220" s="4">
        <v>347847.04180507839</v>
      </c>
      <c r="H220" s="5">
        <f t="shared" si="0"/>
        <v>0</v>
      </c>
      <c r="I220" t="s">
        <v>110</v>
      </c>
      <c r="J220" t="s">
        <v>125</v>
      </c>
      <c r="K220" s="5">
        <f>20 / 86400</f>
        <v>2.3148148148148149E-4</v>
      </c>
      <c r="L220" s="5">
        <f>40 / 86400</f>
        <v>4.6296296296296298E-4</v>
      </c>
    </row>
    <row r="221" spans="1:12" x14ac:dyDescent="0.25">
      <c r="A221" s="3">
        <v>45701.236261574071</v>
      </c>
      <c r="B221" t="s">
        <v>171</v>
      </c>
      <c r="C221" s="3">
        <v>45701.238344907411</v>
      </c>
      <c r="D221" t="s">
        <v>171</v>
      </c>
      <c r="E221" s="4">
        <v>1.0071251654028892</v>
      </c>
      <c r="F221" s="4">
        <v>347847.12456330104</v>
      </c>
      <c r="G221" s="4">
        <v>347848.13168846641</v>
      </c>
      <c r="H221" s="5">
        <f t="shared" si="0"/>
        <v>0</v>
      </c>
      <c r="I221" t="s">
        <v>198</v>
      </c>
      <c r="J221" t="s">
        <v>34</v>
      </c>
      <c r="K221" s="5">
        <f>180 / 86400</f>
        <v>2.0833333333333333E-3</v>
      </c>
      <c r="L221" s="5">
        <f>40 / 86400</f>
        <v>4.6296296296296298E-4</v>
      </c>
    </row>
    <row r="222" spans="1:12" x14ac:dyDescent="0.25">
      <c r="A222" s="3">
        <v>45701.238807870366</v>
      </c>
      <c r="B222" t="s">
        <v>171</v>
      </c>
      <c r="C222" s="3">
        <v>45701.24118055556</v>
      </c>
      <c r="D222" t="s">
        <v>199</v>
      </c>
      <c r="E222" s="4">
        <v>1.2939129543900489</v>
      </c>
      <c r="F222" s="4">
        <v>347848.20959343063</v>
      </c>
      <c r="G222" s="4">
        <v>347849.50350638502</v>
      </c>
      <c r="H222" s="5">
        <f t="shared" si="0"/>
        <v>0</v>
      </c>
      <c r="I222" t="s">
        <v>200</v>
      </c>
      <c r="J222" t="s">
        <v>152</v>
      </c>
      <c r="K222" s="5">
        <f>205 / 86400</f>
        <v>2.3726851851851851E-3</v>
      </c>
      <c r="L222" s="5">
        <f>32 / 86400</f>
        <v>3.7037037037037035E-4</v>
      </c>
    </row>
    <row r="223" spans="1:12" x14ac:dyDescent="0.25">
      <c r="A223" s="3">
        <v>45701.24155092593</v>
      </c>
      <c r="B223" t="s">
        <v>199</v>
      </c>
      <c r="C223" s="3">
        <v>45701.242476851854</v>
      </c>
      <c r="D223" t="s">
        <v>201</v>
      </c>
      <c r="E223" s="4">
        <v>0.77694450354576106</v>
      </c>
      <c r="F223" s="4">
        <v>347849.51593266503</v>
      </c>
      <c r="G223" s="4">
        <v>347850.29287716857</v>
      </c>
      <c r="H223" s="5">
        <f t="shared" si="0"/>
        <v>0</v>
      </c>
      <c r="I223" t="s">
        <v>55</v>
      </c>
      <c r="J223" t="s">
        <v>202</v>
      </c>
      <c r="K223" s="5">
        <f>80 / 86400</f>
        <v>9.2592592592592596E-4</v>
      </c>
      <c r="L223" s="5">
        <f>20 / 86400</f>
        <v>2.3148148148148149E-4</v>
      </c>
    </row>
    <row r="224" spans="1:12" x14ac:dyDescent="0.25">
      <c r="A224" s="3">
        <v>45701.242708333331</v>
      </c>
      <c r="B224" t="s">
        <v>199</v>
      </c>
      <c r="C224" s="3">
        <v>45701.243634259255</v>
      </c>
      <c r="D224" t="s">
        <v>199</v>
      </c>
      <c r="E224" s="4">
        <v>0.67265658146142959</v>
      </c>
      <c r="F224" s="4">
        <v>347850.31438219571</v>
      </c>
      <c r="G224" s="4">
        <v>347850.98703877715</v>
      </c>
      <c r="H224" s="5">
        <f t="shared" si="0"/>
        <v>0</v>
      </c>
      <c r="I224" t="s">
        <v>200</v>
      </c>
      <c r="J224" t="s">
        <v>71</v>
      </c>
      <c r="K224" s="5">
        <f>80 / 86400</f>
        <v>9.2592592592592596E-4</v>
      </c>
      <c r="L224" s="5">
        <f>20 / 86400</f>
        <v>2.3148148148148149E-4</v>
      </c>
    </row>
    <row r="225" spans="1:12" x14ac:dyDescent="0.25">
      <c r="A225" s="3">
        <v>45701.24386574074</v>
      </c>
      <c r="B225" t="s">
        <v>199</v>
      </c>
      <c r="C225" s="3">
        <v>45701.244097222225</v>
      </c>
      <c r="D225" t="s">
        <v>199</v>
      </c>
      <c r="E225" s="4">
        <v>9.9678354978561395E-2</v>
      </c>
      <c r="F225" s="4">
        <v>347851.18858382024</v>
      </c>
      <c r="G225" s="4">
        <v>347851.28826217522</v>
      </c>
      <c r="H225" s="5">
        <f t="shared" si="0"/>
        <v>0</v>
      </c>
      <c r="I225" t="s">
        <v>203</v>
      </c>
      <c r="J225" t="s">
        <v>76</v>
      </c>
      <c r="K225" s="5">
        <f>20 / 86400</f>
        <v>2.3148148148148149E-4</v>
      </c>
      <c r="L225" s="5">
        <f>20 / 86400</f>
        <v>2.3148148148148149E-4</v>
      </c>
    </row>
    <row r="226" spans="1:12" x14ac:dyDescent="0.25">
      <c r="A226" s="3">
        <v>45701.244328703702</v>
      </c>
      <c r="B226" t="s">
        <v>72</v>
      </c>
      <c r="C226" s="3">
        <v>45701.24664351852</v>
      </c>
      <c r="D226" t="s">
        <v>72</v>
      </c>
      <c r="E226" s="4">
        <v>2.5291363946199419</v>
      </c>
      <c r="F226" s="4">
        <v>347851.32969563489</v>
      </c>
      <c r="G226" s="4">
        <v>347853.85883202951</v>
      </c>
      <c r="H226" s="5">
        <f t="shared" si="0"/>
        <v>0</v>
      </c>
      <c r="I226" t="s">
        <v>87</v>
      </c>
      <c r="J226" t="s">
        <v>36</v>
      </c>
      <c r="K226" s="5">
        <f>200 / 86400</f>
        <v>2.3148148148148147E-3</v>
      </c>
      <c r="L226" s="5">
        <f>20 / 86400</f>
        <v>2.3148148148148149E-4</v>
      </c>
    </row>
    <row r="227" spans="1:12" x14ac:dyDescent="0.25">
      <c r="A227" s="3">
        <v>45701.246874999997</v>
      </c>
      <c r="B227" t="s">
        <v>72</v>
      </c>
      <c r="C227" s="3">
        <v>45701.248726851853</v>
      </c>
      <c r="D227" t="s">
        <v>204</v>
      </c>
      <c r="E227" s="4">
        <v>0.93925359618663784</v>
      </c>
      <c r="F227" s="4">
        <v>347853.89223568654</v>
      </c>
      <c r="G227" s="4">
        <v>347854.83148928272</v>
      </c>
      <c r="H227" s="5">
        <f t="shared" si="0"/>
        <v>0</v>
      </c>
      <c r="I227" t="s">
        <v>36</v>
      </c>
      <c r="J227" t="s">
        <v>74</v>
      </c>
      <c r="K227" s="5">
        <f>160 / 86400</f>
        <v>1.8518518518518519E-3</v>
      </c>
      <c r="L227" s="5">
        <f>20 / 86400</f>
        <v>2.3148148148148149E-4</v>
      </c>
    </row>
    <row r="228" spans="1:12" x14ac:dyDescent="0.25">
      <c r="A228" s="3">
        <v>45701.248958333337</v>
      </c>
      <c r="B228" t="s">
        <v>204</v>
      </c>
      <c r="C228" s="3">
        <v>45701.249421296292</v>
      </c>
      <c r="D228" t="s">
        <v>204</v>
      </c>
      <c r="E228" s="4">
        <v>4.3137096762657166E-2</v>
      </c>
      <c r="F228" s="4">
        <v>347854.85475595156</v>
      </c>
      <c r="G228" s="4">
        <v>347854.89789304836</v>
      </c>
      <c r="H228" s="5">
        <f t="shared" si="0"/>
        <v>0</v>
      </c>
      <c r="I228" t="s">
        <v>43</v>
      </c>
      <c r="J228" t="s">
        <v>177</v>
      </c>
      <c r="K228" s="5">
        <f>40 / 86400</f>
        <v>4.6296296296296298E-4</v>
      </c>
      <c r="L228" s="5">
        <f>40 / 86400</f>
        <v>4.6296296296296298E-4</v>
      </c>
    </row>
    <row r="229" spans="1:12" x14ac:dyDescent="0.25">
      <c r="A229" s="3">
        <v>45701.249884259261</v>
      </c>
      <c r="B229" t="s">
        <v>205</v>
      </c>
      <c r="C229" s="3">
        <v>45701.255127314813</v>
      </c>
      <c r="D229" t="s">
        <v>206</v>
      </c>
      <c r="E229" s="4">
        <v>3.3128282617330553</v>
      </c>
      <c r="F229" s="4">
        <v>347854.95036321925</v>
      </c>
      <c r="G229" s="4">
        <v>347858.263191481</v>
      </c>
      <c r="H229" s="5">
        <f t="shared" si="0"/>
        <v>0</v>
      </c>
      <c r="I229" t="s">
        <v>207</v>
      </c>
      <c r="J229" t="s">
        <v>138</v>
      </c>
      <c r="K229" s="5">
        <f>453 / 86400</f>
        <v>5.2430555555555555E-3</v>
      </c>
      <c r="L229" s="5">
        <f>20 / 86400</f>
        <v>2.3148148148148149E-4</v>
      </c>
    </row>
    <row r="230" spans="1:12" x14ac:dyDescent="0.25">
      <c r="A230" s="3">
        <v>45701.255358796298</v>
      </c>
      <c r="B230" t="s">
        <v>117</v>
      </c>
      <c r="C230" s="3">
        <v>45701.256747685184</v>
      </c>
      <c r="D230" t="s">
        <v>208</v>
      </c>
      <c r="E230" s="4">
        <v>0.58453175365924837</v>
      </c>
      <c r="F230" s="4">
        <v>347858.3340018579</v>
      </c>
      <c r="G230" s="4">
        <v>347858.91853361152</v>
      </c>
      <c r="H230" s="5">
        <f t="shared" si="0"/>
        <v>0</v>
      </c>
      <c r="I230" t="s">
        <v>159</v>
      </c>
      <c r="J230" t="s">
        <v>76</v>
      </c>
      <c r="K230" s="5">
        <f>120 / 86400</f>
        <v>1.3888888888888889E-3</v>
      </c>
      <c r="L230" s="5">
        <f>8 / 86400</f>
        <v>9.2592592592592588E-5</v>
      </c>
    </row>
    <row r="231" spans="1:12" x14ac:dyDescent="0.25">
      <c r="A231" s="3">
        <v>45701.256840277776</v>
      </c>
      <c r="B231" t="s">
        <v>209</v>
      </c>
      <c r="C231" s="3">
        <v>45701.257766203707</v>
      </c>
      <c r="D231" t="s">
        <v>210</v>
      </c>
      <c r="E231" s="4">
        <v>0.16084293681383133</v>
      </c>
      <c r="F231" s="4">
        <v>347858.92670269642</v>
      </c>
      <c r="G231" s="4">
        <v>347859.08754563326</v>
      </c>
      <c r="H231" s="5">
        <f t="shared" si="0"/>
        <v>0</v>
      </c>
      <c r="I231" t="s">
        <v>128</v>
      </c>
      <c r="J231" t="s">
        <v>161</v>
      </c>
      <c r="K231" s="5">
        <f>80 / 86400</f>
        <v>9.2592592592592596E-4</v>
      </c>
      <c r="L231" s="5">
        <f>40 / 86400</f>
        <v>4.6296296296296298E-4</v>
      </c>
    </row>
    <row r="232" spans="1:12" x14ac:dyDescent="0.25">
      <c r="A232" s="3">
        <v>45701.258229166662</v>
      </c>
      <c r="B232" t="s">
        <v>211</v>
      </c>
      <c r="C232" s="3">
        <v>45701.258460648147</v>
      </c>
      <c r="D232" t="s">
        <v>211</v>
      </c>
      <c r="E232" s="4">
        <v>8.1541641950607299E-3</v>
      </c>
      <c r="F232" s="4">
        <v>347859.09685438604</v>
      </c>
      <c r="G232" s="4">
        <v>347859.10500855022</v>
      </c>
      <c r="H232" s="5">
        <f t="shared" si="0"/>
        <v>0</v>
      </c>
      <c r="I232" t="s">
        <v>110</v>
      </c>
      <c r="J232" t="s">
        <v>125</v>
      </c>
      <c r="K232" s="5">
        <f>20 / 86400</f>
        <v>2.3148148148148149E-4</v>
      </c>
      <c r="L232" s="5">
        <f>20 / 86400</f>
        <v>2.3148148148148149E-4</v>
      </c>
    </row>
    <row r="233" spans="1:12" x14ac:dyDescent="0.25">
      <c r="A233" s="3">
        <v>45701.258692129632</v>
      </c>
      <c r="B233" t="s">
        <v>187</v>
      </c>
      <c r="C233" s="3">
        <v>45701.258923611109</v>
      </c>
      <c r="D233" t="s">
        <v>212</v>
      </c>
      <c r="E233" s="4">
        <v>2.5540137171745299E-2</v>
      </c>
      <c r="F233" s="4">
        <v>347859.12066161027</v>
      </c>
      <c r="G233" s="4">
        <v>347859.14620174741</v>
      </c>
      <c r="H233" s="5">
        <f t="shared" si="0"/>
        <v>0</v>
      </c>
      <c r="I233" t="s">
        <v>125</v>
      </c>
      <c r="J233" t="s">
        <v>37</v>
      </c>
      <c r="K233" s="5">
        <f>20 / 86400</f>
        <v>2.3148148148148149E-4</v>
      </c>
      <c r="L233" s="5">
        <f>40 / 86400</f>
        <v>4.6296296296296298E-4</v>
      </c>
    </row>
    <row r="234" spans="1:12" x14ac:dyDescent="0.25">
      <c r="A234" s="3">
        <v>45701.259386574078</v>
      </c>
      <c r="B234" t="s">
        <v>187</v>
      </c>
      <c r="C234" s="3">
        <v>45701.260312500002</v>
      </c>
      <c r="D234" t="s">
        <v>187</v>
      </c>
      <c r="E234" s="4">
        <v>9.3060942232608801E-2</v>
      </c>
      <c r="F234" s="4">
        <v>347859.16390122555</v>
      </c>
      <c r="G234" s="4">
        <v>347859.2569621678</v>
      </c>
      <c r="H234" s="5">
        <f t="shared" si="0"/>
        <v>0</v>
      </c>
      <c r="I234" t="s">
        <v>161</v>
      </c>
      <c r="J234" t="s">
        <v>177</v>
      </c>
      <c r="K234" s="5">
        <f>80 / 86400</f>
        <v>9.2592592592592596E-4</v>
      </c>
      <c r="L234" s="5">
        <f>19 / 86400</f>
        <v>2.199074074074074E-4</v>
      </c>
    </row>
    <row r="235" spans="1:12" x14ac:dyDescent="0.25">
      <c r="A235" s="3">
        <v>45701.26053240741</v>
      </c>
      <c r="B235" t="s">
        <v>117</v>
      </c>
      <c r="C235" s="3">
        <v>45701.261458333334</v>
      </c>
      <c r="D235" t="s">
        <v>213</v>
      </c>
      <c r="E235" s="4">
        <v>0.11022780537605285</v>
      </c>
      <c r="F235" s="4">
        <v>347859.26466443599</v>
      </c>
      <c r="G235" s="4">
        <v>347859.37489224138</v>
      </c>
      <c r="H235" s="5">
        <f t="shared" si="0"/>
        <v>0</v>
      </c>
      <c r="I235" t="s">
        <v>156</v>
      </c>
      <c r="J235" t="s">
        <v>37</v>
      </c>
      <c r="K235" s="5">
        <f>80 / 86400</f>
        <v>9.2592592592592596E-4</v>
      </c>
      <c r="L235" s="5">
        <f>40 / 86400</f>
        <v>4.6296296296296298E-4</v>
      </c>
    </row>
    <row r="236" spans="1:12" x14ac:dyDescent="0.25">
      <c r="A236" s="3">
        <v>45701.261921296296</v>
      </c>
      <c r="B236" t="s">
        <v>187</v>
      </c>
      <c r="C236" s="3">
        <v>45701.262152777781</v>
      </c>
      <c r="D236" t="s">
        <v>187</v>
      </c>
      <c r="E236" s="4">
        <v>1.7299029827117919E-3</v>
      </c>
      <c r="F236" s="4">
        <v>347859.4456431889</v>
      </c>
      <c r="G236" s="4">
        <v>347859.44737309188</v>
      </c>
      <c r="H236" s="5">
        <f t="shared" si="0"/>
        <v>0</v>
      </c>
      <c r="I236" t="s">
        <v>125</v>
      </c>
      <c r="J236" t="s">
        <v>91</v>
      </c>
      <c r="K236" s="5">
        <f>20 / 86400</f>
        <v>2.3148148148148149E-4</v>
      </c>
      <c r="L236" s="5">
        <f>60 / 86400</f>
        <v>6.9444444444444447E-4</v>
      </c>
    </row>
    <row r="237" spans="1:12" x14ac:dyDescent="0.25">
      <c r="A237" s="3">
        <v>45701.26284722222</v>
      </c>
      <c r="B237" t="s">
        <v>212</v>
      </c>
      <c r="C237" s="3">
        <v>45701.263310185182</v>
      </c>
      <c r="D237" t="s">
        <v>212</v>
      </c>
      <c r="E237" s="4">
        <v>2.7507196128368376E-2</v>
      </c>
      <c r="F237" s="4">
        <v>347859.45533882227</v>
      </c>
      <c r="G237" s="4">
        <v>347859.48284601839</v>
      </c>
      <c r="H237" s="5">
        <f t="shared" si="0"/>
        <v>0</v>
      </c>
      <c r="I237" t="s">
        <v>110</v>
      </c>
      <c r="J237" t="s">
        <v>110</v>
      </c>
      <c r="K237" s="5">
        <f>40 / 86400</f>
        <v>4.6296296296296298E-4</v>
      </c>
      <c r="L237" s="5">
        <f>46 / 86400</f>
        <v>5.3240740740740744E-4</v>
      </c>
    </row>
    <row r="238" spans="1:12" x14ac:dyDescent="0.25">
      <c r="A238" s="3">
        <v>45701.263842592598</v>
      </c>
      <c r="B238" t="s">
        <v>212</v>
      </c>
      <c r="C238" s="3">
        <v>45701.267546296294</v>
      </c>
      <c r="D238" t="s">
        <v>187</v>
      </c>
      <c r="E238" s="4">
        <v>2.2021637880802154</v>
      </c>
      <c r="F238" s="4">
        <v>347859.49204304494</v>
      </c>
      <c r="G238" s="4">
        <v>347861.69420683302</v>
      </c>
      <c r="H238" s="5">
        <f t="shared" si="0"/>
        <v>0</v>
      </c>
      <c r="I238" t="s">
        <v>32</v>
      </c>
      <c r="J238" t="s">
        <v>135</v>
      </c>
      <c r="K238" s="5">
        <f>320 / 86400</f>
        <v>3.7037037037037038E-3</v>
      </c>
      <c r="L238" s="5">
        <f>20 / 86400</f>
        <v>2.3148148148148149E-4</v>
      </c>
    </row>
    <row r="239" spans="1:12" x14ac:dyDescent="0.25">
      <c r="A239" s="3">
        <v>45701.267777777779</v>
      </c>
      <c r="B239" t="s">
        <v>187</v>
      </c>
      <c r="C239" s="3">
        <v>45701.269166666665</v>
      </c>
      <c r="D239" t="s">
        <v>214</v>
      </c>
      <c r="E239" s="4">
        <v>0.79654170507192612</v>
      </c>
      <c r="F239" s="4">
        <v>347861.70380204747</v>
      </c>
      <c r="G239" s="4">
        <v>347862.50034375256</v>
      </c>
      <c r="H239" s="5">
        <f t="shared" si="0"/>
        <v>0</v>
      </c>
      <c r="I239" t="s">
        <v>95</v>
      </c>
      <c r="J239" t="s">
        <v>130</v>
      </c>
      <c r="K239" s="5">
        <f>120 / 86400</f>
        <v>1.3888888888888889E-3</v>
      </c>
      <c r="L239" s="5">
        <f>80 / 86400</f>
        <v>9.2592592592592596E-4</v>
      </c>
    </row>
    <row r="240" spans="1:12" x14ac:dyDescent="0.25">
      <c r="A240" s="3">
        <v>45701.270092592589</v>
      </c>
      <c r="B240" t="s">
        <v>214</v>
      </c>
      <c r="C240" s="3">
        <v>45701.271944444445</v>
      </c>
      <c r="D240" t="s">
        <v>215</v>
      </c>
      <c r="E240" s="4">
        <v>1.0455031117796898</v>
      </c>
      <c r="F240" s="4">
        <v>347862.50895654585</v>
      </c>
      <c r="G240" s="4">
        <v>347863.55445965764</v>
      </c>
      <c r="H240" s="5">
        <f t="shared" si="0"/>
        <v>0</v>
      </c>
      <c r="I240" t="s">
        <v>143</v>
      </c>
      <c r="J240" t="s">
        <v>130</v>
      </c>
      <c r="K240" s="5">
        <f>160 / 86400</f>
        <v>1.8518518518518519E-3</v>
      </c>
      <c r="L240" s="5">
        <f>20 / 86400</f>
        <v>2.3148148148148149E-4</v>
      </c>
    </row>
    <row r="241" spans="1:12" x14ac:dyDescent="0.25">
      <c r="A241" s="3">
        <v>45701.272175925929</v>
      </c>
      <c r="B241" t="s">
        <v>215</v>
      </c>
      <c r="C241" s="3">
        <v>45701.274259259255</v>
      </c>
      <c r="D241" t="s">
        <v>216</v>
      </c>
      <c r="E241" s="4">
        <v>1.2278001827001572</v>
      </c>
      <c r="F241" s="4">
        <v>347863.58715847851</v>
      </c>
      <c r="G241" s="4">
        <v>347864.81495866121</v>
      </c>
      <c r="H241" s="5">
        <f t="shared" si="0"/>
        <v>0</v>
      </c>
      <c r="I241" t="s">
        <v>193</v>
      </c>
      <c r="J241" t="s">
        <v>135</v>
      </c>
      <c r="K241" s="5">
        <f>180 / 86400</f>
        <v>2.0833333333333333E-3</v>
      </c>
      <c r="L241" s="5">
        <f>60 / 86400</f>
        <v>6.9444444444444447E-4</v>
      </c>
    </row>
    <row r="242" spans="1:12" x14ac:dyDescent="0.25">
      <c r="A242" s="3">
        <v>45701.274953703702</v>
      </c>
      <c r="B242" t="s">
        <v>216</v>
      </c>
      <c r="C242" s="3">
        <v>45701.275416666671</v>
      </c>
      <c r="D242" t="s">
        <v>217</v>
      </c>
      <c r="E242" s="4">
        <v>6.6116732776165005E-2</v>
      </c>
      <c r="F242" s="4">
        <v>347864.85513371928</v>
      </c>
      <c r="G242" s="4">
        <v>347864.92125045205</v>
      </c>
      <c r="H242" s="5">
        <f t="shared" si="0"/>
        <v>0</v>
      </c>
      <c r="I242" t="s">
        <v>58</v>
      </c>
      <c r="J242" t="s">
        <v>156</v>
      </c>
      <c r="K242" s="5">
        <f>40 / 86400</f>
        <v>4.6296296296296298E-4</v>
      </c>
      <c r="L242" s="5">
        <f>93 / 86400</f>
        <v>1.0763888888888889E-3</v>
      </c>
    </row>
    <row r="243" spans="1:12" x14ac:dyDescent="0.25">
      <c r="A243" s="3">
        <v>45701.276493055557</v>
      </c>
      <c r="B243" t="s">
        <v>217</v>
      </c>
      <c r="C243" s="3">
        <v>45701.277650462958</v>
      </c>
      <c r="D243" t="s">
        <v>218</v>
      </c>
      <c r="E243" s="4">
        <v>0.83574587261676792</v>
      </c>
      <c r="F243" s="4">
        <v>347864.931265469</v>
      </c>
      <c r="G243" s="4">
        <v>347865.76701134164</v>
      </c>
      <c r="H243" s="5">
        <f t="shared" si="0"/>
        <v>0</v>
      </c>
      <c r="I243" t="s">
        <v>200</v>
      </c>
      <c r="J243" t="s">
        <v>71</v>
      </c>
      <c r="K243" s="5">
        <f>100 / 86400</f>
        <v>1.1574074074074073E-3</v>
      </c>
      <c r="L243" s="5">
        <f>20 / 86400</f>
        <v>2.3148148148148149E-4</v>
      </c>
    </row>
    <row r="244" spans="1:12" x14ac:dyDescent="0.25">
      <c r="A244" s="3">
        <v>45701.277881944443</v>
      </c>
      <c r="B244" t="s">
        <v>218</v>
      </c>
      <c r="C244" s="3">
        <v>45701.278113425928</v>
      </c>
      <c r="D244" t="s">
        <v>218</v>
      </c>
      <c r="E244" s="4">
        <v>5.8693429231643675E-2</v>
      </c>
      <c r="F244" s="4">
        <v>347865.86686367245</v>
      </c>
      <c r="G244" s="4">
        <v>347865.92555710167</v>
      </c>
      <c r="H244" s="5">
        <f t="shared" si="0"/>
        <v>0</v>
      </c>
      <c r="I244" t="s">
        <v>219</v>
      </c>
      <c r="J244" t="s">
        <v>149</v>
      </c>
      <c r="K244" s="5">
        <f>20 / 86400</f>
        <v>2.3148148148148149E-4</v>
      </c>
      <c r="L244" s="5">
        <f>20 / 86400</f>
        <v>2.3148148148148149E-4</v>
      </c>
    </row>
    <row r="245" spans="1:12" x14ac:dyDescent="0.25">
      <c r="A245" s="3">
        <v>45701.278344907405</v>
      </c>
      <c r="B245" t="s">
        <v>218</v>
      </c>
      <c r="C245" s="3">
        <v>45701.278692129628</v>
      </c>
      <c r="D245" t="s">
        <v>218</v>
      </c>
      <c r="E245" s="4">
        <v>1.1020108938217163E-2</v>
      </c>
      <c r="F245" s="4">
        <v>347865.93541354639</v>
      </c>
      <c r="G245" s="4">
        <v>347865.94643365534</v>
      </c>
      <c r="H245" s="5">
        <f t="shared" si="0"/>
        <v>0</v>
      </c>
      <c r="I245" t="s">
        <v>20</v>
      </c>
      <c r="J245" t="s">
        <v>125</v>
      </c>
      <c r="K245" s="5">
        <f>30 / 86400</f>
        <v>3.4722222222222224E-4</v>
      </c>
      <c r="L245" s="5">
        <f>40 / 86400</f>
        <v>4.6296296296296298E-4</v>
      </c>
    </row>
    <row r="246" spans="1:12" x14ac:dyDescent="0.25">
      <c r="A246" s="3">
        <v>45701.27915509259</v>
      </c>
      <c r="B246" t="s">
        <v>220</v>
      </c>
      <c r="C246" s="3">
        <v>45701.279849537037</v>
      </c>
      <c r="D246" t="s">
        <v>221</v>
      </c>
      <c r="E246" s="4">
        <v>0.12401419180631637</v>
      </c>
      <c r="F246" s="4">
        <v>347866.00166607363</v>
      </c>
      <c r="G246" s="4">
        <v>347866.12568026542</v>
      </c>
      <c r="H246" s="5">
        <f t="shared" si="0"/>
        <v>0</v>
      </c>
      <c r="I246" t="s">
        <v>23</v>
      </c>
      <c r="J246" t="s">
        <v>161</v>
      </c>
      <c r="K246" s="5">
        <f>60 / 86400</f>
        <v>6.9444444444444447E-4</v>
      </c>
      <c r="L246" s="5">
        <f>40 / 86400</f>
        <v>4.6296296296296298E-4</v>
      </c>
    </row>
    <row r="247" spans="1:12" x14ac:dyDescent="0.25">
      <c r="A247" s="3">
        <v>45701.280312499999</v>
      </c>
      <c r="B247" t="s">
        <v>221</v>
      </c>
      <c r="C247" s="3">
        <v>45701.281469907408</v>
      </c>
      <c r="D247" t="s">
        <v>222</v>
      </c>
      <c r="E247" s="4">
        <v>0.4591988232731819</v>
      </c>
      <c r="F247" s="4">
        <v>347866.13081399613</v>
      </c>
      <c r="G247" s="4">
        <v>347866.59001281939</v>
      </c>
      <c r="H247" s="5">
        <f t="shared" si="0"/>
        <v>0</v>
      </c>
      <c r="I247" t="s">
        <v>143</v>
      </c>
      <c r="J247" t="s">
        <v>20</v>
      </c>
      <c r="K247" s="5">
        <f>100 / 86400</f>
        <v>1.1574074074074073E-3</v>
      </c>
      <c r="L247" s="5">
        <f>6 / 86400</f>
        <v>6.9444444444444444E-5</v>
      </c>
    </row>
    <row r="248" spans="1:12" x14ac:dyDescent="0.25">
      <c r="A248" s="3">
        <v>45701.281539351854</v>
      </c>
      <c r="B248" t="s">
        <v>222</v>
      </c>
      <c r="C248" s="3">
        <v>45701.283391203702</v>
      </c>
      <c r="D248" t="s">
        <v>223</v>
      </c>
      <c r="E248" s="4">
        <v>0.8006847743988037</v>
      </c>
      <c r="F248" s="4">
        <v>347866.59059608128</v>
      </c>
      <c r="G248" s="4">
        <v>347867.39128085563</v>
      </c>
      <c r="H248" s="5">
        <f t="shared" si="0"/>
        <v>0</v>
      </c>
      <c r="I248" t="s">
        <v>224</v>
      </c>
      <c r="J248" t="s">
        <v>76</v>
      </c>
      <c r="K248" s="5">
        <f>160 / 86400</f>
        <v>1.8518518518518519E-3</v>
      </c>
      <c r="L248" s="5">
        <f>20 / 86400</f>
        <v>2.3148148148148149E-4</v>
      </c>
    </row>
    <row r="249" spans="1:12" x14ac:dyDescent="0.25">
      <c r="A249" s="3">
        <v>45701.283622685187</v>
      </c>
      <c r="B249" t="s">
        <v>225</v>
      </c>
      <c r="C249" s="3">
        <v>45701.284166666665</v>
      </c>
      <c r="D249" t="s">
        <v>218</v>
      </c>
      <c r="E249" s="4">
        <v>0.14018820512294769</v>
      </c>
      <c r="F249" s="4">
        <v>347867.42132141843</v>
      </c>
      <c r="G249" s="4">
        <v>347867.56150962354</v>
      </c>
      <c r="H249" s="5">
        <f t="shared" si="0"/>
        <v>0</v>
      </c>
      <c r="I249" t="s">
        <v>34</v>
      </c>
      <c r="J249" t="s">
        <v>149</v>
      </c>
      <c r="K249" s="5">
        <f>47 / 86400</f>
        <v>5.4398148148148144E-4</v>
      </c>
      <c r="L249" s="5">
        <f>60 / 86400</f>
        <v>6.9444444444444447E-4</v>
      </c>
    </row>
    <row r="250" spans="1:12" x14ac:dyDescent="0.25">
      <c r="A250" s="3">
        <v>45701.284861111111</v>
      </c>
      <c r="B250" t="s">
        <v>226</v>
      </c>
      <c r="C250" s="3">
        <v>45701.28601851852</v>
      </c>
      <c r="D250" t="s">
        <v>226</v>
      </c>
      <c r="E250" s="4">
        <v>9.4247145056724543E-3</v>
      </c>
      <c r="F250" s="4">
        <v>347867.5812026331</v>
      </c>
      <c r="G250" s="4">
        <v>347867.59062734758</v>
      </c>
      <c r="H250" s="5">
        <f t="shared" si="0"/>
        <v>0</v>
      </c>
      <c r="I250" t="s">
        <v>177</v>
      </c>
      <c r="J250" t="s">
        <v>91</v>
      </c>
      <c r="K250" s="5">
        <f>100 / 86400</f>
        <v>1.1574074074074073E-3</v>
      </c>
      <c r="L250" s="5">
        <f>533 / 86400</f>
        <v>6.1689814814814819E-3</v>
      </c>
    </row>
    <row r="251" spans="1:12" x14ac:dyDescent="0.25">
      <c r="A251" s="3">
        <v>45701.292187500003</v>
      </c>
      <c r="B251" t="s">
        <v>227</v>
      </c>
      <c r="C251" s="3">
        <v>45701.29241898148</v>
      </c>
      <c r="D251" t="s">
        <v>227</v>
      </c>
      <c r="E251" s="4">
        <v>6.740574657917023E-3</v>
      </c>
      <c r="F251" s="4">
        <v>347867.66891580168</v>
      </c>
      <c r="G251" s="4">
        <v>347867.67565637635</v>
      </c>
      <c r="H251" s="5">
        <f t="shared" si="0"/>
        <v>0</v>
      </c>
      <c r="I251" t="s">
        <v>37</v>
      </c>
      <c r="J251" t="s">
        <v>125</v>
      </c>
      <c r="K251" s="5">
        <f>20 / 86400</f>
        <v>2.3148148148148149E-4</v>
      </c>
      <c r="L251" s="5">
        <f>65 / 86400</f>
        <v>7.5231481481481482E-4</v>
      </c>
    </row>
    <row r="252" spans="1:12" x14ac:dyDescent="0.25">
      <c r="A252" s="3">
        <v>45701.293171296296</v>
      </c>
      <c r="B252" t="s">
        <v>227</v>
      </c>
      <c r="C252" s="3">
        <v>45701.293634259258</v>
      </c>
      <c r="D252" t="s">
        <v>228</v>
      </c>
      <c r="E252" s="4">
        <v>0.2194852288365364</v>
      </c>
      <c r="F252" s="4">
        <v>347867.68591830489</v>
      </c>
      <c r="G252" s="4">
        <v>347867.90540353378</v>
      </c>
      <c r="H252" s="5">
        <f t="shared" si="0"/>
        <v>0</v>
      </c>
      <c r="I252" t="s">
        <v>155</v>
      </c>
      <c r="J252" t="s">
        <v>34</v>
      </c>
      <c r="K252" s="5">
        <f>40 / 86400</f>
        <v>4.6296296296296298E-4</v>
      </c>
      <c r="L252" s="5">
        <f>20 / 86400</f>
        <v>2.3148148148148149E-4</v>
      </c>
    </row>
    <row r="253" spans="1:12" x14ac:dyDescent="0.25">
      <c r="A253" s="3">
        <v>45701.293865740736</v>
      </c>
      <c r="B253" t="s">
        <v>229</v>
      </c>
      <c r="C253" s="3">
        <v>45701.297453703708</v>
      </c>
      <c r="D253" t="s">
        <v>230</v>
      </c>
      <c r="E253" s="4">
        <v>1.5611545015573502</v>
      </c>
      <c r="F253" s="4">
        <v>347868.03657230648</v>
      </c>
      <c r="G253" s="4">
        <v>347869.59772680799</v>
      </c>
      <c r="H253" s="5">
        <f t="shared" si="0"/>
        <v>0</v>
      </c>
      <c r="I253" t="s">
        <v>231</v>
      </c>
      <c r="J253" t="s">
        <v>76</v>
      </c>
      <c r="K253" s="5">
        <f>310 / 86400</f>
        <v>3.5879629629629629E-3</v>
      </c>
      <c r="L253" s="5">
        <f>40 / 86400</f>
        <v>4.6296296296296298E-4</v>
      </c>
    </row>
    <row r="254" spans="1:12" x14ac:dyDescent="0.25">
      <c r="A254" s="3">
        <v>45701.297916666663</v>
      </c>
      <c r="B254" t="s">
        <v>230</v>
      </c>
      <c r="C254" s="3">
        <v>45701.29887731481</v>
      </c>
      <c r="D254" t="s">
        <v>232</v>
      </c>
      <c r="E254" s="4">
        <v>0.31753095370531081</v>
      </c>
      <c r="F254" s="4">
        <v>347869.78736410599</v>
      </c>
      <c r="G254" s="4">
        <v>347870.10489505972</v>
      </c>
      <c r="H254" s="5">
        <f t="shared" si="0"/>
        <v>0</v>
      </c>
      <c r="I254" t="s">
        <v>233</v>
      </c>
      <c r="J254" t="s">
        <v>43</v>
      </c>
      <c r="K254" s="5">
        <f>83 / 86400</f>
        <v>9.6064814814814819E-4</v>
      </c>
      <c r="L254" s="5">
        <f>54 / 86400</f>
        <v>6.2500000000000001E-4</v>
      </c>
    </row>
    <row r="255" spans="1:12" x14ac:dyDescent="0.25">
      <c r="A255" s="3">
        <v>45701.299502314811</v>
      </c>
      <c r="B255" t="s">
        <v>234</v>
      </c>
      <c r="C255" s="3">
        <v>45701.306122685186</v>
      </c>
      <c r="D255" t="s">
        <v>102</v>
      </c>
      <c r="E255" s="4">
        <v>2.2954020954966543</v>
      </c>
      <c r="F255" s="4">
        <v>347870.15504268772</v>
      </c>
      <c r="G255" s="4">
        <v>347872.4504447832</v>
      </c>
      <c r="H255" s="5">
        <f t="shared" si="0"/>
        <v>0</v>
      </c>
      <c r="I255" t="s">
        <v>36</v>
      </c>
      <c r="J255" t="s">
        <v>43</v>
      </c>
      <c r="K255" s="5">
        <f>572 / 86400</f>
        <v>6.6203703703703702E-3</v>
      </c>
      <c r="L255" s="5">
        <f>40 / 86400</f>
        <v>4.6296296296296298E-4</v>
      </c>
    </row>
    <row r="256" spans="1:12" x14ac:dyDescent="0.25">
      <c r="A256" s="3">
        <v>45701.306585648148</v>
      </c>
      <c r="B256" t="s">
        <v>235</v>
      </c>
      <c r="C256" s="3">
        <v>45701.312615740739</v>
      </c>
      <c r="D256" t="s">
        <v>113</v>
      </c>
      <c r="E256" s="4">
        <v>1.8338551502227782</v>
      </c>
      <c r="F256" s="4">
        <v>347872.48541170027</v>
      </c>
      <c r="G256" s="4">
        <v>347874.31926685048</v>
      </c>
      <c r="H256" s="5">
        <f t="shared" si="0"/>
        <v>0</v>
      </c>
      <c r="I256" t="s">
        <v>198</v>
      </c>
      <c r="J256" t="s">
        <v>58</v>
      </c>
      <c r="K256" s="5">
        <f>521 / 86400</f>
        <v>6.030092592592593E-3</v>
      </c>
      <c r="L256" s="5">
        <f>40 / 86400</f>
        <v>4.6296296296296298E-4</v>
      </c>
    </row>
    <row r="257" spans="1:12" x14ac:dyDescent="0.25">
      <c r="A257" s="3">
        <v>45701.313078703708</v>
      </c>
      <c r="B257" t="s">
        <v>113</v>
      </c>
      <c r="C257" s="3">
        <v>45701.313310185185</v>
      </c>
      <c r="D257" t="s">
        <v>113</v>
      </c>
      <c r="E257" s="4">
        <v>1.1306295096874237E-2</v>
      </c>
      <c r="F257" s="4">
        <v>347874.32474237314</v>
      </c>
      <c r="G257" s="4">
        <v>347874.33604866819</v>
      </c>
      <c r="H257" s="5">
        <f t="shared" si="0"/>
        <v>0</v>
      </c>
      <c r="I257" t="s">
        <v>110</v>
      </c>
      <c r="J257" t="s">
        <v>110</v>
      </c>
      <c r="K257" s="5">
        <f>20 / 86400</f>
        <v>2.3148148148148149E-4</v>
      </c>
      <c r="L257" s="5">
        <f>40 / 86400</f>
        <v>4.6296296296296298E-4</v>
      </c>
    </row>
    <row r="258" spans="1:12" x14ac:dyDescent="0.25">
      <c r="A258" s="3">
        <v>45701.313773148147</v>
      </c>
      <c r="B258" t="s">
        <v>236</v>
      </c>
      <c r="C258" s="3">
        <v>45701.314236111109</v>
      </c>
      <c r="D258" t="s">
        <v>113</v>
      </c>
      <c r="E258" s="4">
        <v>2.3120332419872283E-2</v>
      </c>
      <c r="F258" s="4">
        <v>347874.35326474154</v>
      </c>
      <c r="G258" s="4">
        <v>347874.37638507393</v>
      </c>
      <c r="H258" s="5">
        <f t="shared" si="0"/>
        <v>0</v>
      </c>
      <c r="I258" t="s">
        <v>110</v>
      </c>
      <c r="J258" t="s">
        <v>110</v>
      </c>
      <c r="K258" s="5">
        <f>40 / 86400</f>
        <v>4.6296296296296298E-4</v>
      </c>
      <c r="L258" s="5">
        <f>40 / 86400</f>
        <v>4.6296296296296298E-4</v>
      </c>
    </row>
    <row r="259" spans="1:12" x14ac:dyDescent="0.25">
      <c r="A259" s="3">
        <v>45701.314699074079</v>
      </c>
      <c r="B259" t="s">
        <v>113</v>
      </c>
      <c r="C259" s="3">
        <v>45701.315393518518</v>
      </c>
      <c r="D259" t="s">
        <v>113</v>
      </c>
      <c r="E259" s="4">
        <v>9.278607249259949E-3</v>
      </c>
      <c r="F259" s="4">
        <v>347874.39016113075</v>
      </c>
      <c r="G259" s="4">
        <v>347874.39943973796</v>
      </c>
      <c r="H259" s="5">
        <f t="shared" si="0"/>
        <v>0</v>
      </c>
      <c r="I259" t="s">
        <v>124</v>
      </c>
      <c r="J259" t="s">
        <v>125</v>
      </c>
      <c r="K259" s="5">
        <f>60 / 86400</f>
        <v>6.9444444444444447E-4</v>
      </c>
      <c r="L259" s="5">
        <f>20 / 86400</f>
        <v>2.3148148148148149E-4</v>
      </c>
    </row>
    <row r="260" spans="1:12" x14ac:dyDescent="0.25">
      <c r="A260" s="3">
        <v>45701.315625000003</v>
      </c>
      <c r="B260" t="s">
        <v>113</v>
      </c>
      <c r="C260" s="3">
        <v>45701.316087962958</v>
      </c>
      <c r="D260" t="s">
        <v>113</v>
      </c>
      <c r="E260" s="4">
        <v>1.331376564502716E-2</v>
      </c>
      <c r="F260" s="4">
        <v>347874.41468754207</v>
      </c>
      <c r="G260" s="4">
        <v>347874.42800130771</v>
      </c>
      <c r="H260" s="5">
        <f t="shared" si="0"/>
        <v>0</v>
      </c>
      <c r="I260" t="s">
        <v>125</v>
      </c>
      <c r="J260" t="s">
        <v>125</v>
      </c>
      <c r="K260" s="5">
        <f>40 / 86400</f>
        <v>4.6296296296296298E-4</v>
      </c>
      <c r="L260" s="5">
        <f>40 / 86400</f>
        <v>4.6296296296296298E-4</v>
      </c>
    </row>
    <row r="261" spans="1:12" x14ac:dyDescent="0.25">
      <c r="A261" s="3">
        <v>45701.316550925927</v>
      </c>
      <c r="B261" t="s">
        <v>113</v>
      </c>
      <c r="C261" s="3">
        <v>45701.317013888889</v>
      </c>
      <c r="D261" t="s">
        <v>113</v>
      </c>
      <c r="E261" s="4">
        <v>1.3644021987915039E-2</v>
      </c>
      <c r="F261" s="4">
        <v>347874.44326770271</v>
      </c>
      <c r="G261" s="4">
        <v>347874.4569117247</v>
      </c>
      <c r="H261" s="5">
        <f t="shared" si="0"/>
        <v>0</v>
      </c>
      <c r="I261" t="s">
        <v>110</v>
      </c>
      <c r="J261" t="s">
        <v>125</v>
      </c>
      <c r="K261" s="5">
        <f>40 / 86400</f>
        <v>4.6296296296296298E-4</v>
      </c>
      <c r="L261" s="5">
        <f>40 / 86400</f>
        <v>4.6296296296296298E-4</v>
      </c>
    </row>
    <row r="262" spans="1:12" x14ac:dyDescent="0.25">
      <c r="A262" s="3">
        <v>45701.317476851851</v>
      </c>
      <c r="B262" t="s">
        <v>113</v>
      </c>
      <c r="C262" s="3">
        <v>45701.317708333328</v>
      </c>
      <c r="D262" t="s">
        <v>113</v>
      </c>
      <c r="E262" s="4">
        <v>2.4575387239456179E-3</v>
      </c>
      <c r="F262" s="4">
        <v>347874.47061573563</v>
      </c>
      <c r="G262" s="4">
        <v>347874.47307327436</v>
      </c>
      <c r="H262" s="5">
        <f t="shared" si="0"/>
        <v>0</v>
      </c>
      <c r="I262" t="s">
        <v>125</v>
      </c>
      <c r="J262" t="s">
        <v>91</v>
      </c>
      <c r="K262" s="5">
        <f>20 / 86400</f>
        <v>2.3148148148148149E-4</v>
      </c>
      <c r="L262" s="5">
        <f>40 / 86400</f>
        <v>4.6296296296296298E-4</v>
      </c>
    </row>
    <row r="263" spans="1:12" x14ac:dyDescent="0.25">
      <c r="A263" s="3">
        <v>45701.318171296298</v>
      </c>
      <c r="B263" t="s">
        <v>113</v>
      </c>
      <c r="C263" s="3">
        <v>45701.31863425926</v>
      </c>
      <c r="D263" t="s">
        <v>113</v>
      </c>
      <c r="E263" s="4">
        <v>1.8056975424289703E-2</v>
      </c>
      <c r="F263" s="4">
        <v>347874.5039396697</v>
      </c>
      <c r="G263" s="4">
        <v>347874.52199664508</v>
      </c>
      <c r="H263" s="5">
        <f t="shared" si="0"/>
        <v>0</v>
      </c>
      <c r="I263" t="s">
        <v>125</v>
      </c>
      <c r="J263" t="s">
        <v>110</v>
      </c>
      <c r="K263" s="5">
        <f>40 / 86400</f>
        <v>4.6296296296296298E-4</v>
      </c>
      <c r="L263" s="5">
        <f>20 / 86400</f>
        <v>2.3148148148148149E-4</v>
      </c>
    </row>
    <row r="264" spans="1:12" x14ac:dyDescent="0.25">
      <c r="A264" s="3">
        <v>45701.318865740745</v>
      </c>
      <c r="B264" t="s">
        <v>113</v>
      </c>
      <c r="C264" s="3">
        <v>45701.319328703699</v>
      </c>
      <c r="D264" t="s">
        <v>113</v>
      </c>
      <c r="E264" s="4">
        <v>1.3738117516040801E-2</v>
      </c>
      <c r="F264" s="4">
        <v>347874.52973346366</v>
      </c>
      <c r="G264" s="4">
        <v>347874.54347158119</v>
      </c>
      <c r="H264" s="5">
        <f t="shared" si="0"/>
        <v>0</v>
      </c>
      <c r="I264" t="s">
        <v>110</v>
      </c>
      <c r="J264" t="s">
        <v>125</v>
      </c>
      <c r="K264" s="5">
        <f>40 / 86400</f>
        <v>4.6296296296296298E-4</v>
      </c>
      <c r="L264" s="5">
        <f>60 / 86400</f>
        <v>6.9444444444444447E-4</v>
      </c>
    </row>
    <row r="265" spans="1:12" x14ac:dyDescent="0.25">
      <c r="A265" s="3">
        <v>45701.320023148146</v>
      </c>
      <c r="B265" t="s">
        <v>113</v>
      </c>
      <c r="C265" s="3">
        <v>45701.320648148147</v>
      </c>
      <c r="D265" t="s">
        <v>237</v>
      </c>
      <c r="E265" s="4">
        <v>0.2453508318066597</v>
      </c>
      <c r="F265" s="4">
        <v>347874.57867355825</v>
      </c>
      <c r="G265" s="4">
        <v>347874.82402439002</v>
      </c>
      <c r="H265" s="5">
        <f t="shared" si="0"/>
        <v>0</v>
      </c>
      <c r="I265" t="s">
        <v>145</v>
      </c>
      <c r="J265" t="s">
        <v>51</v>
      </c>
      <c r="K265" s="5">
        <f>54 / 86400</f>
        <v>6.2500000000000001E-4</v>
      </c>
      <c r="L265" s="5">
        <f>118 / 86400</f>
        <v>1.3657407407407407E-3</v>
      </c>
    </row>
    <row r="266" spans="1:12" x14ac:dyDescent="0.25">
      <c r="A266" s="3">
        <v>45701.322013888886</v>
      </c>
      <c r="B266" t="s">
        <v>238</v>
      </c>
      <c r="C266" s="3">
        <v>45701.322523148148</v>
      </c>
      <c r="D266" t="s">
        <v>239</v>
      </c>
      <c r="E266" s="4">
        <v>0.40634100168943404</v>
      </c>
      <c r="F266" s="4">
        <v>347874.86330787232</v>
      </c>
      <c r="G266" s="4">
        <v>347875.269648874</v>
      </c>
      <c r="H266" s="5">
        <f t="shared" si="0"/>
        <v>0</v>
      </c>
      <c r="I266" t="s">
        <v>36</v>
      </c>
      <c r="J266" t="s">
        <v>162</v>
      </c>
      <c r="K266" s="5">
        <f>44 / 86400</f>
        <v>5.0925925925925921E-4</v>
      </c>
      <c r="L266" s="5">
        <f>80 / 86400</f>
        <v>9.2592592592592596E-4</v>
      </c>
    </row>
    <row r="267" spans="1:12" x14ac:dyDescent="0.25">
      <c r="A267" s="3">
        <v>45701.323449074072</v>
      </c>
      <c r="B267" t="s">
        <v>240</v>
      </c>
      <c r="C267" s="3">
        <v>45701.325358796297</v>
      </c>
      <c r="D267" t="s">
        <v>241</v>
      </c>
      <c r="E267" s="4">
        <v>1.3048366175889969</v>
      </c>
      <c r="F267" s="4">
        <v>347875.32972356252</v>
      </c>
      <c r="G267" s="4">
        <v>347876.63456018013</v>
      </c>
      <c r="H267" s="5">
        <f t="shared" si="0"/>
        <v>0</v>
      </c>
      <c r="I267" t="s">
        <v>191</v>
      </c>
      <c r="J267" t="s">
        <v>145</v>
      </c>
      <c r="K267" s="5">
        <f>165 / 86400</f>
        <v>1.9097222222222222E-3</v>
      </c>
      <c r="L267" s="5">
        <f>9 / 86400</f>
        <v>1.0416666666666667E-4</v>
      </c>
    </row>
    <row r="268" spans="1:12" x14ac:dyDescent="0.25">
      <c r="A268" s="3">
        <v>45701.325462962966</v>
      </c>
      <c r="B268" t="s">
        <v>242</v>
      </c>
      <c r="C268" s="3">
        <v>45701.326157407406</v>
      </c>
      <c r="D268" t="s">
        <v>243</v>
      </c>
      <c r="E268" s="4">
        <v>0.32206906890869141</v>
      </c>
      <c r="F268" s="4">
        <v>347876.64939759113</v>
      </c>
      <c r="G268" s="4">
        <v>347876.97146666003</v>
      </c>
      <c r="H268" s="5">
        <f t="shared" si="0"/>
        <v>0</v>
      </c>
      <c r="I268" t="s">
        <v>191</v>
      </c>
      <c r="J268" t="s">
        <v>23</v>
      </c>
      <c r="K268" s="5">
        <f>60 / 86400</f>
        <v>6.9444444444444447E-4</v>
      </c>
      <c r="L268" s="5">
        <f>67 / 86400</f>
        <v>7.7546296296296293E-4</v>
      </c>
    </row>
    <row r="269" spans="1:12" x14ac:dyDescent="0.25">
      <c r="A269" s="3">
        <v>45701.326932870375</v>
      </c>
      <c r="B269" t="s">
        <v>244</v>
      </c>
      <c r="C269" s="3">
        <v>45701.330462962964</v>
      </c>
      <c r="D269" t="s">
        <v>245</v>
      </c>
      <c r="E269" s="4">
        <v>1.833617674946785</v>
      </c>
      <c r="F269" s="4">
        <v>347877.1111566723</v>
      </c>
      <c r="G269" s="4">
        <v>347878.94477434724</v>
      </c>
      <c r="H269" s="5">
        <f t="shared" si="0"/>
        <v>0</v>
      </c>
      <c r="I269" t="s">
        <v>179</v>
      </c>
      <c r="J269" t="s">
        <v>132</v>
      </c>
      <c r="K269" s="5">
        <f>305 / 86400</f>
        <v>3.5300925925925925E-3</v>
      </c>
      <c r="L269" s="5">
        <f>60 / 86400</f>
        <v>6.9444444444444447E-4</v>
      </c>
    </row>
    <row r="270" spans="1:12" x14ac:dyDescent="0.25">
      <c r="A270" s="3">
        <v>45701.331157407403</v>
      </c>
      <c r="B270" t="s">
        <v>246</v>
      </c>
      <c r="C270" s="3">
        <v>45701.331388888888</v>
      </c>
      <c r="D270" t="s">
        <v>246</v>
      </c>
      <c r="E270" s="4">
        <v>2.3355702757835387E-2</v>
      </c>
      <c r="F270" s="4">
        <v>347878.99069253885</v>
      </c>
      <c r="G270" s="4">
        <v>347879.0140482416</v>
      </c>
      <c r="H270" s="5">
        <f t="shared" si="0"/>
        <v>0</v>
      </c>
      <c r="I270" t="s">
        <v>51</v>
      </c>
      <c r="J270" t="s">
        <v>177</v>
      </c>
      <c r="K270" s="5">
        <f>20 / 86400</f>
        <v>2.3148148148148149E-4</v>
      </c>
      <c r="L270" s="5">
        <f>93 / 86400</f>
        <v>1.0763888888888889E-3</v>
      </c>
    </row>
    <row r="271" spans="1:12" x14ac:dyDescent="0.25">
      <c r="A271" s="3">
        <v>45701.332465277781</v>
      </c>
      <c r="B271" t="s">
        <v>246</v>
      </c>
      <c r="C271" s="3">
        <v>45701.332928240736</v>
      </c>
      <c r="D271" t="s">
        <v>247</v>
      </c>
      <c r="E271" s="4">
        <v>8.3464674651622772E-2</v>
      </c>
      <c r="F271" s="4">
        <v>347879.03084196628</v>
      </c>
      <c r="G271" s="4">
        <v>347879.11430664093</v>
      </c>
      <c r="H271" s="5">
        <f t="shared" si="0"/>
        <v>0</v>
      </c>
      <c r="I271" t="s">
        <v>140</v>
      </c>
      <c r="J271" t="s">
        <v>90</v>
      </c>
      <c r="K271" s="5">
        <f>40 / 86400</f>
        <v>4.6296296296296298E-4</v>
      </c>
      <c r="L271" s="5">
        <f>109 / 86400</f>
        <v>1.261574074074074E-3</v>
      </c>
    </row>
    <row r="272" spans="1:12" x14ac:dyDescent="0.25">
      <c r="A272" s="3">
        <v>45701.334189814814</v>
      </c>
      <c r="B272" t="s">
        <v>248</v>
      </c>
      <c r="C272" s="3">
        <v>45701.334965277776</v>
      </c>
      <c r="D272" t="s">
        <v>249</v>
      </c>
      <c r="E272" s="4">
        <v>0.4348664309978485</v>
      </c>
      <c r="F272" s="4">
        <v>347879.14525309275</v>
      </c>
      <c r="G272" s="4">
        <v>347879.58011952374</v>
      </c>
      <c r="H272" s="5">
        <f t="shared" si="0"/>
        <v>0</v>
      </c>
      <c r="I272" t="s">
        <v>231</v>
      </c>
      <c r="J272" t="s">
        <v>152</v>
      </c>
      <c r="K272" s="5">
        <f>67 / 86400</f>
        <v>7.7546296296296293E-4</v>
      </c>
      <c r="L272" s="5">
        <f>40 / 86400</f>
        <v>4.6296296296296298E-4</v>
      </c>
    </row>
    <row r="273" spans="1:12" x14ac:dyDescent="0.25">
      <c r="A273" s="3">
        <v>45701.335428240738</v>
      </c>
      <c r="B273" t="s">
        <v>250</v>
      </c>
      <c r="C273" s="3">
        <v>45701.336446759262</v>
      </c>
      <c r="D273" t="s">
        <v>251</v>
      </c>
      <c r="E273" s="4">
        <v>0.44552867418527603</v>
      </c>
      <c r="F273" s="4">
        <v>347879.61893264309</v>
      </c>
      <c r="G273" s="4">
        <v>347880.06446131732</v>
      </c>
      <c r="H273" s="5">
        <f t="shared" si="0"/>
        <v>0</v>
      </c>
      <c r="I273" t="s">
        <v>219</v>
      </c>
      <c r="J273" t="s">
        <v>76</v>
      </c>
      <c r="K273" s="5">
        <f>88 / 86400</f>
        <v>1.0185185185185184E-3</v>
      </c>
      <c r="L273" s="5">
        <f>8 / 86400</f>
        <v>9.2592592592592588E-5</v>
      </c>
    </row>
    <row r="274" spans="1:12" x14ac:dyDescent="0.25">
      <c r="A274" s="3">
        <v>45701.336539351847</v>
      </c>
      <c r="B274" t="s">
        <v>251</v>
      </c>
      <c r="C274" s="3">
        <v>45701.337233796294</v>
      </c>
      <c r="D274" t="s">
        <v>252</v>
      </c>
      <c r="E274" s="4">
        <v>0.29102254170179365</v>
      </c>
      <c r="F274" s="4">
        <v>347880.06725936721</v>
      </c>
      <c r="G274" s="4">
        <v>347880.35828190891</v>
      </c>
      <c r="H274" s="5">
        <f t="shared" ref="H274:H337" si="1">0 / 86400</f>
        <v>0</v>
      </c>
      <c r="I274" t="s">
        <v>253</v>
      </c>
      <c r="J274" t="s">
        <v>20</v>
      </c>
      <c r="K274" s="5">
        <f>60 / 86400</f>
        <v>6.9444444444444447E-4</v>
      </c>
      <c r="L274" s="5">
        <f>32 / 86400</f>
        <v>3.7037037037037035E-4</v>
      </c>
    </row>
    <row r="275" spans="1:12" x14ac:dyDescent="0.25">
      <c r="A275" s="3">
        <v>45701.337604166663</v>
      </c>
      <c r="B275" t="s">
        <v>252</v>
      </c>
      <c r="C275" s="3">
        <v>45701.337835648148</v>
      </c>
      <c r="D275" t="s">
        <v>252</v>
      </c>
      <c r="E275" s="4">
        <v>4.3952915489673616E-2</v>
      </c>
      <c r="F275" s="4">
        <v>347880.36981934053</v>
      </c>
      <c r="G275" s="4">
        <v>347880.413772256</v>
      </c>
      <c r="H275" s="5">
        <f t="shared" si="1"/>
        <v>0</v>
      </c>
      <c r="I275" t="s">
        <v>156</v>
      </c>
      <c r="J275" t="s">
        <v>90</v>
      </c>
      <c r="K275" s="5">
        <f>20 / 86400</f>
        <v>2.3148148148148149E-4</v>
      </c>
      <c r="L275" s="5">
        <f>6 / 86400</f>
        <v>6.9444444444444444E-5</v>
      </c>
    </row>
    <row r="276" spans="1:12" x14ac:dyDescent="0.25">
      <c r="A276" s="3">
        <v>45701.337905092594</v>
      </c>
      <c r="B276" t="s">
        <v>252</v>
      </c>
      <c r="C276" s="3">
        <v>45701.339791666665</v>
      </c>
      <c r="D276" t="s">
        <v>254</v>
      </c>
      <c r="E276" s="4">
        <v>0.5023885815143585</v>
      </c>
      <c r="F276" s="4">
        <v>347880.41912100447</v>
      </c>
      <c r="G276" s="4">
        <v>347880.92150958598</v>
      </c>
      <c r="H276" s="5">
        <f t="shared" si="1"/>
        <v>0</v>
      </c>
      <c r="I276" t="s">
        <v>34</v>
      </c>
      <c r="J276" t="s">
        <v>149</v>
      </c>
      <c r="K276" s="5">
        <f>163 / 86400</f>
        <v>1.8865740740740742E-3</v>
      </c>
      <c r="L276" s="5">
        <f>20 / 86400</f>
        <v>2.3148148148148149E-4</v>
      </c>
    </row>
    <row r="277" spans="1:12" x14ac:dyDescent="0.25">
      <c r="A277" s="3">
        <v>45701.34002314815</v>
      </c>
      <c r="B277" t="s">
        <v>254</v>
      </c>
      <c r="C277" s="3">
        <v>45701.340613425928</v>
      </c>
      <c r="D277" t="s">
        <v>255</v>
      </c>
      <c r="E277" s="4">
        <v>7.4038829207420345E-2</v>
      </c>
      <c r="F277" s="4">
        <v>347880.92379816354</v>
      </c>
      <c r="G277" s="4">
        <v>347880.99783699273</v>
      </c>
      <c r="H277" s="5">
        <f t="shared" si="1"/>
        <v>0</v>
      </c>
      <c r="I277" t="s">
        <v>149</v>
      </c>
      <c r="J277" t="s">
        <v>37</v>
      </c>
      <c r="K277" s="5">
        <f>51 / 86400</f>
        <v>5.9027777777777778E-4</v>
      </c>
      <c r="L277" s="5">
        <f>6 / 86400</f>
        <v>6.9444444444444444E-5</v>
      </c>
    </row>
    <row r="278" spans="1:12" x14ac:dyDescent="0.25">
      <c r="A278" s="3">
        <v>45701.340682870374</v>
      </c>
      <c r="B278" t="s">
        <v>255</v>
      </c>
      <c r="C278" s="3">
        <v>45701.341145833328</v>
      </c>
      <c r="D278" t="s">
        <v>256</v>
      </c>
      <c r="E278" s="4">
        <v>6.9324390292167665E-2</v>
      </c>
      <c r="F278" s="4">
        <v>347881.00369153888</v>
      </c>
      <c r="G278" s="4">
        <v>347881.07301592914</v>
      </c>
      <c r="H278" s="5">
        <f t="shared" si="1"/>
        <v>0</v>
      </c>
      <c r="I278" t="s">
        <v>156</v>
      </c>
      <c r="J278" t="s">
        <v>156</v>
      </c>
      <c r="K278" s="5">
        <f>40 / 86400</f>
        <v>4.6296296296296298E-4</v>
      </c>
      <c r="L278" s="5">
        <f>140 / 86400</f>
        <v>1.6203703703703703E-3</v>
      </c>
    </row>
    <row r="279" spans="1:12" x14ac:dyDescent="0.25">
      <c r="A279" s="3">
        <v>45701.342766203699</v>
      </c>
      <c r="B279" t="s">
        <v>257</v>
      </c>
      <c r="C279" s="3">
        <v>45701.343460648146</v>
      </c>
      <c r="D279" t="s">
        <v>258</v>
      </c>
      <c r="E279" s="4">
        <v>0.16797987061738967</v>
      </c>
      <c r="F279" s="4">
        <v>347881.26503968355</v>
      </c>
      <c r="G279" s="4">
        <v>347881.43301955418</v>
      </c>
      <c r="H279" s="5">
        <f t="shared" si="1"/>
        <v>0</v>
      </c>
      <c r="I279" t="s">
        <v>43</v>
      </c>
      <c r="J279" t="s">
        <v>128</v>
      </c>
      <c r="K279" s="5">
        <f>60 / 86400</f>
        <v>6.9444444444444447E-4</v>
      </c>
      <c r="L279" s="5">
        <f>4 / 86400</f>
        <v>4.6296296296296294E-5</v>
      </c>
    </row>
    <row r="280" spans="1:12" x14ac:dyDescent="0.25">
      <c r="A280" s="3">
        <v>45701.343506944446</v>
      </c>
      <c r="B280" t="s">
        <v>258</v>
      </c>
      <c r="C280" s="3">
        <v>45701.345127314809</v>
      </c>
      <c r="D280" t="s">
        <v>259</v>
      </c>
      <c r="E280" s="4">
        <v>0.42068937414884566</v>
      </c>
      <c r="F280" s="4">
        <v>347881.43526099488</v>
      </c>
      <c r="G280" s="4">
        <v>347881.85595036903</v>
      </c>
      <c r="H280" s="5">
        <f t="shared" si="1"/>
        <v>0</v>
      </c>
      <c r="I280" t="s">
        <v>198</v>
      </c>
      <c r="J280" t="s">
        <v>149</v>
      </c>
      <c r="K280" s="5">
        <f>140 / 86400</f>
        <v>1.6203703703703703E-3</v>
      </c>
      <c r="L280" s="5">
        <f>20 / 86400</f>
        <v>2.3148148148148149E-4</v>
      </c>
    </row>
    <row r="281" spans="1:12" x14ac:dyDescent="0.25">
      <c r="A281" s="3">
        <v>45701.345358796301</v>
      </c>
      <c r="B281" t="s">
        <v>259</v>
      </c>
      <c r="C281" s="3">
        <v>45701.345821759256</v>
      </c>
      <c r="D281" t="s">
        <v>260</v>
      </c>
      <c r="E281" s="4">
        <v>0.15581388157606124</v>
      </c>
      <c r="F281" s="4">
        <v>347881.85819440696</v>
      </c>
      <c r="G281" s="4">
        <v>347882.01400828856</v>
      </c>
      <c r="H281" s="5">
        <f t="shared" si="1"/>
        <v>0</v>
      </c>
      <c r="I281" t="s">
        <v>135</v>
      </c>
      <c r="J281" t="s">
        <v>43</v>
      </c>
      <c r="K281" s="5">
        <f>40 / 86400</f>
        <v>4.6296296296296298E-4</v>
      </c>
      <c r="L281" s="5">
        <f>20 / 86400</f>
        <v>2.3148148148148149E-4</v>
      </c>
    </row>
    <row r="282" spans="1:12" x14ac:dyDescent="0.25">
      <c r="A282" s="3">
        <v>45701.346053240741</v>
      </c>
      <c r="B282" t="s">
        <v>261</v>
      </c>
      <c r="C282" s="3">
        <v>45701.348726851851</v>
      </c>
      <c r="D282" t="s">
        <v>262</v>
      </c>
      <c r="E282" s="4">
        <v>0.94858801358938216</v>
      </c>
      <c r="F282" s="4">
        <v>347882.046727415</v>
      </c>
      <c r="G282" s="4">
        <v>347882.99531542859</v>
      </c>
      <c r="H282" s="5">
        <f t="shared" si="1"/>
        <v>0</v>
      </c>
      <c r="I282" t="s">
        <v>198</v>
      </c>
      <c r="J282" t="s">
        <v>29</v>
      </c>
      <c r="K282" s="5">
        <f>231 / 86400</f>
        <v>2.673611111111111E-3</v>
      </c>
      <c r="L282" s="5">
        <f>60 / 86400</f>
        <v>6.9444444444444447E-4</v>
      </c>
    </row>
    <row r="283" spans="1:12" x14ac:dyDescent="0.25">
      <c r="A283" s="3">
        <v>45701.349421296298</v>
      </c>
      <c r="B283" t="s">
        <v>262</v>
      </c>
      <c r="C283" s="3">
        <v>45701.350821759261</v>
      </c>
      <c r="D283" t="s">
        <v>263</v>
      </c>
      <c r="E283" s="4">
        <v>0.31562003761529922</v>
      </c>
      <c r="F283" s="4">
        <v>347883.02891354728</v>
      </c>
      <c r="G283" s="4">
        <v>347883.3445335849</v>
      </c>
      <c r="H283" s="5">
        <f t="shared" si="1"/>
        <v>0</v>
      </c>
      <c r="I283" t="s">
        <v>23</v>
      </c>
      <c r="J283" t="s">
        <v>140</v>
      </c>
      <c r="K283" s="5">
        <f>121 / 86400</f>
        <v>1.4004629629629629E-3</v>
      </c>
      <c r="L283" s="5">
        <f>20 / 86400</f>
        <v>2.3148148148148149E-4</v>
      </c>
    </row>
    <row r="284" spans="1:12" x14ac:dyDescent="0.25">
      <c r="A284" s="3">
        <v>45701.351053240738</v>
      </c>
      <c r="B284" t="s">
        <v>263</v>
      </c>
      <c r="C284" s="3">
        <v>45701.3519212963</v>
      </c>
      <c r="D284" t="s">
        <v>264</v>
      </c>
      <c r="E284" s="4">
        <v>0.39105773216485978</v>
      </c>
      <c r="F284" s="4">
        <v>347883.34552246856</v>
      </c>
      <c r="G284" s="4">
        <v>347883.73658020073</v>
      </c>
      <c r="H284" s="5">
        <f t="shared" si="1"/>
        <v>0</v>
      </c>
      <c r="I284" t="s">
        <v>152</v>
      </c>
      <c r="J284" t="s">
        <v>23</v>
      </c>
      <c r="K284" s="5">
        <f>75 / 86400</f>
        <v>8.6805555555555551E-4</v>
      </c>
      <c r="L284" s="5">
        <f>6 / 86400</f>
        <v>6.9444444444444444E-5</v>
      </c>
    </row>
    <row r="285" spans="1:12" x14ac:dyDescent="0.25">
      <c r="A285" s="3">
        <v>45701.351990740739</v>
      </c>
      <c r="B285" t="s">
        <v>264</v>
      </c>
      <c r="C285" s="3">
        <v>45701.355624999997</v>
      </c>
      <c r="D285" t="s">
        <v>265</v>
      </c>
      <c r="E285" s="4">
        <v>1.464348064482212</v>
      </c>
      <c r="F285" s="4">
        <v>347883.75029206061</v>
      </c>
      <c r="G285" s="4">
        <v>347885.21464012511</v>
      </c>
      <c r="H285" s="5">
        <f t="shared" si="1"/>
        <v>0</v>
      </c>
      <c r="I285" t="s">
        <v>193</v>
      </c>
      <c r="J285" t="s">
        <v>20</v>
      </c>
      <c r="K285" s="5">
        <f>314 / 86400</f>
        <v>3.6342592592592594E-3</v>
      </c>
      <c r="L285" s="5">
        <f>80 / 86400</f>
        <v>9.2592592592592596E-4</v>
      </c>
    </row>
    <row r="286" spans="1:12" x14ac:dyDescent="0.25">
      <c r="A286" s="3">
        <v>45701.356550925921</v>
      </c>
      <c r="B286" t="s">
        <v>266</v>
      </c>
      <c r="C286" s="3">
        <v>45701.359097222223</v>
      </c>
      <c r="D286" t="s">
        <v>267</v>
      </c>
      <c r="E286" s="4">
        <v>1.2042100788354875</v>
      </c>
      <c r="F286" s="4">
        <v>347885.25524751242</v>
      </c>
      <c r="G286" s="4">
        <v>347886.45945759123</v>
      </c>
      <c r="H286" s="5">
        <f t="shared" si="1"/>
        <v>0</v>
      </c>
      <c r="I286" t="s">
        <v>268</v>
      </c>
      <c r="J286" t="s">
        <v>34</v>
      </c>
      <c r="K286" s="5">
        <f>220 / 86400</f>
        <v>2.5462962962962965E-3</v>
      </c>
      <c r="L286" s="5">
        <f>20 / 86400</f>
        <v>2.3148148148148149E-4</v>
      </c>
    </row>
    <row r="287" spans="1:12" x14ac:dyDescent="0.25">
      <c r="A287" s="3">
        <v>45701.359328703707</v>
      </c>
      <c r="B287" t="s">
        <v>267</v>
      </c>
      <c r="C287" s="3">
        <v>45701.359791666662</v>
      </c>
      <c r="D287" t="s">
        <v>267</v>
      </c>
      <c r="E287" s="4">
        <v>1.4357323527336121E-2</v>
      </c>
      <c r="F287" s="4">
        <v>347886.46987846954</v>
      </c>
      <c r="G287" s="4">
        <v>347886.48423579306</v>
      </c>
      <c r="H287" s="5">
        <f t="shared" si="1"/>
        <v>0</v>
      </c>
      <c r="I287" t="s">
        <v>125</v>
      </c>
      <c r="J287" t="s">
        <v>125</v>
      </c>
      <c r="K287" s="5">
        <f>40 / 86400</f>
        <v>4.6296296296296298E-4</v>
      </c>
      <c r="L287" s="5">
        <f>40 / 86400</f>
        <v>4.6296296296296298E-4</v>
      </c>
    </row>
    <row r="288" spans="1:12" x14ac:dyDescent="0.25">
      <c r="A288" s="3">
        <v>45701.360254629632</v>
      </c>
      <c r="B288" t="s">
        <v>267</v>
      </c>
      <c r="C288" s="3">
        <v>45701.361493055556</v>
      </c>
      <c r="D288" t="s">
        <v>269</v>
      </c>
      <c r="E288" s="4">
        <v>0.31132824546098709</v>
      </c>
      <c r="F288" s="4">
        <v>347886.49112671911</v>
      </c>
      <c r="G288" s="4">
        <v>347886.80245496461</v>
      </c>
      <c r="H288" s="5">
        <f t="shared" si="1"/>
        <v>0</v>
      </c>
      <c r="I288" t="s">
        <v>71</v>
      </c>
      <c r="J288" t="s">
        <v>128</v>
      </c>
      <c r="K288" s="5">
        <f>107 / 86400</f>
        <v>1.238425925925926E-3</v>
      </c>
      <c r="L288" s="5">
        <f>20 / 86400</f>
        <v>2.3148148148148149E-4</v>
      </c>
    </row>
    <row r="289" spans="1:12" x14ac:dyDescent="0.25">
      <c r="A289" s="3">
        <v>45701.361724537041</v>
      </c>
      <c r="B289" t="s">
        <v>269</v>
      </c>
      <c r="C289" s="3">
        <v>45701.363773148143</v>
      </c>
      <c r="D289" t="s">
        <v>270</v>
      </c>
      <c r="E289" s="4">
        <v>0.28949382144212721</v>
      </c>
      <c r="F289" s="4">
        <v>347886.82543089474</v>
      </c>
      <c r="G289" s="4">
        <v>347887.11492471618</v>
      </c>
      <c r="H289" s="5">
        <f t="shared" si="1"/>
        <v>0</v>
      </c>
      <c r="I289" t="s">
        <v>20</v>
      </c>
      <c r="J289" t="s">
        <v>156</v>
      </c>
      <c r="K289" s="5">
        <f>177 / 86400</f>
        <v>2.0486111111111113E-3</v>
      </c>
      <c r="L289" s="5">
        <f>11 / 86400</f>
        <v>1.273148148148148E-4</v>
      </c>
    </row>
    <row r="290" spans="1:12" x14ac:dyDescent="0.25">
      <c r="A290" s="3">
        <v>45701.363900462966</v>
      </c>
      <c r="B290" t="s">
        <v>270</v>
      </c>
      <c r="C290" s="3">
        <v>45701.364942129629</v>
      </c>
      <c r="D290" t="s">
        <v>270</v>
      </c>
      <c r="E290" s="4">
        <v>0.40758628034591676</v>
      </c>
      <c r="F290" s="4">
        <v>347887.15145154402</v>
      </c>
      <c r="G290" s="4">
        <v>347887.55903782439</v>
      </c>
      <c r="H290" s="5">
        <f t="shared" si="1"/>
        <v>0</v>
      </c>
      <c r="I290" t="s">
        <v>253</v>
      </c>
      <c r="J290" t="s">
        <v>51</v>
      </c>
      <c r="K290" s="5">
        <f>90 / 86400</f>
        <v>1.0416666666666667E-3</v>
      </c>
      <c r="L290" s="5">
        <f>31 / 86400</f>
        <v>3.5879629629629629E-4</v>
      </c>
    </row>
    <row r="291" spans="1:12" x14ac:dyDescent="0.25">
      <c r="A291" s="3">
        <v>45701.365300925929</v>
      </c>
      <c r="B291" t="s">
        <v>271</v>
      </c>
      <c r="C291" s="3">
        <v>45701.365532407406</v>
      </c>
      <c r="D291" t="s">
        <v>271</v>
      </c>
      <c r="E291" s="4">
        <v>9.3787788152694708E-3</v>
      </c>
      <c r="F291" s="4">
        <v>347887.57206512452</v>
      </c>
      <c r="G291" s="4">
        <v>347887.58144390333</v>
      </c>
      <c r="H291" s="5">
        <f t="shared" si="1"/>
        <v>0</v>
      </c>
      <c r="I291" t="s">
        <v>161</v>
      </c>
      <c r="J291" t="s">
        <v>110</v>
      </c>
      <c r="K291" s="5">
        <f>20 / 86400</f>
        <v>2.3148148148148149E-4</v>
      </c>
      <c r="L291" s="5">
        <f>20 / 86400</f>
        <v>2.3148148148148149E-4</v>
      </c>
    </row>
    <row r="292" spans="1:12" x14ac:dyDescent="0.25">
      <c r="A292" s="3">
        <v>45701.365763888884</v>
      </c>
      <c r="B292" t="s">
        <v>271</v>
      </c>
      <c r="C292" s="3">
        <v>45701.366342592592</v>
      </c>
      <c r="D292" t="s">
        <v>272</v>
      </c>
      <c r="E292" s="4">
        <v>3.259632384777069E-2</v>
      </c>
      <c r="F292" s="4">
        <v>347887.59011581162</v>
      </c>
      <c r="G292" s="4">
        <v>347887.62271213549</v>
      </c>
      <c r="H292" s="5">
        <f t="shared" si="1"/>
        <v>0</v>
      </c>
      <c r="I292" t="s">
        <v>37</v>
      </c>
      <c r="J292" t="s">
        <v>110</v>
      </c>
      <c r="K292" s="5">
        <f>50 / 86400</f>
        <v>5.7870370370370367E-4</v>
      </c>
      <c r="L292" s="5">
        <f>20 / 86400</f>
        <v>2.3148148148148149E-4</v>
      </c>
    </row>
    <row r="293" spans="1:12" x14ac:dyDescent="0.25">
      <c r="A293" s="3">
        <v>45701.366574074069</v>
      </c>
      <c r="B293" t="s">
        <v>272</v>
      </c>
      <c r="C293" s="3">
        <v>45701.366805555561</v>
      </c>
      <c r="D293" t="s">
        <v>272</v>
      </c>
      <c r="E293" s="4">
        <v>4.439473807811737E-3</v>
      </c>
      <c r="F293" s="4">
        <v>347887.63902731048</v>
      </c>
      <c r="G293" s="4">
        <v>347887.64346678427</v>
      </c>
      <c r="H293" s="5">
        <f t="shared" si="1"/>
        <v>0</v>
      </c>
      <c r="I293" t="s">
        <v>125</v>
      </c>
      <c r="J293" t="s">
        <v>125</v>
      </c>
      <c r="K293" s="5">
        <f>20 / 86400</f>
        <v>2.3148148148148149E-4</v>
      </c>
      <c r="L293" s="5">
        <f>8 / 86400</f>
        <v>9.2592592592592588E-5</v>
      </c>
    </row>
    <row r="294" spans="1:12" x14ac:dyDescent="0.25">
      <c r="A294" s="3">
        <v>45701.366898148146</v>
      </c>
      <c r="B294" t="s">
        <v>272</v>
      </c>
      <c r="C294" s="3">
        <v>45701.367129629631</v>
      </c>
      <c r="D294" t="s">
        <v>102</v>
      </c>
      <c r="E294" s="4">
        <v>8.0753717422485348E-3</v>
      </c>
      <c r="F294" s="4">
        <v>347887.6541535451</v>
      </c>
      <c r="G294" s="4">
        <v>347887.66222891683</v>
      </c>
      <c r="H294" s="5">
        <f t="shared" si="1"/>
        <v>0</v>
      </c>
      <c r="I294" t="s">
        <v>149</v>
      </c>
      <c r="J294" t="s">
        <v>125</v>
      </c>
      <c r="K294" s="5">
        <f>20 / 86400</f>
        <v>2.3148148148148149E-4</v>
      </c>
      <c r="L294" s="5">
        <f>40 / 86400</f>
        <v>4.6296296296296298E-4</v>
      </c>
    </row>
    <row r="295" spans="1:12" x14ac:dyDescent="0.25">
      <c r="A295" s="3">
        <v>45701.367592592593</v>
      </c>
      <c r="B295" t="s">
        <v>102</v>
      </c>
      <c r="C295" s="3">
        <v>45701.368055555555</v>
      </c>
      <c r="D295" t="s">
        <v>273</v>
      </c>
      <c r="E295" s="4">
        <v>2.1197476327419282E-2</v>
      </c>
      <c r="F295" s="4">
        <v>347887.68666992645</v>
      </c>
      <c r="G295" s="4">
        <v>347887.70786740282</v>
      </c>
      <c r="H295" s="5">
        <f t="shared" si="1"/>
        <v>0</v>
      </c>
      <c r="I295" t="s">
        <v>37</v>
      </c>
      <c r="J295" t="s">
        <v>110</v>
      </c>
      <c r="K295" s="5">
        <f>40 / 86400</f>
        <v>4.6296296296296298E-4</v>
      </c>
      <c r="L295" s="5">
        <f>20 / 86400</f>
        <v>2.3148148148148149E-4</v>
      </c>
    </row>
    <row r="296" spans="1:12" x14ac:dyDescent="0.25">
      <c r="A296" s="3">
        <v>45701.368287037039</v>
      </c>
      <c r="B296" t="s">
        <v>273</v>
      </c>
      <c r="C296" s="3">
        <v>45701.368518518517</v>
      </c>
      <c r="D296" t="s">
        <v>273</v>
      </c>
      <c r="E296" s="4">
        <v>3.3127068102359769E-2</v>
      </c>
      <c r="F296" s="4">
        <v>347887.72200657928</v>
      </c>
      <c r="G296" s="4">
        <v>347887.75513364736</v>
      </c>
      <c r="H296" s="5">
        <f t="shared" si="1"/>
        <v>0</v>
      </c>
      <c r="I296" t="s">
        <v>161</v>
      </c>
      <c r="J296" t="s">
        <v>156</v>
      </c>
      <c r="K296" s="5">
        <f>20 / 86400</f>
        <v>2.3148148148148149E-4</v>
      </c>
      <c r="L296" s="5">
        <f>40 / 86400</f>
        <v>4.6296296296296298E-4</v>
      </c>
    </row>
    <row r="297" spans="1:12" x14ac:dyDescent="0.25">
      <c r="A297" s="3">
        <v>45701.368981481486</v>
      </c>
      <c r="B297" t="s">
        <v>273</v>
      </c>
      <c r="C297" s="3">
        <v>45701.370833333334</v>
      </c>
      <c r="D297" t="s">
        <v>102</v>
      </c>
      <c r="E297" s="4">
        <v>0.40812666797637942</v>
      </c>
      <c r="F297" s="4">
        <v>347887.78831728437</v>
      </c>
      <c r="G297" s="4">
        <v>347888.19644395233</v>
      </c>
      <c r="H297" s="5">
        <f t="shared" si="1"/>
        <v>0</v>
      </c>
      <c r="I297" t="s">
        <v>76</v>
      </c>
      <c r="J297" t="s">
        <v>140</v>
      </c>
      <c r="K297" s="5">
        <f>160 / 86400</f>
        <v>1.8518518518518519E-3</v>
      </c>
      <c r="L297" s="5">
        <f>5 / 86400</f>
        <v>5.7870370370370373E-5</v>
      </c>
    </row>
    <row r="298" spans="1:12" x14ac:dyDescent="0.25">
      <c r="A298" s="3">
        <v>45701.370891203704</v>
      </c>
      <c r="B298" t="s">
        <v>102</v>
      </c>
      <c r="C298" s="3">
        <v>45701.373113425929</v>
      </c>
      <c r="D298" t="s">
        <v>274</v>
      </c>
      <c r="E298" s="4">
        <v>0.59698126828670506</v>
      </c>
      <c r="F298" s="4">
        <v>347888.1999158237</v>
      </c>
      <c r="G298" s="4">
        <v>347888.79689709196</v>
      </c>
      <c r="H298" s="5">
        <f t="shared" si="1"/>
        <v>0</v>
      </c>
      <c r="I298" t="s">
        <v>132</v>
      </c>
      <c r="J298" t="s">
        <v>149</v>
      </c>
      <c r="K298" s="5">
        <f>192 / 86400</f>
        <v>2.2222222222222222E-3</v>
      </c>
      <c r="L298" s="5">
        <f>20 / 86400</f>
        <v>2.3148148148148149E-4</v>
      </c>
    </row>
    <row r="299" spans="1:12" x14ac:dyDescent="0.25">
      <c r="A299" s="3">
        <v>45701.373344907406</v>
      </c>
      <c r="B299" t="s">
        <v>274</v>
      </c>
      <c r="C299" s="3">
        <v>45701.374282407407</v>
      </c>
      <c r="D299" t="s">
        <v>275</v>
      </c>
      <c r="E299" s="4">
        <v>0.51226942658424379</v>
      </c>
      <c r="F299" s="4">
        <v>347888.80866027105</v>
      </c>
      <c r="G299" s="4">
        <v>347889.32092969766</v>
      </c>
      <c r="H299" s="5">
        <f t="shared" si="1"/>
        <v>0</v>
      </c>
      <c r="I299" t="s">
        <v>127</v>
      </c>
      <c r="J299" t="s">
        <v>152</v>
      </c>
      <c r="K299" s="5">
        <f>81 / 86400</f>
        <v>9.3749999999999997E-4</v>
      </c>
      <c r="L299" s="5">
        <f>88 / 86400</f>
        <v>1.0185185185185184E-3</v>
      </c>
    </row>
    <row r="300" spans="1:12" x14ac:dyDescent="0.25">
      <c r="A300" s="3">
        <v>45701.375300925924</v>
      </c>
      <c r="B300" t="s">
        <v>275</v>
      </c>
      <c r="C300" s="3">
        <v>45701.375532407408</v>
      </c>
      <c r="D300" t="s">
        <v>275</v>
      </c>
      <c r="E300" s="4">
        <v>6.9775462388992307E-2</v>
      </c>
      <c r="F300" s="4">
        <v>347889.3393216703</v>
      </c>
      <c r="G300" s="4">
        <v>347889.40909713268</v>
      </c>
      <c r="H300" s="5">
        <f t="shared" si="1"/>
        <v>0</v>
      </c>
      <c r="I300" t="s">
        <v>37</v>
      </c>
      <c r="J300" t="s">
        <v>58</v>
      </c>
      <c r="K300" s="5">
        <f>20 / 86400</f>
        <v>2.3148148148148149E-4</v>
      </c>
      <c r="L300" s="5">
        <f>120 / 86400</f>
        <v>1.3888888888888889E-3</v>
      </c>
    </row>
    <row r="301" spans="1:12" x14ac:dyDescent="0.25">
      <c r="A301" s="3">
        <v>45701.376921296294</v>
      </c>
      <c r="B301" t="s">
        <v>275</v>
      </c>
      <c r="C301" s="3">
        <v>45701.378946759258</v>
      </c>
      <c r="D301" t="s">
        <v>276</v>
      </c>
      <c r="E301" s="4">
        <v>1.4327958602309228</v>
      </c>
      <c r="F301" s="4">
        <v>347889.45180328446</v>
      </c>
      <c r="G301" s="4">
        <v>347890.88459914469</v>
      </c>
      <c r="H301" s="5">
        <f t="shared" si="1"/>
        <v>0</v>
      </c>
      <c r="I301" t="s">
        <v>63</v>
      </c>
      <c r="J301" t="s">
        <v>159</v>
      </c>
      <c r="K301" s="5">
        <f>175 / 86400</f>
        <v>2.0254629629629629E-3</v>
      </c>
      <c r="L301" s="5">
        <f>20 / 86400</f>
        <v>2.3148148148148149E-4</v>
      </c>
    </row>
    <row r="302" spans="1:12" x14ac:dyDescent="0.25">
      <c r="A302" s="3">
        <v>45701.379178240742</v>
      </c>
      <c r="B302" t="s">
        <v>276</v>
      </c>
      <c r="C302" s="3">
        <v>45701.379409722227</v>
      </c>
      <c r="D302" t="s">
        <v>277</v>
      </c>
      <c r="E302" s="4">
        <v>7.1956362485885619E-2</v>
      </c>
      <c r="F302" s="4">
        <v>347890.89063306199</v>
      </c>
      <c r="G302" s="4">
        <v>347890.96258942451</v>
      </c>
      <c r="H302" s="5">
        <f t="shared" si="1"/>
        <v>0</v>
      </c>
      <c r="I302" t="s">
        <v>161</v>
      </c>
      <c r="J302" t="s">
        <v>58</v>
      </c>
      <c r="K302" s="5">
        <f>20 / 86400</f>
        <v>2.3148148148148149E-4</v>
      </c>
      <c r="L302" s="5">
        <f>20 / 86400</f>
        <v>2.3148148148148149E-4</v>
      </c>
    </row>
    <row r="303" spans="1:12" x14ac:dyDescent="0.25">
      <c r="A303" s="3">
        <v>45701.379641203705</v>
      </c>
      <c r="B303" t="s">
        <v>185</v>
      </c>
      <c r="C303" s="3">
        <v>45701.380798611106</v>
      </c>
      <c r="D303" t="s">
        <v>278</v>
      </c>
      <c r="E303" s="4">
        <v>0.76399794721603398</v>
      </c>
      <c r="F303" s="4">
        <v>347891.13390473835</v>
      </c>
      <c r="G303" s="4">
        <v>347891.89790268557</v>
      </c>
      <c r="H303" s="5">
        <f t="shared" si="1"/>
        <v>0</v>
      </c>
      <c r="I303" t="s">
        <v>207</v>
      </c>
      <c r="J303" t="s">
        <v>145</v>
      </c>
      <c r="K303" s="5">
        <f>100 / 86400</f>
        <v>1.1574074074074073E-3</v>
      </c>
      <c r="L303" s="5">
        <f>60 / 86400</f>
        <v>6.9444444444444447E-4</v>
      </c>
    </row>
    <row r="304" spans="1:12" x14ac:dyDescent="0.25">
      <c r="A304" s="3">
        <v>45701.381493055553</v>
      </c>
      <c r="B304" t="s">
        <v>185</v>
      </c>
      <c r="C304" s="3">
        <v>45701.381956018522</v>
      </c>
      <c r="D304" t="s">
        <v>185</v>
      </c>
      <c r="E304" s="4">
        <v>0.14389840626716613</v>
      </c>
      <c r="F304" s="4">
        <v>347891.91460439027</v>
      </c>
      <c r="G304" s="4">
        <v>347892.05850279651</v>
      </c>
      <c r="H304" s="5">
        <f t="shared" si="1"/>
        <v>0</v>
      </c>
      <c r="I304" t="s">
        <v>253</v>
      </c>
      <c r="J304" t="s">
        <v>58</v>
      </c>
      <c r="K304" s="5">
        <f>40 / 86400</f>
        <v>4.6296296296296298E-4</v>
      </c>
      <c r="L304" s="5">
        <f>40 / 86400</f>
        <v>4.6296296296296298E-4</v>
      </c>
    </row>
    <row r="305" spans="1:12" x14ac:dyDescent="0.25">
      <c r="A305" s="3">
        <v>45701.382418981477</v>
      </c>
      <c r="B305" t="s">
        <v>181</v>
      </c>
      <c r="C305" s="3">
        <v>45701.382650462961</v>
      </c>
      <c r="D305" t="s">
        <v>181</v>
      </c>
      <c r="E305" s="4">
        <v>0</v>
      </c>
      <c r="F305" s="4">
        <v>347892.58402302733</v>
      </c>
      <c r="G305" s="4">
        <v>347892.58402302733</v>
      </c>
      <c r="H305" s="5">
        <f t="shared" si="1"/>
        <v>0</v>
      </c>
      <c r="I305" t="s">
        <v>169</v>
      </c>
      <c r="J305" t="s">
        <v>91</v>
      </c>
      <c r="K305" s="5">
        <f>20 / 86400</f>
        <v>2.3148148148148149E-4</v>
      </c>
      <c r="L305" s="5">
        <f>20 / 86400</f>
        <v>2.3148148148148149E-4</v>
      </c>
    </row>
    <row r="306" spans="1:12" x14ac:dyDescent="0.25">
      <c r="A306" s="3">
        <v>45701.382881944446</v>
      </c>
      <c r="B306" t="s">
        <v>223</v>
      </c>
      <c r="C306" s="3">
        <v>45701.38554398148</v>
      </c>
      <c r="D306" t="s">
        <v>279</v>
      </c>
      <c r="E306" s="4">
        <v>0.92816606992483142</v>
      </c>
      <c r="F306" s="4">
        <v>347892.7002870632</v>
      </c>
      <c r="G306" s="4">
        <v>347893.6284531331</v>
      </c>
      <c r="H306" s="5">
        <f t="shared" si="1"/>
        <v>0</v>
      </c>
      <c r="I306" t="s">
        <v>148</v>
      </c>
      <c r="J306" t="s">
        <v>29</v>
      </c>
      <c r="K306" s="5">
        <f>230 / 86400</f>
        <v>2.662037037037037E-3</v>
      </c>
      <c r="L306" s="5">
        <f>60 / 86400</f>
        <v>6.9444444444444447E-4</v>
      </c>
    </row>
    <row r="307" spans="1:12" x14ac:dyDescent="0.25">
      <c r="A307" s="3">
        <v>45701.386238425926</v>
      </c>
      <c r="B307" t="s">
        <v>279</v>
      </c>
      <c r="C307" s="3">
        <v>45701.388553240744</v>
      </c>
      <c r="D307" t="s">
        <v>280</v>
      </c>
      <c r="E307" s="4">
        <v>1.6244971486330033</v>
      </c>
      <c r="F307" s="4">
        <v>347893.79171094246</v>
      </c>
      <c r="G307" s="4">
        <v>347895.41620809108</v>
      </c>
      <c r="H307" s="5">
        <f t="shared" si="1"/>
        <v>0</v>
      </c>
      <c r="I307" t="s">
        <v>193</v>
      </c>
      <c r="J307" t="s">
        <v>159</v>
      </c>
      <c r="K307" s="5">
        <f>200 / 86400</f>
        <v>2.3148148148148147E-3</v>
      </c>
      <c r="L307" s="5">
        <f>20 / 86400</f>
        <v>2.3148148148148149E-4</v>
      </c>
    </row>
    <row r="308" spans="1:12" x14ac:dyDescent="0.25">
      <c r="A308" s="3">
        <v>45701.388784722221</v>
      </c>
      <c r="B308" t="s">
        <v>281</v>
      </c>
      <c r="C308" s="3">
        <v>45701.389016203699</v>
      </c>
      <c r="D308" t="s">
        <v>281</v>
      </c>
      <c r="E308" s="4">
        <v>2.8415958404541017E-2</v>
      </c>
      <c r="F308" s="4">
        <v>347895.58965376351</v>
      </c>
      <c r="G308" s="4">
        <v>347895.61806972191</v>
      </c>
      <c r="H308" s="5">
        <f t="shared" si="1"/>
        <v>0</v>
      </c>
      <c r="I308" t="s">
        <v>179</v>
      </c>
      <c r="J308" t="s">
        <v>37</v>
      </c>
      <c r="K308" s="5">
        <f>20 / 86400</f>
        <v>2.3148148148148149E-4</v>
      </c>
      <c r="L308" s="5">
        <f>20 / 86400</f>
        <v>2.3148148148148149E-4</v>
      </c>
    </row>
    <row r="309" spans="1:12" x14ac:dyDescent="0.25">
      <c r="A309" s="3">
        <v>45701.389247685191</v>
      </c>
      <c r="B309" t="s">
        <v>281</v>
      </c>
      <c r="C309" s="3">
        <v>45701.391180555554</v>
      </c>
      <c r="D309" t="s">
        <v>187</v>
      </c>
      <c r="E309" s="4">
        <v>1.3826400735974311</v>
      </c>
      <c r="F309" s="4">
        <v>347895.75575623394</v>
      </c>
      <c r="G309" s="4">
        <v>347897.13839630754</v>
      </c>
      <c r="H309" s="5">
        <f t="shared" si="1"/>
        <v>0</v>
      </c>
      <c r="I309" t="s">
        <v>282</v>
      </c>
      <c r="J309" t="s">
        <v>71</v>
      </c>
      <c r="K309" s="5">
        <f>167 / 86400</f>
        <v>1.9328703703703704E-3</v>
      </c>
      <c r="L309" s="5">
        <f>40 / 86400</f>
        <v>4.6296296296296298E-4</v>
      </c>
    </row>
    <row r="310" spans="1:12" x14ac:dyDescent="0.25">
      <c r="A310" s="3">
        <v>45701.391643518524</v>
      </c>
      <c r="B310" t="s">
        <v>187</v>
      </c>
      <c r="C310" s="3">
        <v>45701.392800925925</v>
      </c>
      <c r="D310" t="s">
        <v>283</v>
      </c>
      <c r="E310" s="4">
        <v>0.51430453532934184</v>
      </c>
      <c r="F310" s="4">
        <v>347897.26120869594</v>
      </c>
      <c r="G310" s="4">
        <v>347897.77551323129</v>
      </c>
      <c r="H310" s="5">
        <f t="shared" si="1"/>
        <v>0</v>
      </c>
      <c r="I310" t="s">
        <v>284</v>
      </c>
      <c r="J310" t="s">
        <v>23</v>
      </c>
      <c r="K310" s="5">
        <f>100 / 86400</f>
        <v>1.1574074074074073E-3</v>
      </c>
      <c r="L310" s="5">
        <f>60 / 86400</f>
        <v>6.9444444444444447E-4</v>
      </c>
    </row>
    <row r="311" spans="1:12" x14ac:dyDescent="0.25">
      <c r="A311" s="3">
        <v>45701.393495370372</v>
      </c>
      <c r="B311" t="s">
        <v>285</v>
      </c>
      <c r="C311" s="3">
        <v>45701.394189814819</v>
      </c>
      <c r="D311" t="s">
        <v>187</v>
      </c>
      <c r="E311" s="4">
        <v>0.20749218308925629</v>
      </c>
      <c r="F311" s="4">
        <v>347897.80190652085</v>
      </c>
      <c r="G311" s="4">
        <v>347898.00939870393</v>
      </c>
      <c r="H311" s="5">
        <f t="shared" si="1"/>
        <v>0</v>
      </c>
      <c r="I311" t="s">
        <v>148</v>
      </c>
      <c r="J311" t="s">
        <v>120</v>
      </c>
      <c r="K311" s="5">
        <f>60 / 86400</f>
        <v>6.9444444444444447E-4</v>
      </c>
      <c r="L311" s="5">
        <f>9 / 86400</f>
        <v>1.0416666666666667E-4</v>
      </c>
    </row>
    <row r="312" spans="1:12" x14ac:dyDescent="0.25">
      <c r="A312" s="3">
        <v>45701.394293981481</v>
      </c>
      <c r="B312" t="s">
        <v>187</v>
      </c>
      <c r="C312" s="3">
        <v>45701.401678240742</v>
      </c>
      <c r="D312" t="s">
        <v>83</v>
      </c>
      <c r="E312" s="4">
        <v>3.0531278977394103</v>
      </c>
      <c r="F312" s="4">
        <v>347898.0114357897</v>
      </c>
      <c r="G312" s="4">
        <v>347901.06456368743</v>
      </c>
      <c r="H312" s="5">
        <f t="shared" si="1"/>
        <v>0</v>
      </c>
      <c r="I312" t="s">
        <v>186</v>
      </c>
      <c r="J312" t="s">
        <v>20</v>
      </c>
      <c r="K312" s="5">
        <f>638 / 86400</f>
        <v>7.3842592592592597E-3</v>
      </c>
      <c r="L312" s="5">
        <f>20 / 86400</f>
        <v>2.3148148148148149E-4</v>
      </c>
    </row>
    <row r="313" spans="1:12" x14ac:dyDescent="0.25">
      <c r="A313" s="3">
        <v>45701.401909722219</v>
      </c>
      <c r="B313" t="s">
        <v>83</v>
      </c>
      <c r="C313" s="3">
        <v>45701.403067129635</v>
      </c>
      <c r="D313" t="s">
        <v>83</v>
      </c>
      <c r="E313" s="4">
        <v>0.51706482273340226</v>
      </c>
      <c r="F313" s="4">
        <v>347901.06754857098</v>
      </c>
      <c r="G313" s="4">
        <v>347901.5846133937</v>
      </c>
      <c r="H313" s="5">
        <f t="shared" si="1"/>
        <v>0</v>
      </c>
      <c r="I313" t="s">
        <v>207</v>
      </c>
      <c r="J313" t="s">
        <v>23</v>
      </c>
      <c r="K313" s="5">
        <f>100 / 86400</f>
        <v>1.1574074074074073E-3</v>
      </c>
      <c r="L313" s="5">
        <f>20 / 86400</f>
        <v>2.3148148148148149E-4</v>
      </c>
    </row>
    <row r="314" spans="1:12" x14ac:dyDescent="0.25">
      <c r="A314" s="3">
        <v>45701.403298611112</v>
      </c>
      <c r="B314" t="s">
        <v>83</v>
      </c>
      <c r="C314" s="3">
        <v>45701.403993055559</v>
      </c>
      <c r="D314" t="s">
        <v>83</v>
      </c>
      <c r="E314" s="4">
        <v>0.12786456203460694</v>
      </c>
      <c r="F314" s="4">
        <v>347901.58840455988</v>
      </c>
      <c r="G314" s="4">
        <v>347901.71626912191</v>
      </c>
      <c r="H314" s="5">
        <f t="shared" si="1"/>
        <v>0</v>
      </c>
      <c r="I314" t="s">
        <v>120</v>
      </c>
      <c r="J314" t="s">
        <v>90</v>
      </c>
      <c r="K314" s="5">
        <f>60 / 86400</f>
        <v>6.9444444444444447E-4</v>
      </c>
      <c r="L314" s="5">
        <f>20 / 86400</f>
        <v>2.3148148148148149E-4</v>
      </c>
    </row>
    <row r="315" spans="1:12" x14ac:dyDescent="0.25">
      <c r="A315" s="3">
        <v>45701.404224537036</v>
      </c>
      <c r="B315" t="s">
        <v>83</v>
      </c>
      <c r="C315" s="3">
        <v>45701.404456018514</v>
      </c>
      <c r="D315" t="s">
        <v>83</v>
      </c>
      <c r="E315" s="4">
        <v>2.9260664045810701E-2</v>
      </c>
      <c r="F315" s="4">
        <v>347901.75956642401</v>
      </c>
      <c r="G315" s="4">
        <v>347901.78882708808</v>
      </c>
      <c r="H315" s="5">
        <f t="shared" si="1"/>
        <v>0</v>
      </c>
      <c r="I315" t="s">
        <v>20</v>
      </c>
      <c r="J315" t="s">
        <v>37</v>
      </c>
      <c r="K315" s="5">
        <f>20 / 86400</f>
        <v>2.3148148148148149E-4</v>
      </c>
      <c r="L315" s="5">
        <f>16 / 86400</f>
        <v>1.8518518518518518E-4</v>
      </c>
    </row>
    <row r="316" spans="1:12" x14ac:dyDescent="0.25">
      <c r="A316" s="3">
        <v>45701.404641203699</v>
      </c>
      <c r="B316" t="s">
        <v>83</v>
      </c>
      <c r="C316" s="3">
        <v>45701.404872685191</v>
      </c>
      <c r="D316" t="s">
        <v>83</v>
      </c>
      <c r="E316" s="4">
        <v>7.5136808931827545E-2</v>
      </c>
      <c r="F316" s="4">
        <v>347901.79072788334</v>
      </c>
      <c r="G316" s="4">
        <v>347901.86586469226</v>
      </c>
      <c r="H316" s="5">
        <f t="shared" si="1"/>
        <v>0</v>
      </c>
      <c r="I316" t="s">
        <v>37</v>
      </c>
      <c r="J316" t="s">
        <v>43</v>
      </c>
      <c r="K316" s="5">
        <f>20 / 86400</f>
        <v>2.3148148148148149E-4</v>
      </c>
      <c r="L316" s="5">
        <f>20 / 86400</f>
        <v>2.3148148148148149E-4</v>
      </c>
    </row>
    <row r="317" spans="1:12" x14ac:dyDescent="0.25">
      <c r="A317" s="3">
        <v>45701.405104166668</v>
      </c>
      <c r="B317" t="s">
        <v>83</v>
      </c>
      <c r="C317" s="3">
        <v>45701.406493055554</v>
      </c>
      <c r="D317" t="s">
        <v>72</v>
      </c>
      <c r="E317" s="4">
        <v>1.564746673822403</v>
      </c>
      <c r="F317" s="4">
        <v>347902.04297302844</v>
      </c>
      <c r="G317" s="4">
        <v>347903.60771970224</v>
      </c>
      <c r="H317" s="5">
        <f t="shared" si="1"/>
        <v>0</v>
      </c>
      <c r="I317" t="s">
        <v>26</v>
      </c>
      <c r="J317" t="s">
        <v>286</v>
      </c>
      <c r="K317" s="5">
        <f>120 / 86400</f>
        <v>1.3888888888888889E-3</v>
      </c>
      <c r="L317" s="5">
        <f>27 / 86400</f>
        <v>3.1250000000000001E-4</v>
      </c>
    </row>
    <row r="318" spans="1:12" x14ac:dyDescent="0.25">
      <c r="A318" s="3">
        <v>45701.406805555554</v>
      </c>
      <c r="B318" t="s">
        <v>72</v>
      </c>
      <c r="C318" s="3">
        <v>45701.411226851851</v>
      </c>
      <c r="D318" t="s">
        <v>72</v>
      </c>
      <c r="E318" s="4">
        <v>3.5755478580594064</v>
      </c>
      <c r="F318" s="4">
        <v>347903.62027678988</v>
      </c>
      <c r="G318" s="4">
        <v>347907.19582464796</v>
      </c>
      <c r="H318" s="5">
        <f t="shared" si="1"/>
        <v>0</v>
      </c>
      <c r="I318" t="s">
        <v>32</v>
      </c>
      <c r="J318" t="s">
        <v>233</v>
      </c>
      <c r="K318" s="5">
        <f>382 / 86400</f>
        <v>4.4212962962962964E-3</v>
      </c>
      <c r="L318" s="5">
        <f>15 / 86400</f>
        <v>1.7361111111111112E-4</v>
      </c>
    </row>
    <row r="319" spans="1:12" x14ac:dyDescent="0.25">
      <c r="A319" s="3">
        <v>45701.411400462966</v>
      </c>
      <c r="B319" t="s">
        <v>72</v>
      </c>
      <c r="C319" s="3">
        <v>45701.412789351853</v>
      </c>
      <c r="D319" t="s">
        <v>287</v>
      </c>
      <c r="E319" s="4">
        <v>0.99648254537582392</v>
      </c>
      <c r="F319" s="4">
        <v>347907.20314023795</v>
      </c>
      <c r="G319" s="4">
        <v>347908.19962278329</v>
      </c>
      <c r="H319" s="5">
        <f t="shared" si="1"/>
        <v>0</v>
      </c>
      <c r="I319" t="s">
        <v>127</v>
      </c>
      <c r="J319" t="s">
        <v>71</v>
      </c>
      <c r="K319" s="5">
        <f>120 / 86400</f>
        <v>1.3888888888888889E-3</v>
      </c>
      <c r="L319" s="5">
        <f>40 / 86400</f>
        <v>4.6296296296296298E-4</v>
      </c>
    </row>
    <row r="320" spans="1:12" x14ac:dyDescent="0.25">
      <c r="A320" s="3">
        <v>45701.413252314815</v>
      </c>
      <c r="B320" t="s">
        <v>287</v>
      </c>
      <c r="C320" s="3">
        <v>45701.413483796292</v>
      </c>
      <c r="D320" t="s">
        <v>288</v>
      </c>
      <c r="E320" s="4">
        <v>2.6657917082309721E-2</v>
      </c>
      <c r="F320" s="4">
        <v>347908.20972554246</v>
      </c>
      <c r="G320" s="4">
        <v>347908.23638345959</v>
      </c>
      <c r="H320" s="5">
        <f t="shared" si="1"/>
        <v>0</v>
      </c>
      <c r="I320" t="s">
        <v>125</v>
      </c>
      <c r="J320" t="s">
        <v>37</v>
      </c>
      <c r="K320" s="5">
        <f>20 / 86400</f>
        <v>2.3148148148148149E-4</v>
      </c>
      <c r="L320" s="5">
        <f>20 / 86400</f>
        <v>2.3148148148148149E-4</v>
      </c>
    </row>
    <row r="321" spans="1:12" x14ac:dyDescent="0.25">
      <c r="A321" s="3">
        <v>45701.413715277777</v>
      </c>
      <c r="B321" t="s">
        <v>199</v>
      </c>
      <c r="C321" s="3">
        <v>45701.414409722223</v>
      </c>
      <c r="D321" t="s">
        <v>80</v>
      </c>
      <c r="E321" s="4">
        <v>0.63664930713176726</v>
      </c>
      <c r="F321" s="4">
        <v>347908.34107430471</v>
      </c>
      <c r="G321" s="4">
        <v>347908.97772361181</v>
      </c>
      <c r="H321" s="5">
        <f t="shared" si="1"/>
        <v>0</v>
      </c>
      <c r="I321" t="s">
        <v>176</v>
      </c>
      <c r="J321" t="s">
        <v>219</v>
      </c>
      <c r="K321" s="5">
        <f>60 / 86400</f>
        <v>6.9444444444444447E-4</v>
      </c>
      <c r="L321" s="5">
        <f>40 / 86400</f>
        <v>4.6296296296296298E-4</v>
      </c>
    </row>
    <row r="322" spans="1:12" x14ac:dyDescent="0.25">
      <c r="A322" s="3">
        <v>45701.414872685185</v>
      </c>
      <c r="B322" t="s">
        <v>80</v>
      </c>
      <c r="C322" s="3">
        <v>45701.415335648147</v>
      </c>
      <c r="D322" t="s">
        <v>289</v>
      </c>
      <c r="E322" s="4">
        <v>4.2300305843353272E-2</v>
      </c>
      <c r="F322" s="4">
        <v>347908.98458372673</v>
      </c>
      <c r="G322" s="4">
        <v>347909.02688403259</v>
      </c>
      <c r="H322" s="5">
        <f t="shared" si="1"/>
        <v>0</v>
      </c>
      <c r="I322" t="s">
        <v>110</v>
      </c>
      <c r="J322" t="s">
        <v>177</v>
      </c>
      <c r="K322" s="5">
        <f>40 / 86400</f>
        <v>4.6296296296296298E-4</v>
      </c>
      <c r="L322" s="5">
        <f>40 / 86400</f>
        <v>4.6296296296296298E-4</v>
      </c>
    </row>
    <row r="323" spans="1:12" x14ac:dyDescent="0.25">
      <c r="A323" s="3">
        <v>45701.415798611109</v>
      </c>
      <c r="B323" t="s">
        <v>290</v>
      </c>
      <c r="C323" s="3">
        <v>45701.419976851852</v>
      </c>
      <c r="D323" t="s">
        <v>171</v>
      </c>
      <c r="E323" s="4">
        <v>2.4897983342409136</v>
      </c>
      <c r="F323" s="4">
        <v>347909.03046151908</v>
      </c>
      <c r="G323" s="4">
        <v>347911.52025985328</v>
      </c>
      <c r="H323" s="5">
        <f t="shared" si="1"/>
        <v>0</v>
      </c>
      <c r="I323" t="s">
        <v>193</v>
      </c>
      <c r="J323" t="s">
        <v>135</v>
      </c>
      <c r="K323" s="5">
        <f>361 / 86400</f>
        <v>4.178240740740741E-3</v>
      </c>
      <c r="L323" s="5">
        <f>20 / 86400</f>
        <v>2.3148148148148149E-4</v>
      </c>
    </row>
    <row r="324" spans="1:12" x14ac:dyDescent="0.25">
      <c r="A324" s="3">
        <v>45701.420208333337</v>
      </c>
      <c r="B324" t="s">
        <v>171</v>
      </c>
      <c r="C324" s="3">
        <v>45701.422523148147</v>
      </c>
      <c r="D324" t="s">
        <v>196</v>
      </c>
      <c r="E324" s="4">
        <v>1.3669822872281074</v>
      </c>
      <c r="F324" s="4">
        <v>347911.52092165407</v>
      </c>
      <c r="G324" s="4">
        <v>347912.88790394127</v>
      </c>
      <c r="H324" s="5">
        <f t="shared" si="1"/>
        <v>0</v>
      </c>
      <c r="I324" t="s">
        <v>224</v>
      </c>
      <c r="J324" t="s">
        <v>135</v>
      </c>
      <c r="K324" s="5">
        <f>200 / 86400</f>
        <v>2.3148148148148147E-3</v>
      </c>
      <c r="L324" s="5">
        <f>21 / 86400</f>
        <v>2.4305555555555555E-4</v>
      </c>
    </row>
    <row r="325" spans="1:12" x14ac:dyDescent="0.25">
      <c r="A325" s="3">
        <v>45701.422766203701</v>
      </c>
      <c r="B325" t="s">
        <v>196</v>
      </c>
      <c r="C325" s="3">
        <v>45701.423715277779</v>
      </c>
      <c r="D325" t="s">
        <v>196</v>
      </c>
      <c r="E325" s="4">
        <v>1.1061745184659957</v>
      </c>
      <c r="F325" s="4">
        <v>347912.88998946641</v>
      </c>
      <c r="G325" s="4">
        <v>347913.99616398488</v>
      </c>
      <c r="H325" s="5">
        <f t="shared" si="1"/>
        <v>0</v>
      </c>
      <c r="I325" t="s">
        <v>95</v>
      </c>
      <c r="J325" t="s">
        <v>291</v>
      </c>
      <c r="K325" s="5">
        <f>82 / 86400</f>
        <v>9.4907407407407408E-4</v>
      </c>
      <c r="L325" s="5">
        <f>20 / 86400</f>
        <v>2.3148148148148149E-4</v>
      </c>
    </row>
    <row r="326" spans="1:12" x14ac:dyDescent="0.25">
      <c r="A326" s="3">
        <v>45701.423946759256</v>
      </c>
      <c r="B326" t="s">
        <v>196</v>
      </c>
      <c r="C326" s="3">
        <v>45701.424409722225</v>
      </c>
      <c r="D326" t="s">
        <v>292</v>
      </c>
      <c r="E326" s="4">
        <v>0.21630711728334426</v>
      </c>
      <c r="F326" s="4">
        <v>347914.04344898538</v>
      </c>
      <c r="G326" s="4">
        <v>347914.25975610269</v>
      </c>
      <c r="H326" s="5">
        <f t="shared" si="1"/>
        <v>0</v>
      </c>
      <c r="I326" t="s">
        <v>74</v>
      </c>
      <c r="J326" t="s">
        <v>23</v>
      </c>
      <c r="K326" s="5">
        <f>40 / 86400</f>
        <v>4.6296296296296298E-4</v>
      </c>
      <c r="L326" s="5">
        <f>34 / 86400</f>
        <v>3.9351851851851852E-4</v>
      </c>
    </row>
    <row r="327" spans="1:12" x14ac:dyDescent="0.25">
      <c r="A327" s="3">
        <v>45701.424803240741</v>
      </c>
      <c r="B327" t="s">
        <v>292</v>
      </c>
      <c r="C327" s="3">
        <v>45701.426192129627</v>
      </c>
      <c r="D327" t="s">
        <v>35</v>
      </c>
      <c r="E327" s="4">
        <v>1.1516031913161278</v>
      </c>
      <c r="F327" s="4">
        <v>347914.26276806952</v>
      </c>
      <c r="G327" s="4">
        <v>347915.41437126085</v>
      </c>
      <c r="H327" s="5">
        <f t="shared" si="1"/>
        <v>0</v>
      </c>
      <c r="I327" t="s">
        <v>182</v>
      </c>
      <c r="J327" t="s">
        <v>202</v>
      </c>
      <c r="K327" s="5">
        <f>120 / 86400</f>
        <v>1.3888888888888889E-3</v>
      </c>
      <c r="L327" s="5">
        <f>20 / 86400</f>
        <v>2.3148148148148149E-4</v>
      </c>
    </row>
    <row r="328" spans="1:12" x14ac:dyDescent="0.25">
      <c r="A328" s="3">
        <v>45701.426423611112</v>
      </c>
      <c r="B328" t="s">
        <v>35</v>
      </c>
      <c r="C328" s="3">
        <v>45701.426655092597</v>
      </c>
      <c r="D328" t="s">
        <v>196</v>
      </c>
      <c r="E328" s="4">
        <v>1.7362223267555236E-3</v>
      </c>
      <c r="F328" s="4">
        <v>347915.45967722643</v>
      </c>
      <c r="G328" s="4">
        <v>347915.46141344873</v>
      </c>
      <c r="H328" s="5">
        <f t="shared" si="1"/>
        <v>0</v>
      </c>
      <c r="I328" t="s">
        <v>37</v>
      </c>
      <c r="J328" t="s">
        <v>91</v>
      </c>
      <c r="K328" s="5">
        <f>20 / 86400</f>
        <v>2.3148148148148149E-4</v>
      </c>
      <c r="L328" s="5">
        <f>120 / 86400</f>
        <v>1.3888888888888889E-3</v>
      </c>
    </row>
    <row r="329" spans="1:12" x14ac:dyDescent="0.25">
      <c r="A329" s="3">
        <v>45701.428043981483</v>
      </c>
      <c r="B329" t="s">
        <v>292</v>
      </c>
      <c r="C329" s="3">
        <v>45701.428275462968</v>
      </c>
      <c r="D329" t="s">
        <v>196</v>
      </c>
      <c r="E329" s="4">
        <v>0.17028746050596238</v>
      </c>
      <c r="F329" s="4">
        <v>347915.57178553712</v>
      </c>
      <c r="G329" s="4">
        <v>347915.74207299761</v>
      </c>
      <c r="H329" s="5">
        <f t="shared" si="1"/>
        <v>0</v>
      </c>
      <c r="I329" t="s">
        <v>268</v>
      </c>
      <c r="J329" t="s">
        <v>169</v>
      </c>
      <c r="K329" s="5">
        <f>20 / 86400</f>
        <v>2.3148148148148149E-4</v>
      </c>
      <c r="L329" s="5">
        <f t="shared" ref="L329:L334" si="2">20 / 86400</f>
        <v>2.3148148148148149E-4</v>
      </c>
    </row>
    <row r="330" spans="1:12" x14ac:dyDescent="0.25">
      <c r="A330" s="3">
        <v>45701.428506944445</v>
      </c>
      <c r="B330" t="s">
        <v>293</v>
      </c>
      <c r="C330" s="3">
        <v>45701.43105324074</v>
      </c>
      <c r="D330" t="s">
        <v>142</v>
      </c>
      <c r="E330" s="4">
        <v>1.6574217985868454</v>
      </c>
      <c r="F330" s="4">
        <v>347915.82871054666</v>
      </c>
      <c r="G330" s="4">
        <v>347917.48613234528</v>
      </c>
      <c r="H330" s="5">
        <f t="shared" si="1"/>
        <v>0</v>
      </c>
      <c r="I330" t="s">
        <v>268</v>
      </c>
      <c r="J330" t="s">
        <v>294</v>
      </c>
      <c r="K330" s="5">
        <f>220 / 86400</f>
        <v>2.5462962962962965E-3</v>
      </c>
      <c r="L330" s="5">
        <f t="shared" si="2"/>
        <v>2.3148148148148149E-4</v>
      </c>
    </row>
    <row r="331" spans="1:12" x14ac:dyDescent="0.25">
      <c r="A331" s="3">
        <v>45701.431284722217</v>
      </c>
      <c r="B331" t="s">
        <v>142</v>
      </c>
      <c r="C331" s="3">
        <v>45701.431979166664</v>
      </c>
      <c r="D331" t="s">
        <v>295</v>
      </c>
      <c r="E331" s="4">
        <v>0.37901806479692457</v>
      </c>
      <c r="F331" s="4">
        <v>347917.61563538475</v>
      </c>
      <c r="G331" s="4">
        <v>347917.99465344951</v>
      </c>
      <c r="H331" s="5">
        <f t="shared" si="1"/>
        <v>0</v>
      </c>
      <c r="I331" t="s">
        <v>268</v>
      </c>
      <c r="J331" t="s">
        <v>152</v>
      </c>
      <c r="K331" s="5">
        <f>60 / 86400</f>
        <v>6.9444444444444447E-4</v>
      </c>
      <c r="L331" s="5">
        <f t="shared" si="2"/>
        <v>2.3148148148148149E-4</v>
      </c>
    </row>
    <row r="332" spans="1:12" x14ac:dyDescent="0.25">
      <c r="A332" s="3">
        <v>45701.432210648149</v>
      </c>
      <c r="B332" t="s">
        <v>295</v>
      </c>
      <c r="C332" s="3">
        <v>45701.438842592594</v>
      </c>
      <c r="D332" t="s">
        <v>296</v>
      </c>
      <c r="E332" s="4">
        <v>5.7871885355114934</v>
      </c>
      <c r="F332" s="4">
        <v>347918.10828843061</v>
      </c>
      <c r="G332" s="4">
        <v>347923.89547696617</v>
      </c>
      <c r="H332" s="5">
        <f t="shared" si="1"/>
        <v>0</v>
      </c>
      <c r="I332" t="s">
        <v>95</v>
      </c>
      <c r="J332" t="s">
        <v>148</v>
      </c>
      <c r="K332" s="5">
        <f>573 / 86400</f>
        <v>6.6319444444444446E-3</v>
      </c>
      <c r="L332" s="5">
        <f t="shared" si="2"/>
        <v>2.3148148148148149E-4</v>
      </c>
    </row>
    <row r="333" spans="1:12" x14ac:dyDescent="0.25">
      <c r="A333" s="3">
        <v>45701.439074074078</v>
      </c>
      <c r="B333" t="s">
        <v>296</v>
      </c>
      <c r="C333" s="3">
        <v>45701.439976851849</v>
      </c>
      <c r="D333" t="s">
        <v>297</v>
      </c>
      <c r="E333" s="4">
        <v>0.78774984180927277</v>
      </c>
      <c r="F333" s="4">
        <v>347923.9101935362</v>
      </c>
      <c r="G333" s="4">
        <v>347924.69794337801</v>
      </c>
      <c r="H333" s="5">
        <f t="shared" si="1"/>
        <v>0</v>
      </c>
      <c r="I333" t="s">
        <v>173</v>
      </c>
      <c r="J333" t="s">
        <v>148</v>
      </c>
      <c r="K333" s="5">
        <f>78 / 86400</f>
        <v>9.0277777777777774E-4</v>
      </c>
      <c r="L333" s="5">
        <f t="shared" si="2"/>
        <v>2.3148148148148149E-4</v>
      </c>
    </row>
    <row r="334" spans="1:12" x14ac:dyDescent="0.25">
      <c r="A334" s="3">
        <v>45701.440208333333</v>
      </c>
      <c r="B334" t="s">
        <v>297</v>
      </c>
      <c r="C334" s="3">
        <v>45701.444814814815</v>
      </c>
      <c r="D334" t="s">
        <v>297</v>
      </c>
      <c r="E334" s="4">
        <v>1.9489990870952607</v>
      </c>
      <c r="F334" s="4">
        <v>347924.76232560689</v>
      </c>
      <c r="G334" s="4">
        <v>347926.71132469398</v>
      </c>
      <c r="H334" s="5">
        <f t="shared" si="1"/>
        <v>0</v>
      </c>
      <c r="I334" t="s">
        <v>219</v>
      </c>
      <c r="J334" t="s">
        <v>76</v>
      </c>
      <c r="K334" s="5">
        <f>398 / 86400</f>
        <v>4.6064814814814814E-3</v>
      </c>
      <c r="L334" s="5">
        <f t="shared" si="2"/>
        <v>2.3148148148148149E-4</v>
      </c>
    </row>
    <row r="335" spans="1:12" x14ac:dyDescent="0.25">
      <c r="A335" s="3">
        <v>45701.4450462963</v>
      </c>
      <c r="B335" t="s">
        <v>297</v>
      </c>
      <c r="C335" s="3">
        <v>45701.445509259254</v>
      </c>
      <c r="D335" t="s">
        <v>298</v>
      </c>
      <c r="E335" s="4">
        <v>0.11378318846225738</v>
      </c>
      <c r="F335" s="4">
        <v>347926.73423020268</v>
      </c>
      <c r="G335" s="4">
        <v>347926.84801339114</v>
      </c>
      <c r="H335" s="5">
        <f t="shared" si="1"/>
        <v>0</v>
      </c>
      <c r="I335" t="s">
        <v>58</v>
      </c>
      <c r="J335" t="s">
        <v>128</v>
      </c>
      <c r="K335" s="5">
        <f>40 / 86400</f>
        <v>4.6296296296296298E-4</v>
      </c>
      <c r="L335" s="5">
        <f>60 / 86400</f>
        <v>6.9444444444444447E-4</v>
      </c>
    </row>
    <row r="336" spans="1:12" x14ac:dyDescent="0.25">
      <c r="A336" s="3">
        <v>45701.446203703701</v>
      </c>
      <c r="B336" t="s">
        <v>297</v>
      </c>
      <c r="C336" s="3">
        <v>45701.450509259259</v>
      </c>
      <c r="D336" t="s">
        <v>299</v>
      </c>
      <c r="E336" s="4">
        <v>2.4252084736227988</v>
      </c>
      <c r="F336" s="4">
        <v>347926.96936787548</v>
      </c>
      <c r="G336" s="4">
        <v>347929.39457634906</v>
      </c>
      <c r="H336" s="5">
        <f t="shared" si="1"/>
        <v>0</v>
      </c>
      <c r="I336" t="s">
        <v>253</v>
      </c>
      <c r="J336" t="s">
        <v>152</v>
      </c>
      <c r="K336" s="5">
        <f>372 / 86400</f>
        <v>4.3055555555555555E-3</v>
      </c>
      <c r="L336" s="5">
        <f>3 / 86400</f>
        <v>3.4722222222222222E-5</v>
      </c>
    </row>
    <row r="337" spans="1:12" x14ac:dyDescent="0.25">
      <c r="A337" s="3">
        <v>45701.450543981482</v>
      </c>
      <c r="B337" t="s">
        <v>299</v>
      </c>
      <c r="C337" s="3">
        <v>45701.454814814817</v>
      </c>
      <c r="D337" t="s">
        <v>158</v>
      </c>
      <c r="E337" s="4">
        <v>2.2350142101049424</v>
      </c>
      <c r="F337" s="4">
        <v>347929.39600817219</v>
      </c>
      <c r="G337" s="4">
        <v>347931.63102238229</v>
      </c>
      <c r="H337" s="5">
        <f t="shared" si="1"/>
        <v>0</v>
      </c>
      <c r="I337" t="s">
        <v>219</v>
      </c>
      <c r="J337" t="s">
        <v>132</v>
      </c>
      <c r="K337" s="5">
        <f>369 / 86400</f>
        <v>4.2708333333333331E-3</v>
      </c>
      <c r="L337" s="5">
        <f>303 / 86400</f>
        <v>3.5069444444444445E-3</v>
      </c>
    </row>
    <row r="338" spans="1:12" x14ac:dyDescent="0.25">
      <c r="A338" s="3">
        <v>45701.458321759259</v>
      </c>
      <c r="B338" t="s">
        <v>158</v>
      </c>
      <c r="C338" s="3">
        <v>45701.458715277782</v>
      </c>
      <c r="D338" t="s">
        <v>158</v>
      </c>
      <c r="E338" s="4">
        <v>1.9022097408771515E-2</v>
      </c>
      <c r="F338" s="4">
        <v>347931.6396328414</v>
      </c>
      <c r="G338" s="4">
        <v>347931.6586549388</v>
      </c>
      <c r="H338" s="5">
        <f t="shared" ref="H338:H401" si="3">0 / 86400</f>
        <v>0</v>
      </c>
      <c r="I338" t="s">
        <v>156</v>
      </c>
      <c r="J338" t="s">
        <v>110</v>
      </c>
      <c r="K338" s="5">
        <f>34 / 86400</f>
        <v>3.9351851851851852E-4</v>
      </c>
      <c r="L338" s="5">
        <f>383 / 86400</f>
        <v>4.43287037037037E-3</v>
      </c>
    </row>
    <row r="339" spans="1:12" x14ac:dyDescent="0.25">
      <c r="A339" s="3">
        <v>45701.463148148148</v>
      </c>
      <c r="B339" t="s">
        <v>158</v>
      </c>
      <c r="C339" s="3">
        <v>45701.465590277774</v>
      </c>
      <c r="D339" t="s">
        <v>300</v>
      </c>
      <c r="E339" s="4">
        <v>0.90867087918519973</v>
      </c>
      <c r="F339" s="4">
        <v>347931.67127003195</v>
      </c>
      <c r="G339" s="4">
        <v>347932.57994091109</v>
      </c>
      <c r="H339" s="5">
        <f t="shared" si="3"/>
        <v>0</v>
      </c>
      <c r="I339" t="s">
        <v>148</v>
      </c>
      <c r="J339" t="s">
        <v>51</v>
      </c>
      <c r="K339" s="5">
        <f>211 / 86400</f>
        <v>2.4421296296296296E-3</v>
      </c>
      <c r="L339" s="5">
        <f>100 / 86400</f>
        <v>1.1574074074074073E-3</v>
      </c>
    </row>
    <row r="340" spans="1:12" x14ac:dyDescent="0.25">
      <c r="A340" s="3">
        <v>45701.46674768519</v>
      </c>
      <c r="B340" t="s">
        <v>300</v>
      </c>
      <c r="C340" s="3">
        <v>45701.466805555552</v>
      </c>
      <c r="D340" t="s">
        <v>300</v>
      </c>
      <c r="E340" s="4">
        <v>1.2217048406600952E-3</v>
      </c>
      <c r="F340" s="4">
        <v>347932.59283984092</v>
      </c>
      <c r="G340" s="4">
        <v>347932.59406154574</v>
      </c>
      <c r="H340" s="5">
        <f t="shared" si="3"/>
        <v>0</v>
      </c>
      <c r="I340" t="s">
        <v>110</v>
      </c>
      <c r="J340" t="s">
        <v>125</v>
      </c>
      <c r="K340" s="5">
        <f>5 / 86400</f>
        <v>5.7870370370370373E-5</v>
      </c>
      <c r="L340" s="5">
        <f>632 / 86400</f>
        <v>7.3148148148148148E-3</v>
      </c>
    </row>
    <row r="341" spans="1:12" x14ac:dyDescent="0.25">
      <c r="A341" s="3">
        <v>45701.474120370374</v>
      </c>
      <c r="B341" t="s">
        <v>300</v>
      </c>
      <c r="C341" s="3">
        <v>45701.494953703703</v>
      </c>
      <c r="D341" t="s">
        <v>300</v>
      </c>
      <c r="E341" s="4">
        <v>1.4576697647571564E-2</v>
      </c>
      <c r="F341" s="4">
        <v>347932.61415464431</v>
      </c>
      <c r="G341" s="4">
        <v>347932.62873134197</v>
      </c>
      <c r="H341" s="5">
        <f t="shared" si="3"/>
        <v>0</v>
      </c>
      <c r="I341" t="s">
        <v>37</v>
      </c>
      <c r="J341" t="s">
        <v>91</v>
      </c>
      <c r="K341" s="5">
        <f>1800 / 86400</f>
        <v>2.0833333333333332E-2</v>
      </c>
      <c r="L341" s="5">
        <f>502 / 86400</f>
        <v>5.8101851851851856E-3</v>
      </c>
    </row>
    <row r="342" spans="1:12" x14ac:dyDescent="0.25">
      <c r="A342" s="3">
        <v>45701.500763888893</v>
      </c>
      <c r="B342" t="s">
        <v>300</v>
      </c>
      <c r="C342" s="3">
        <v>45701.504120370373</v>
      </c>
      <c r="D342" t="s">
        <v>131</v>
      </c>
      <c r="E342" s="4">
        <v>1.0287836928963661</v>
      </c>
      <c r="F342" s="4">
        <v>347932.63896740723</v>
      </c>
      <c r="G342" s="4">
        <v>347933.66775110015</v>
      </c>
      <c r="H342" s="5">
        <f t="shared" si="3"/>
        <v>0</v>
      </c>
      <c r="I342" t="s">
        <v>135</v>
      </c>
      <c r="J342" t="s">
        <v>58</v>
      </c>
      <c r="K342" s="5">
        <f>290 / 86400</f>
        <v>3.3564814814814816E-3</v>
      </c>
      <c r="L342" s="5">
        <f>3910 / 86400</f>
        <v>4.5254629629629631E-2</v>
      </c>
    </row>
    <row r="343" spans="1:12" x14ac:dyDescent="0.25">
      <c r="A343" s="3">
        <v>45701.549375000002</v>
      </c>
      <c r="B343" t="s">
        <v>131</v>
      </c>
      <c r="C343" s="3">
        <v>45701.552708333329</v>
      </c>
      <c r="D343" t="s">
        <v>131</v>
      </c>
      <c r="E343" s="4">
        <v>2.9766055226325989E-2</v>
      </c>
      <c r="F343" s="4">
        <v>347933.67423696473</v>
      </c>
      <c r="G343" s="4">
        <v>347933.70400301996</v>
      </c>
      <c r="H343" s="5">
        <f t="shared" si="3"/>
        <v>0</v>
      </c>
      <c r="I343" t="s">
        <v>37</v>
      </c>
      <c r="J343" t="s">
        <v>91</v>
      </c>
      <c r="K343" s="5">
        <f>288 / 86400</f>
        <v>3.3333333333333335E-3</v>
      </c>
      <c r="L343" s="5">
        <f>6 / 86400</f>
        <v>6.9444444444444444E-5</v>
      </c>
    </row>
    <row r="344" spans="1:12" x14ac:dyDescent="0.25">
      <c r="A344" s="3">
        <v>45701.552777777775</v>
      </c>
      <c r="B344" t="s">
        <v>131</v>
      </c>
      <c r="C344" s="3">
        <v>45701.555995370371</v>
      </c>
      <c r="D344" t="s">
        <v>160</v>
      </c>
      <c r="E344" s="4">
        <v>1.516458129286766</v>
      </c>
      <c r="F344" s="4">
        <v>347933.7076488171</v>
      </c>
      <c r="G344" s="4">
        <v>347935.22410694644</v>
      </c>
      <c r="H344" s="5">
        <f t="shared" si="3"/>
        <v>0</v>
      </c>
      <c r="I344" t="s">
        <v>233</v>
      </c>
      <c r="J344" t="s">
        <v>34</v>
      </c>
      <c r="K344" s="5">
        <f>278 / 86400</f>
        <v>3.2175925925925926E-3</v>
      </c>
      <c r="L344" s="5">
        <f>20 / 86400</f>
        <v>2.3148148148148149E-4</v>
      </c>
    </row>
    <row r="345" spans="1:12" x14ac:dyDescent="0.25">
      <c r="A345" s="3">
        <v>45701.556226851855</v>
      </c>
      <c r="B345" t="s">
        <v>154</v>
      </c>
      <c r="C345" s="3">
        <v>45701.557847222226</v>
      </c>
      <c r="D345" t="s">
        <v>301</v>
      </c>
      <c r="E345" s="4">
        <v>1.0949823050498961</v>
      </c>
      <c r="F345" s="4">
        <v>347935.40016196802</v>
      </c>
      <c r="G345" s="4">
        <v>347936.49514427304</v>
      </c>
      <c r="H345" s="5">
        <f t="shared" si="3"/>
        <v>0</v>
      </c>
      <c r="I345" t="s">
        <v>286</v>
      </c>
      <c r="J345" t="s">
        <v>145</v>
      </c>
      <c r="K345" s="5">
        <f>140 / 86400</f>
        <v>1.6203703703703703E-3</v>
      </c>
      <c r="L345" s="5">
        <f>20 / 86400</f>
        <v>2.3148148148148149E-4</v>
      </c>
    </row>
    <row r="346" spans="1:12" x14ac:dyDescent="0.25">
      <c r="A346" s="3">
        <v>45701.558078703703</v>
      </c>
      <c r="B346" t="s">
        <v>301</v>
      </c>
      <c r="C346" s="3">
        <v>45701.561932870369</v>
      </c>
      <c r="D346" t="s">
        <v>302</v>
      </c>
      <c r="E346" s="4">
        <v>2.0245394201874731</v>
      </c>
      <c r="F346" s="4">
        <v>347936.52632619964</v>
      </c>
      <c r="G346" s="4">
        <v>347938.55086561985</v>
      </c>
      <c r="H346" s="5">
        <f t="shared" si="3"/>
        <v>0</v>
      </c>
      <c r="I346" t="s">
        <v>179</v>
      </c>
      <c r="J346" t="s">
        <v>132</v>
      </c>
      <c r="K346" s="5">
        <f>333 / 86400</f>
        <v>3.8541666666666668E-3</v>
      </c>
      <c r="L346" s="5">
        <f>6 / 86400</f>
        <v>6.9444444444444444E-5</v>
      </c>
    </row>
    <row r="347" spans="1:12" x14ac:dyDescent="0.25">
      <c r="A347" s="3">
        <v>45701.562002314815</v>
      </c>
      <c r="B347" t="s">
        <v>302</v>
      </c>
      <c r="C347" s="3">
        <v>45701.56349537037</v>
      </c>
      <c r="D347" t="s">
        <v>303</v>
      </c>
      <c r="E347" s="4">
        <v>0.70853458714485174</v>
      </c>
      <c r="F347" s="4">
        <v>347938.56279477238</v>
      </c>
      <c r="G347" s="4">
        <v>347939.27132935956</v>
      </c>
      <c r="H347" s="5">
        <f t="shared" si="3"/>
        <v>0</v>
      </c>
      <c r="I347" t="s">
        <v>286</v>
      </c>
      <c r="J347" t="s">
        <v>34</v>
      </c>
      <c r="K347" s="5">
        <f>129 / 86400</f>
        <v>1.4930555555555556E-3</v>
      </c>
      <c r="L347" s="5">
        <f>20 / 86400</f>
        <v>2.3148148148148149E-4</v>
      </c>
    </row>
    <row r="348" spans="1:12" x14ac:dyDescent="0.25">
      <c r="A348" s="3">
        <v>45701.563726851848</v>
      </c>
      <c r="B348" t="s">
        <v>303</v>
      </c>
      <c r="C348" s="3">
        <v>45701.563958333332</v>
      </c>
      <c r="D348" t="s">
        <v>303</v>
      </c>
      <c r="E348" s="4">
        <v>2.6452263593673706E-3</v>
      </c>
      <c r="F348" s="4">
        <v>347939.27610943042</v>
      </c>
      <c r="G348" s="4">
        <v>347939.27875465679</v>
      </c>
      <c r="H348" s="5">
        <f t="shared" si="3"/>
        <v>0</v>
      </c>
      <c r="I348" t="s">
        <v>110</v>
      </c>
      <c r="J348" t="s">
        <v>91</v>
      </c>
      <c r="K348" s="5">
        <f>20 / 86400</f>
        <v>2.3148148148148149E-4</v>
      </c>
      <c r="L348" s="5">
        <f>48 / 86400</f>
        <v>5.5555555555555556E-4</v>
      </c>
    </row>
    <row r="349" spans="1:12" x14ac:dyDescent="0.25">
      <c r="A349" s="3">
        <v>45701.564513888894</v>
      </c>
      <c r="B349" t="s">
        <v>111</v>
      </c>
      <c r="C349" s="3">
        <v>45701.564745370371</v>
      </c>
      <c r="D349" t="s">
        <v>111</v>
      </c>
      <c r="E349" s="4">
        <v>8.9148784279823295E-3</v>
      </c>
      <c r="F349" s="4">
        <v>347939.29787519196</v>
      </c>
      <c r="G349" s="4">
        <v>347939.30679007043</v>
      </c>
      <c r="H349" s="5">
        <f t="shared" si="3"/>
        <v>0</v>
      </c>
      <c r="I349" t="s">
        <v>156</v>
      </c>
      <c r="J349" t="s">
        <v>110</v>
      </c>
      <c r="K349" s="5">
        <f>20 / 86400</f>
        <v>2.3148148148148149E-4</v>
      </c>
      <c r="L349" s="5">
        <f>89 / 86400</f>
        <v>1.0300925925925926E-3</v>
      </c>
    </row>
    <row r="350" spans="1:12" x14ac:dyDescent="0.25">
      <c r="A350" s="3">
        <v>45701.565775462965</v>
      </c>
      <c r="B350" t="s">
        <v>303</v>
      </c>
      <c r="C350" s="3">
        <v>45701.568067129629</v>
      </c>
      <c r="D350" t="s">
        <v>304</v>
      </c>
      <c r="E350" s="4">
        <v>1.2124006302952766</v>
      </c>
      <c r="F350" s="4">
        <v>347939.32887209853</v>
      </c>
      <c r="G350" s="4">
        <v>347940.54127272882</v>
      </c>
      <c r="H350" s="5">
        <f t="shared" si="3"/>
        <v>0</v>
      </c>
      <c r="I350" t="s">
        <v>193</v>
      </c>
      <c r="J350" t="s">
        <v>132</v>
      </c>
      <c r="K350" s="5">
        <f>198 / 86400</f>
        <v>2.2916666666666667E-3</v>
      </c>
      <c r="L350" s="5">
        <f>40 / 86400</f>
        <v>4.6296296296296298E-4</v>
      </c>
    </row>
    <row r="351" spans="1:12" x14ac:dyDescent="0.25">
      <c r="A351" s="3">
        <v>45701.568530092598</v>
      </c>
      <c r="B351" t="s">
        <v>304</v>
      </c>
      <c r="C351" s="3">
        <v>45701.574270833335</v>
      </c>
      <c r="D351" t="s">
        <v>295</v>
      </c>
      <c r="E351" s="4">
        <v>5.7398564082384107</v>
      </c>
      <c r="F351" s="4">
        <v>347940.62985572062</v>
      </c>
      <c r="G351" s="4">
        <v>347946.36971212889</v>
      </c>
      <c r="H351" s="5">
        <f t="shared" si="3"/>
        <v>0</v>
      </c>
      <c r="I351" t="s">
        <v>46</v>
      </c>
      <c r="J351" t="s">
        <v>127</v>
      </c>
      <c r="K351" s="5">
        <f>496 / 86400</f>
        <v>5.7407407407407407E-3</v>
      </c>
      <c r="L351" s="5">
        <f>20 / 86400</f>
        <v>2.3148148148148149E-4</v>
      </c>
    </row>
    <row r="352" spans="1:12" x14ac:dyDescent="0.25">
      <c r="A352" s="3">
        <v>45701.574502314819</v>
      </c>
      <c r="B352" t="s">
        <v>295</v>
      </c>
      <c r="C352" s="3">
        <v>45701.579548611116</v>
      </c>
      <c r="D352" t="s">
        <v>292</v>
      </c>
      <c r="E352" s="4">
        <v>5.1703763885498049</v>
      </c>
      <c r="F352" s="4">
        <v>347946.46673758625</v>
      </c>
      <c r="G352" s="4">
        <v>347951.63711397484</v>
      </c>
      <c r="H352" s="5">
        <f t="shared" si="3"/>
        <v>0</v>
      </c>
      <c r="I352" t="s">
        <v>33</v>
      </c>
      <c r="J352" t="s">
        <v>231</v>
      </c>
      <c r="K352" s="5">
        <f>436 / 86400</f>
        <v>5.0462962962962961E-3</v>
      </c>
      <c r="L352" s="5">
        <f>20 / 86400</f>
        <v>2.3148148148148149E-4</v>
      </c>
    </row>
    <row r="353" spans="1:12" x14ac:dyDescent="0.25">
      <c r="A353" s="3">
        <v>45701.579780092594</v>
      </c>
      <c r="B353" t="s">
        <v>292</v>
      </c>
      <c r="C353" s="3">
        <v>45701.581400462965</v>
      </c>
      <c r="D353" t="s">
        <v>196</v>
      </c>
      <c r="E353" s="4">
        <v>1.6059858509898186</v>
      </c>
      <c r="F353" s="4">
        <v>347951.75295412296</v>
      </c>
      <c r="G353" s="4">
        <v>347953.35893997393</v>
      </c>
      <c r="H353" s="5">
        <f t="shared" si="3"/>
        <v>0</v>
      </c>
      <c r="I353" t="s">
        <v>28</v>
      </c>
      <c r="J353" t="s">
        <v>179</v>
      </c>
      <c r="K353" s="5">
        <f>140 / 86400</f>
        <v>1.6203703703703703E-3</v>
      </c>
      <c r="L353" s="5">
        <f>3 / 86400</f>
        <v>3.4722222222222222E-5</v>
      </c>
    </row>
    <row r="354" spans="1:12" x14ac:dyDescent="0.25">
      <c r="A354" s="3">
        <v>45701.581435185188</v>
      </c>
      <c r="B354" t="s">
        <v>196</v>
      </c>
      <c r="C354" s="3">
        <v>45701.582592592589</v>
      </c>
      <c r="D354" t="s">
        <v>171</v>
      </c>
      <c r="E354" s="4">
        <v>0.67513829690217975</v>
      </c>
      <c r="F354" s="4">
        <v>347953.36122894118</v>
      </c>
      <c r="G354" s="4">
        <v>347954.03636723809</v>
      </c>
      <c r="H354" s="5">
        <f t="shared" si="3"/>
        <v>0</v>
      </c>
      <c r="I354" t="s">
        <v>176</v>
      </c>
      <c r="J354" t="s">
        <v>130</v>
      </c>
      <c r="K354" s="5">
        <f>100 / 86400</f>
        <v>1.1574074074074073E-3</v>
      </c>
      <c r="L354" s="5">
        <f>67 / 86400</f>
        <v>7.7546296296296293E-4</v>
      </c>
    </row>
    <row r="355" spans="1:12" x14ac:dyDescent="0.25">
      <c r="A355" s="3">
        <v>45701.583368055552</v>
      </c>
      <c r="B355" t="s">
        <v>171</v>
      </c>
      <c r="C355" s="3">
        <v>45701.584062499998</v>
      </c>
      <c r="D355" t="s">
        <v>197</v>
      </c>
      <c r="E355" s="4">
        <v>7.1025029242038726E-2</v>
      </c>
      <c r="F355" s="4">
        <v>347954.04413008498</v>
      </c>
      <c r="G355" s="4">
        <v>347954.11515511421</v>
      </c>
      <c r="H355" s="5">
        <f t="shared" si="3"/>
        <v>0</v>
      </c>
      <c r="I355" t="s">
        <v>37</v>
      </c>
      <c r="J355" t="s">
        <v>177</v>
      </c>
      <c r="K355" s="5">
        <f>60 / 86400</f>
        <v>6.9444444444444447E-4</v>
      </c>
      <c r="L355" s="5">
        <f>60 / 86400</f>
        <v>6.9444444444444447E-4</v>
      </c>
    </row>
    <row r="356" spans="1:12" x14ac:dyDescent="0.25">
      <c r="A356" s="3">
        <v>45701.584756944445</v>
      </c>
      <c r="B356" t="s">
        <v>197</v>
      </c>
      <c r="C356" s="3">
        <v>45701.586608796293</v>
      </c>
      <c r="D356" t="s">
        <v>171</v>
      </c>
      <c r="E356" s="4">
        <v>1.103066854774952</v>
      </c>
      <c r="F356" s="4">
        <v>347954.16228607425</v>
      </c>
      <c r="G356" s="4">
        <v>347955.26535292901</v>
      </c>
      <c r="H356" s="5">
        <f t="shared" si="3"/>
        <v>0</v>
      </c>
      <c r="I356" t="s">
        <v>268</v>
      </c>
      <c r="J356" t="s">
        <v>135</v>
      </c>
      <c r="K356" s="5">
        <f>160 / 86400</f>
        <v>1.8518518518518519E-3</v>
      </c>
      <c r="L356" s="5">
        <f>20 / 86400</f>
        <v>2.3148148148148149E-4</v>
      </c>
    </row>
    <row r="357" spans="1:12" x14ac:dyDescent="0.25">
      <c r="A357" s="3">
        <v>45701.586840277778</v>
      </c>
      <c r="B357" t="s">
        <v>171</v>
      </c>
      <c r="C357" s="3">
        <v>45701.587534722217</v>
      </c>
      <c r="D357" t="s">
        <v>199</v>
      </c>
      <c r="E357" s="4">
        <v>0.7528426975011826</v>
      </c>
      <c r="F357" s="4">
        <v>347955.3510261671</v>
      </c>
      <c r="G357" s="4">
        <v>347956.10386886459</v>
      </c>
      <c r="H357" s="5">
        <f t="shared" si="3"/>
        <v>0</v>
      </c>
      <c r="I357" t="s">
        <v>203</v>
      </c>
      <c r="J357" t="s">
        <v>143</v>
      </c>
      <c r="K357" s="5">
        <f>60 / 86400</f>
        <v>6.9444444444444447E-4</v>
      </c>
      <c r="L357" s="5">
        <f>20 / 86400</f>
        <v>2.3148148148148149E-4</v>
      </c>
    </row>
    <row r="358" spans="1:12" x14ac:dyDescent="0.25">
      <c r="A358" s="3">
        <v>45701.587766203702</v>
      </c>
      <c r="B358" t="s">
        <v>199</v>
      </c>
      <c r="C358" s="3">
        <v>45701.588229166664</v>
      </c>
      <c r="D358" t="s">
        <v>305</v>
      </c>
      <c r="E358" s="4">
        <v>0.49390508490800855</v>
      </c>
      <c r="F358" s="4">
        <v>347956.13813338859</v>
      </c>
      <c r="G358" s="4">
        <v>347956.6320384735</v>
      </c>
      <c r="H358" s="5">
        <f t="shared" si="3"/>
        <v>0</v>
      </c>
      <c r="I358" t="s">
        <v>55</v>
      </c>
      <c r="J358" t="s">
        <v>268</v>
      </c>
      <c r="K358" s="5">
        <f>40 / 86400</f>
        <v>4.6296296296296298E-4</v>
      </c>
      <c r="L358" s="5">
        <f>40 / 86400</f>
        <v>4.6296296296296298E-4</v>
      </c>
    </row>
    <row r="359" spans="1:12" x14ac:dyDescent="0.25">
      <c r="A359" s="3">
        <v>45701.588692129633</v>
      </c>
      <c r="B359" t="s">
        <v>305</v>
      </c>
      <c r="C359" s="3">
        <v>45701.589618055557</v>
      </c>
      <c r="D359" t="s">
        <v>199</v>
      </c>
      <c r="E359" s="4">
        <v>0.76469093227386475</v>
      </c>
      <c r="F359" s="4">
        <v>347956.69269522239</v>
      </c>
      <c r="G359" s="4">
        <v>347957.45738615462</v>
      </c>
      <c r="H359" s="5">
        <f t="shared" si="3"/>
        <v>0</v>
      </c>
      <c r="I359" t="s">
        <v>28</v>
      </c>
      <c r="J359" t="s">
        <v>233</v>
      </c>
      <c r="K359" s="5">
        <f>80 / 86400</f>
        <v>9.2592592592592596E-4</v>
      </c>
      <c r="L359" s="5">
        <f>41 / 86400</f>
        <v>4.7453703703703704E-4</v>
      </c>
    </row>
    <row r="360" spans="1:12" x14ac:dyDescent="0.25">
      <c r="A360" s="3">
        <v>45701.590092592596</v>
      </c>
      <c r="B360" t="s">
        <v>199</v>
      </c>
      <c r="C360" s="3">
        <v>45701.592627314814</v>
      </c>
      <c r="D360" t="s">
        <v>72</v>
      </c>
      <c r="E360" s="4">
        <v>2.8007291393876077</v>
      </c>
      <c r="F360" s="4">
        <v>347957.48328416527</v>
      </c>
      <c r="G360" s="4">
        <v>347960.28401330463</v>
      </c>
      <c r="H360" s="5">
        <f t="shared" si="3"/>
        <v>0</v>
      </c>
      <c r="I360" t="s">
        <v>26</v>
      </c>
      <c r="J360" t="s">
        <v>36</v>
      </c>
      <c r="K360" s="5">
        <f>219 / 86400</f>
        <v>2.5347222222222221E-3</v>
      </c>
      <c r="L360" s="5">
        <f>40 / 86400</f>
        <v>4.6296296296296298E-4</v>
      </c>
    </row>
    <row r="361" spans="1:12" x14ac:dyDescent="0.25">
      <c r="A361" s="3">
        <v>45701.593090277776</v>
      </c>
      <c r="B361" t="s">
        <v>72</v>
      </c>
      <c r="C361" s="3">
        <v>45701.596099537041</v>
      </c>
      <c r="D361" t="s">
        <v>204</v>
      </c>
      <c r="E361" s="4">
        <v>1.6683601134419441</v>
      </c>
      <c r="F361" s="4">
        <v>347960.35369461204</v>
      </c>
      <c r="G361" s="4">
        <v>347962.02205472544</v>
      </c>
      <c r="H361" s="5">
        <f t="shared" si="3"/>
        <v>0</v>
      </c>
      <c r="I361" t="s">
        <v>195</v>
      </c>
      <c r="J361" t="s">
        <v>152</v>
      </c>
      <c r="K361" s="5">
        <f>260 / 86400</f>
        <v>3.0092592592592593E-3</v>
      </c>
      <c r="L361" s="5">
        <f>40 / 86400</f>
        <v>4.6296296296296298E-4</v>
      </c>
    </row>
    <row r="362" spans="1:12" x14ac:dyDescent="0.25">
      <c r="A362" s="3">
        <v>45701.596562499995</v>
      </c>
      <c r="B362" t="s">
        <v>204</v>
      </c>
      <c r="C362" s="3">
        <v>45701.598182870366</v>
      </c>
      <c r="D362" t="s">
        <v>83</v>
      </c>
      <c r="E362" s="4">
        <v>1.7806422122716903</v>
      </c>
      <c r="F362" s="4">
        <v>347962.03549818281</v>
      </c>
      <c r="G362" s="4">
        <v>347963.81614039512</v>
      </c>
      <c r="H362" s="5">
        <f t="shared" si="3"/>
        <v>0</v>
      </c>
      <c r="I362" t="s">
        <v>63</v>
      </c>
      <c r="J362" t="s">
        <v>36</v>
      </c>
      <c r="K362" s="5">
        <f>140 / 86400</f>
        <v>1.6203703703703703E-3</v>
      </c>
      <c r="L362" s="5">
        <f>20 / 86400</f>
        <v>2.3148148148148149E-4</v>
      </c>
    </row>
    <row r="363" spans="1:12" x14ac:dyDescent="0.25">
      <c r="A363" s="3">
        <v>45701.598414351851</v>
      </c>
      <c r="B363" t="s">
        <v>83</v>
      </c>
      <c r="C363" s="3">
        <v>45701.598877314813</v>
      </c>
      <c r="D363" t="s">
        <v>83</v>
      </c>
      <c r="E363" s="4">
        <v>0.1015132241845131</v>
      </c>
      <c r="F363" s="4">
        <v>347963.83991887124</v>
      </c>
      <c r="G363" s="4">
        <v>347963.94143209542</v>
      </c>
      <c r="H363" s="5">
        <f t="shared" si="3"/>
        <v>0</v>
      </c>
      <c r="I363" t="s">
        <v>76</v>
      </c>
      <c r="J363" t="s">
        <v>140</v>
      </c>
      <c r="K363" s="5">
        <f>40 / 86400</f>
        <v>4.6296296296296298E-4</v>
      </c>
      <c r="L363" s="5">
        <f>20 / 86400</f>
        <v>2.3148148148148149E-4</v>
      </c>
    </row>
    <row r="364" spans="1:12" x14ac:dyDescent="0.25">
      <c r="A364" s="3">
        <v>45701.599108796298</v>
      </c>
      <c r="B364" t="s">
        <v>83</v>
      </c>
      <c r="C364" s="3">
        <v>45701.599340277782</v>
      </c>
      <c r="D364" t="s">
        <v>83</v>
      </c>
      <c r="E364" s="4">
        <v>6.3831392347812654E-2</v>
      </c>
      <c r="F364" s="4">
        <v>347964.01248547219</v>
      </c>
      <c r="G364" s="4">
        <v>347964.07631686458</v>
      </c>
      <c r="H364" s="5">
        <f t="shared" si="3"/>
        <v>0</v>
      </c>
      <c r="I364" t="s">
        <v>130</v>
      </c>
      <c r="J364" t="s">
        <v>149</v>
      </c>
      <c r="K364" s="5">
        <f>20 / 86400</f>
        <v>2.3148148148148149E-4</v>
      </c>
      <c r="L364" s="5">
        <f>20 / 86400</f>
        <v>2.3148148148148149E-4</v>
      </c>
    </row>
    <row r="365" spans="1:12" x14ac:dyDescent="0.25">
      <c r="A365" s="3">
        <v>45701.59957175926</v>
      </c>
      <c r="B365" t="s">
        <v>83</v>
      </c>
      <c r="C365" s="3">
        <v>45701.600266203706</v>
      </c>
      <c r="D365" t="s">
        <v>83</v>
      </c>
      <c r="E365" s="4">
        <v>0.12177848374843597</v>
      </c>
      <c r="F365" s="4">
        <v>347964.08431487594</v>
      </c>
      <c r="G365" s="4">
        <v>347964.20609335968</v>
      </c>
      <c r="H365" s="5">
        <f t="shared" si="3"/>
        <v>0</v>
      </c>
      <c r="I365" t="s">
        <v>128</v>
      </c>
      <c r="J365" t="s">
        <v>161</v>
      </c>
      <c r="K365" s="5">
        <f>60 / 86400</f>
        <v>6.9444444444444447E-4</v>
      </c>
      <c r="L365" s="5">
        <f>40 / 86400</f>
        <v>4.6296296296296298E-4</v>
      </c>
    </row>
    <row r="366" spans="1:12" x14ac:dyDescent="0.25">
      <c r="A366" s="3">
        <v>45701.600729166668</v>
      </c>
      <c r="B366" t="s">
        <v>83</v>
      </c>
      <c r="C366" s="3">
        <v>45701.600960648153</v>
      </c>
      <c r="D366" t="s">
        <v>83</v>
      </c>
      <c r="E366" s="4">
        <v>8.6802301347255709E-2</v>
      </c>
      <c r="F366" s="4">
        <v>347964.28440569114</v>
      </c>
      <c r="G366" s="4">
        <v>347964.37120799249</v>
      </c>
      <c r="H366" s="5">
        <f t="shared" si="3"/>
        <v>0</v>
      </c>
      <c r="I366" t="s">
        <v>34</v>
      </c>
      <c r="J366" t="s">
        <v>51</v>
      </c>
      <c r="K366" s="5">
        <f>20 / 86400</f>
        <v>2.3148148148148149E-4</v>
      </c>
      <c r="L366" s="5">
        <f>60 / 86400</f>
        <v>6.9444444444444447E-4</v>
      </c>
    </row>
    <row r="367" spans="1:12" x14ac:dyDescent="0.25">
      <c r="A367" s="3">
        <v>45701.601655092592</v>
      </c>
      <c r="B367" t="s">
        <v>83</v>
      </c>
      <c r="C367" s="3">
        <v>45701.601886574077</v>
      </c>
      <c r="D367" t="s">
        <v>83</v>
      </c>
      <c r="E367" s="4">
        <v>4.1568415164947511E-3</v>
      </c>
      <c r="F367" s="4">
        <v>347964.48733980389</v>
      </c>
      <c r="G367" s="4">
        <v>347964.49149664538</v>
      </c>
      <c r="H367" s="5">
        <f t="shared" si="3"/>
        <v>0</v>
      </c>
      <c r="I367" t="s">
        <v>120</v>
      </c>
      <c r="J367" t="s">
        <v>125</v>
      </c>
      <c r="K367" s="5">
        <f>20 / 86400</f>
        <v>2.3148148148148149E-4</v>
      </c>
      <c r="L367" s="5">
        <f>20 / 86400</f>
        <v>2.3148148148148149E-4</v>
      </c>
    </row>
    <row r="368" spans="1:12" x14ac:dyDescent="0.25">
      <c r="A368" s="3">
        <v>45701.602118055554</v>
      </c>
      <c r="B368" t="s">
        <v>83</v>
      </c>
      <c r="C368" s="3">
        <v>45701.602349537032</v>
      </c>
      <c r="D368" t="s">
        <v>83</v>
      </c>
      <c r="E368" s="4">
        <v>7.2051465332508086E-2</v>
      </c>
      <c r="F368" s="4">
        <v>347964.53705569531</v>
      </c>
      <c r="G368" s="4">
        <v>347964.60910716065</v>
      </c>
      <c r="H368" s="5">
        <f t="shared" si="3"/>
        <v>0</v>
      </c>
      <c r="I368" t="s">
        <v>128</v>
      </c>
      <c r="J368" t="s">
        <v>58</v>
      </c>
      <c r="K368" s="5">
        <f>20 / 86400</f>
        <v>2.3148148148148149E-4</v>
      </c>
      <c r="L368" s="5">
        <f>12 / 86400</f>
        <v>1.3888888888888889E-4</v>
      </c>
    </row>
    <row r="369" spans="1:12" x14ac:dyDescent="0.25">
      <c r="A369" s="3">
        <v>45701.602488425924</v>
      </c>
      <c r="B369" t="s">
        <v>83</v>
      </c>
      <c r="C369" s="3">
        <v>45701.603645833333</v>
      </c>
      <c r="D369" t="s">
        <v>83</v>
      </c>
      <c r="E369" s="4">
        <v>0.45645361095666886</v>
      </c>
      <c r="F369" s="4">
        <v>347964.6114355551</v>
      </c>
      <c r="G369" s="4">
        <v>347965.06788916606</v>
      </c>
      <c r="H369" s="5">
        <f t="shared" si="3"/>
        <v>0</v>
      </c>
      <c r="I369" t="s">
        <v>152</v>
      </c>
      <c r="J369" t="s">
        <v>51</v>
      </c>
      <c r="K369" s="5">
        <f>100 / 86400</f>
        <v>1.1574074074074073E-3</v>
      </c>
      <c r="L369" s="5">
        <f>20 / 86400</f>
        <v>2.3148148148148149E-4</v>
      </c>
    </row>
    <row r="370" spans="1:12" x14ac:dyDescent="0.25">
      <c r="A370" s="3">
        <v>45701.603877314818</v>
      </c>
      <c r="B370" t="s">
        <v>83</v>
      </c>
      <c r="C370" s="3">
        <v>45701.60434027778</v>
      </c>
      <c r="D370" t="s">
        <v>306</v>
      </c>
      <c r="E370" s="4">
        <v>0.1314587504863739</v>
      </c>
      <c r="F370" s="4">
        <v>347965.07097658102</v>
      </c>
      <c r="G370" s="4">
        <v>347965.20243533154</v>
      </c>
      <c r="H370" s="5">
        <f t="shared" si="3"/>
        <v>0</v>
      </c>
      <c r="I370" t="s">
        <v>29</v>
      </c>
      <c r="J370" t="s">
        <v>120</v>
      </c>
      <c r="K370" s="5">
        <f>40 / 86400</f>
        <v>4.6296296296296298E-4</v>
      </c>
      <c r="L370" s="5">
        <f>40 / 86400</f>
        <v>4.6296296296296298E-4</v>
      </c>
    </row>
    <row r="371" spans="1:12" x14ac:dyDescent="0.25">
      <c r="A371" s="3">
        <v>45701.604803240742</v>
      </c>
      <c r="B371" t="s">
        <v>306</v>
      </c>
      <c r="C371" s="3">
        <v>45701.605034722219</v>
      </c>
      <c r="D371" t="s">
        <v>307</v>
      </c>
      <c r="E371" s="4">
        <v>8.6919093430042269E-2</v>
      </c>
      <c r="F371" s="4">
        <v>347965.20686896058</v>
      </c>
      <c r="G371" s="4">
        <v>347965.29378805397</v>
      </c>
      <c r="H371" s="5">
        <f t="shared" si="3"/>
        <v>0</v>
      </c>
      <c r="I371" t="s">
        <v>125</v>
      </c>
      <c r="J371" t="s">
        <v>51</v>
      </c>
      <c r="K371" s="5">
        <f>20 / 86400</f>
        <v>2.3148148148148149E-4</v>
      </c>
      <c r="L371" s="5">
        <f>3 / 86400</f>
        <v>3.4722222222222222E-5</v>
      </c>
    </row>
    <row r="372" spans="1:12" x14ac:dyDescent="0.25">
      <c r="A372" s="3">
        <v>45701.605069444442</v>
      </c>
      <c r="B372" t="s">
        <v>307</v>
      </c>
      <c r="C372" s="3">
        <v>45701.606458333335</v>
      </c>
      <c r="D372" t="s">
        <v>208</v>
      </c>
      <c r="E372" s="4">
        <v>0.70457159471511843</v>
      </c>
      <c r="F372" s="4">
        <v>347965.29477291153</v>
      </c>
      <c r="G372" s="4">
        <v>347965.99934450624</v>
      </c>
      <c r="H372" s="5">
        <f t="shared" si="3"/>
        <v>0</v>
      </c>
      <c r="I372" t="s">
        <v>127</v>
      </c>
      <c r="J372" t="s">
        <v>74</v>
      </c>
      <c r="K372" s="5">
        <f>120 / 86400</f>
        <v>1.3888888888888889E-3</v>
      </c>
      <c r="L372" s="5">
        <f>60 / 86400</f>
        <v>6.9444444444444447E-4</v>
      </c>
    </row>
    <row r="373" spans="1:12" x14ac:dyDescent="0.25">
      <c r="A373" s="3">
        <v>45701.607152777782</v>
      </c>
      <c r="B373" t="s">
        <v>308</v>
      </c>
      <c r="C373" s="3">
        <v>45701.607615740737</v>
      </c>
      <c r="D373" t="s">
        <v>211</v>
      </c>
      <c r="E373" s="4">
        <v>0.16966316866874695</v>
      </c>
      <c r="F373" s="4">
        <v>347966.03160267818</v>
      </c>
      <c r="G373" s="4">
        <v>347966.20126584684</v>
      </c>
      <c r="H373" s="5">
        <f t="shared" si="3"/>
        <v>0</v>
      </c>
      <c r="I373" t="s">
        <v>43</v>
      </c>
      <c r="J373" t="s">
        <v>29</v>
      </c>
      <c r="K373" s="5">
        <f>40 / 86400</f>
        <v>4.6296296296296298E-4</v>
      </c>
      <c r="L373" s="5">
        <f>20 / 86400</f>
        <v>2.3148148148148149E-4</v>
      </c>
    </row>
    <row r="374" spans="1:12" x14ac:dyDescent="0.25">
      <c r="A374" s="3">
        <v>45701.607847222222</v>
      </c>
      <c r="B374" t="s">
        <v>187</v>
      </c>
      <c r="C374" s="3">
        <v>45701.608078703706</v>
      </c>
      <c r="D374" t="s">
        <v>187</v>
      </c>
      <c r="E374" s="4">
        <v>2.3305200338363648E-2</v>
      </c>
      <c r="F374" s="4">
        <v>347966.23882903956</v>
      </c>
      <c r="G374" s="4">
        <v>347966.26213423989</v>
      </c>
      <c r="H374" s="5">
        <f t="shared" si="3"/>
        <v>0</v>
      </c>
      <c r="I374" t="s">
        <v>58</v>
      </c>
      <c r="J374" t="s">
        <v>177</v>
      </c>
      <c r="K374" s="5">
        <f>20 / 86400</f>
        <v>2.3148148148148149E-4</v>
      </c>
      <c r="L374" s="5">
        <f>20 / 86400</f>
        <v>2.3148148148148149E-4</v>
      </c>
    </row>
    <row r="375" spans="1:12" x14ac:dyDescent="0.25">
      <c r="A375" s="3">
        <v>45701.608310185184</v>
      </c>
      <c r="B375" t="s">
        <v>187</v>
      </c>
      <c r="C375" s="3">
        <v>45701.6096412037</v>
      </c>
      <c r="D375" t="s">
        <v>212</v>
      </c>
      <c r="E375" s="4">
        <v>0.24138711297512055</v>
      </c>
      <c r="F375" s="4">
        <v>347966.32369636832</v>
      </c>
      <c r="G375" s="4">
        <v>347966.56508348131</v>
      </c>
      <c r="H375" s="5">
        <f t="shared" si="3"/>
        <v>0</v>
      </c>
      <c r="I375" t="s">
        <v>58</v>
      </c>
      <c r="J375" t="s">
        <v>90</v>
      </c>
      <c r="K375" s="5">
        <f>115 / 86400</f>
        <v>1.3310185185185185E-3</v>
      </c>
      <c r="L375" s="5">
        <f>60 / 86400</f>
        <v>6.9444444444444447E-4</v>
      </c>
    </row>
    <row r="376" spans="1:12" x14ac:dyDescent="0.25">
      <c r="A376" s="3">
        <v>45701.610335648147</v>
      </c>
      <c r="B376" t="s">
        <v>212</v>
      </c>
      <c r="C376" s="3">
        <v>45701.611956018518</v>
      </c>
      <c r="D376" t="s">
        <v>187</v>
      </c>
      <c r="E376" s="4">
        <v>1.2406939774155616</v>
      </c>
      <c r="F376" s="4">
        <v>347966.58959958685</v>
      </c>
      <c r="G376" s="4">
        <v>347967.83029356424</v>
      </c>
      <c r="H376" s="5">
        <f t="shared" si="3"/>
        <v>0</v>
      </c>
      <c r="I376" t="s">
        <v>65</v>
      </c>
      <c r="J376" t="s">
        <v>155</v>
      </c>
      <c r="K376" s="5">
        <f>140 / 86400</f>
        <v>1.6203703703703703E-3</v>
      </c>
      <c r="L376" s="5">
        <f>40 / 86400</f>
        <v>4.6296296296296298E-4</v>
      </c>
    </row>
    <row r="377" spans="1:12" x14ac:dyDescent="0.25">
      <c r="A377" s="3">
        <v>45701.61241898148</v>
      </c>
      <c r="B377" t="s">
        <v>187</v>
      </c>
      <c r="C377" s="3">
        <v>45701.612881944442</v>
      </c>
      <c r="D377" t="s">
        <v>187</v>
      </c>
      <c r="E377" s="4">
        <v>0.19858341580629349</v>
      </c>
      <c r="F377" s="4">
        <v>347967.86593268998</v>
      </c>
      <c r="G377" s="4">
        <v>347968.06451610575</v>
      </c>
      <c r="H377" s="5">
        <f t="shared" si="3"/>
        <v>0</v>
      </c>
      <c r="I377" t="s">
        <v>198</v>
      </c>
      <c r="J377" t="s">
        <v>76</v>
      </c>
      <c r="K377" s="5">
        <f>40 / 86400</f>
        <v>4.6296296296296298E-4</v>
      </c>
      <c r="L377" s="5">
        <f>56 / 86400</f>
        <v>6.4814814814814813E-4</v>
      </c>
    </row>
    <row r="378" spans="1:12" x14ac:dyDescent="0.25">
      <c r="A378" s="3">
        <v>45701.613530092596</v>
      </c>
      <c r="B378" t="s">
        <v>187</v>
      </c>
      <c r="C378" s="3">
        <v>45701.614687499998</v>
      </c>
      <c r="D378" t="s">
        <v>187</v>
      </c>
      <c r="E378" s="4">
        <v>0.74801519352197643</v>
      </c>
      <c r="F378" s="4">
        <v>347968.0726726572</v>
      </c>
      <c r="G378" s="4">
        <v>347968.8206878507</v>
      </c>
      <c r="H378" s="5">
        <f t="shared" si="3"/>
        <v>0</v>
      </c>
      <c r="I378" t="s">
        <v>36</v>
      </c>
      <c r="J378" t="s">
        <v>294</v>
      </c>
      <c r="K378" s="5">
        <f>100 / 86400</f>
        <v>1.1574074074074073E-3</v>
      </c>
      <c r="L378" s="5">
        <f>20 / 86400</f>
        <v>2.3148148148148149E-4</v>
      </c>
    </row>
    <row r="379" spans="1:12" x14ac:dyDescent="0.25">
      <c r="A379" s="3">
        <v>45701.614918981482</v>
      </c>
      <c r="B379" t="s">
        <v>187</v>
      </c>
      <c r="C379" s="3">
        <v>45701.615844907406</v>
      </c>
      <c r="D379" t="s">
        <v>214</v>
      </c>
      <c r="E379" s="4">
        <v>0.71762734055519106</v>
      </c>
      <c r="F379" s="4">
        <v>347968.8870882098</v>
      </c>
      <c r="G379" s="4">
        <v>347969.60471555038</v>
      </c>
      <c r="H379" s="5">
        <f t="shared" si="3"/>
        <v>0</v>
      </c>
      <c r="I379" t="s">
        <v>151</v>
      </c>
      <c r="J379" t="s">
        <v>155</v>
      </c>
      <c r="K379" s="5">
        <f>80 / 86400</f>
        <v>9.2592592592592596E-4</v>
      </c>
      <c r="L379" s="5">
        <f>10 / 86400</f>
        <v>1.1574074074074075E-4</v>
      </c>
    </row>
    <row r="380" spans="1:12" x14ac:dyDescent="0.25">
      <c r="A380" s="3">
        <v>45701.615960648152</v>
      </c>
      <c r="B380" t="s">
        <v>214</v>
      </c>
      <c r="C380" s="3">
        <v>45701.617118055554</v>
      </c>
      <c r="D380" t="s">
        <v>215</v>
      </c>
      <c r="E380" s="4">
        <v>0.86671727269887922</v>
      </c>
      <c r="F380" s="4">
        <v>347969.60739474348</v>
      </c>
      <c r="G380" s="4">
        <v>347970.47411201621</v>
      </c>
      <c r="H380" s="5">
        <f t="shared" si="3"/>
        <v>0</v>
      </c>
      <c r="I380" t="s">
        <v>182</v>
      </c>
      <c r="J380" t="s">
        <v>169</v>
      </c>
      <c r="K380" s="5">
        <f>100 / 86400</f>
        <v>1.1574074074074073E-3</v>
      </c>
      <c r="L380" s="5">
        <f>20 / 86400</f>
        <v>2.3148148148148149E-4</v>
      </c>
    </row>
    <row r="381" spans="1:12" x14ac:dyDescent="0.25">
      <c r="A381" s="3">
        <v>45701.617349537039</v>
      </c>
      <c r="B381" t="s">
        <v>215</v>
      </c>
      <c r="C381" s="3">
        <v>45701.618969907402</v>
      </c>
      <c r="D381" t="s">
        <v>309</v>
      </c>
      <c r="E381" s="4">
        <v>1.1092806800603867</v>
      </c>
      <c r="F381" s="4">
        <v>347970.47520084528</v>
      </c>
      <c r="G381" s="4">
        <v>347971.58448152535</v>
      </c>
      <c r="H381" s="5">
        <f t="shared" si="3"/>
        <v>0</v>
      </c>
      <c r="I381" t="s">
        <v>203</v>
      </c>
      <c r="J381" t="s">
        <v>159</v>
      </c>
      <c r="K381" s="5">
        <f>140 / 86400</f>
        <v>1.6203703703703703E-3</v>
      </c>
      <c r="L381" s="5">
        <f>20 / 86400</f>
        <v>2.3148148148148149E-4</v>
      </c>
    </row>
    <row r="382" spans="1:12" x14ac:dyDescent="0.25">
      <c r="A382" s="3">
        <v>45701.619201388894</v>
      </c>
      <c r="B382" t="s">
        <v>310</v>
      </c>
      <c r="C382" s="3">
        <v>45701.619664351849</v>
      </c>
      <c r="D382" t="s">
        <v>310</v>
      </c>
      <c r="E382" s="4">
        <v>0.11532858186960221</v>
      </c>
      <c r="F382" s="4">
        <v>347971.76055031916</v>
      </c>
      <c r="G382" s="4">
        <v>347971.87587890099</v>
      </c>
      <c r="H382" s="5">
        <f t="shared" si="3"/>
        <v>0</v>
      </c>
      <c r="I382" t="s">
        <v>127</v>
      </c>
      <c r="J382" t="s">
        <v>128</v>
      </c>
      <c r="K382" s="5">
        <f>40 / 86400</f>
        <v>4.6296296296296298E-4</v>
      </c>
      <c r="L382" s="5">
        <f>20 / 86400</f>
        <v>2.3148148148148149E-4</v>
      </c>
    </row>
    <row r="383" spans="1:12" x14ac:dyDescent="0.25">
      <c r="A383" s="3">
        <v>45701.619895833333</v>
      </c>
      <c r="B383" t="s">
        <v>310</v>
      </c>
      <c r="C383" s="3">
        <v>45701.620729166665</v>
      </c>
      <c r="D383" t="s">
        <v>216</v>
      </c>
      <c r="E383" s="4">
        <v>7.2474255919456484E-2</v>
      </c>
      <c r="F383" s="4">
        <v>347971.88266794215</v>
      </c>
      <c r="G383" s="4">
        <v>347971.95514219807</v>
      </c>
      <c r="H383" s="5">
        <f t="shared" si="3"/>
        <v>0</v>
      </c>
      <c r="I383" t="s">
        <v>161</v>
      </c>
      <c r="J383" t="s">
        <v>177</v>
      </c>
      <c r="K383" s="5">
        <f>72 / 86400</f>
        <v>8.3333333333333339E-4</v>
      </c>
      <c r="L383" s="5">
        <f>27 / 86400</f>
        <v>3.1250000000000001E-4</v>
      </c>
    </row>
    <row r="384" spans="1:12" x14ac:dyDescent="0.25">
      <c r="A384" s="3">
        <v>45701.621041666665</v>
      </c>
      <c r="B384" t="s">
        <v>279</v>
      </c>
      <c r="C384" s="3">
        <v>45701.62127314815</v>
      </c>
      <c r="D384" t="s">
        <v>279</v>
      </c>
      <c r="E384" s="4">
        <v>9.6851648688316347E-3</v>
      </c>
      <c r="F384" s="4">
        <v>347971.96905317483</v>
      </c>
      <c r="G384" s="4">
        <v>347971.97873833973</v>
      </c>
      <c r="H384" s="5">
        <f t="shared" si="3"/>
        <v>0</v>
      </c>
      <c r="I384" t="s">
        <v>37</v>
      </c>
      <c r="J384" t="s">
        <v>110</v>
      </c>
      <c r="K384" s="5">
        <f>20 / 86400</f>
        <v>2.3148148148148149E-4</v>
      </c>
      <c r="L384" s="5">
        <f>9 / 86400</f>
        <v>1.0416666666666667E-4</v>
      </c>
    </row>
    <row r="385" spans="1:12" x14ac:dyDescent="0.25">
      <c r="A385" s="3">
        <v>45701.621377314819</v>
      </c>
      <c r="B385" t="s">
        <v>311</v>
      </c>
      <c r="C385" s="3">
        <v>45701.621608796297</v>
      </c>
      <c r="D385" t="s">
        <v>311</v>
      </c>
      <c r="E385" s="4">
        <v>1.9684893846511842E-2</v>
      </c>
      <c r="F385" s="4">
        <v>347971.99277226016</v>
      </c>
      <c r="G385" s="4">
        <v>347972.01245715399</v>
      </c>
      <c r="H385" s="5">
        <f t="shared" si="3"/>
        <v>0</v>
      </c>
      <c r="I385" t="s">
        <v>37</v>
      </c>
      <c r="J385" t="s">
        <v>177</v>
      </c>
      <c r="K385" s="5">
        <f>20 / 86400</f>
        <v>2.3148148148148149E-4</v>
      </c>
      <c r="L385" s="5">
        <f>34 / 86400</f>
        <v>3.9351851851851852E-4</v>
      </c>
    </row>
    <row r="386" spans="1:12" x14ac:dyDescent="0.25">
      <c r="A386" s="3">
        <v>45701.62200231482</v>
      </c>
      <c r="B386" t="s">
        <v>311</v>
      </c>
      <c r="C386" s="3">
        <v>45701.622233796297</v>
      </c>
      <c r="D386" t="s">
        <v>217</v>
      </c>
      <c r="E386" s="4">
        <v>3.1189649641513825E-2</v>
      </c>
      <c r="F386" s="4">
        <v>347972.02972239675</v>
      </c>
      <c r="G386" s="4">
        <v>347972.06091204635</v>
      </c>
      <c r="H386" s="5">
        <f t="shared" si="3"/>
        <v>0</v>
      </c>
      <c r="I386" t="s">
        <v>37</v>
      </c>
      <c r="J386" t="s">
        <v>156</v>
      </c>
      <c r="K386" s="5">
        <f>20 / 86400</f>
        <v>2.3148148148148149E-4</v>
      </c>
      <c r="L386" s="5">
        <f>20 / 86400</f>
        <v>2.3148148148148149E-4</v>
      </c>
    </row>
    <row r="387" spans="1:12" x14ac:dyDescent="0.25">
      <c r="A387" s="3">
        <v>45701.622465277775</v>
      </c>
      <c r="B387" t="s">
        <v>309</v>
      </c>
      <c r="C387" s="3">
        <v>45701.62431712963</v>
      </c>
      <c r="D387" t="s">
        <v>220</v>
      </c>
      <c r="E387" s="4">
        <v>0.91877335238456725</v>
      </c>
      <c r="F387" s="4">
        <v>347972.19621480751</v>
      </c>
      <c r="G387" s="4">
        <v>347973.11498815991</v>
      </c>
      <c r="H387" s="5">
        <f t="shared" si="3"/>
        <v>0</v>
      </c>
      <c r="I387" t="s">
        <v>207</v>
      </c>
      <c r="J387" t="s">
        <v>74</v>
      </c>
      <c r="K387" s="5">
        <f>160 / 86400</f>
        <v>1.8518518518518519E-3</v>
      </c>
      <c r="L387" s="5">
        <f>20 / 86400</f>
        <v>2.3148148148148149E-4</v>
      </c>
    </row>
    <row r="388" spans="1:12" x14ac:dyDescent="0.25">
      <c r="A388" s="3">
        <v>45701.624548611115</v>
      </c>
      <c r="B388" t="s">
        <v>227</v>
      </c>
      <c r="C388" s="3">
        <v>45701.624780092592</v>
      </c>
      <c r="D388" t="s">
        <v>221</v>
      </c>
      <c r="E388" s="4">
        <v>2.9043176829814912E-2</v>
      </c>
      <c r="F388" s="4">
        <v>347973.20283165667</v>
      </c>
      <c r="G388" s="4">
        <v>347973.23187483352</v>
      </c>
      <c r="H388" s="5">
        <f t="shared" si="3"/>
        <v>0</v>
      </c>
      <c r="I388" t="s">
        <v>110</v>
      </c>
      <c r="J388" t="s">
        <v>37</v>
      </c>
      <c r="K388" s="5">
        <f>20 / 86400</f>
        <v>2.3148148148148149E-4</v>
      </c>
      <c r="L388" s="5">
        <f>53 / 86400</f>
        <v>6.134259259259259E-4</v>
      </c>
    </row>
    <row r="389" spans="1:12" x14ac:dyDescent="0.25">
      <c r="A389" s="3">
        <v>45701.625393518523</v>
      </c>
      <c r="B389" t="s">
        <v>227</v>
      </c>
      <c r="C389" s="3">
        <v>45701.625625000001</v>
      </c>
      <c r="D389" t="s">
        <v>221</v>
      </c>
      <c r="E389" s="4">
        <v>1.0158924579620362E-2</v>
      </c>
      <c r="F389" s="4">
        <v>347973.25825198402</v>
      </c>
      <c r="G389" s="4">
        <v>347973.26841090858</v>
      </c>
      <c r="H389" s="5">
        <f t="shared" si="3"/>
        <v>0</v>
      </c>
      <c r="I389" t="s">
        <v>37</v>
      </c>
      <c r="J389" t="s">
        <v>110</v>
      </c>
      <c r="K389" s="5">
        <f>20 / 86400</f>
        <v>2.3148148148148149E-4</v>
      </c>
      <c r="L389" s="5">
        <f>6 / 86400</f>
        <v>6.9444444444444444E-5</v>
      </c>
    </row>
    <row r="390" spans="1:12" x14ac:dyDescent="0.25">
      <c r="A390" s="3">
        <v>45701.625694444447</v>
      </c>
      <c r="B390" t="s">
        <v>221</v>
      </c>
      <c r="C390" s="3">
        <v>45701.631712962961</v>
      </c>
      <c r="D390" t="s">
        <v>312</v>
      </c>
      <c r="E390" s="4">
        <v>2.7191124733686447</v>
      </c>
      <c r="F390" s="4">
        <v>347973.29029280943</v>
      </c>
      <c r="G390" s="4">
        <v>347976.00940528279</v>
      </c>
      <c r="H390" s="5">
        <f t="shared" si="3"/>
        <v>0</v>
      </c>
      <c r="I390" t="s">
        <v>193</v>
      </c>
      <c r="J390" t="s">
        <v>23</v>
      </c>
      <c r="K390" s="5">
        <f>520 / 86400</f>
        <v>6.0185185185185185E-3</v>
      </c>
      <c r="L390" s="5">
        <f>14 / 86400</f>
        <v>1.6203703703703703E-4</v>
      </c>
    </row>
    <row r="391" spans="1:12" x14ac:dyDescent="0.25">
      <c r="A391" s="3">
        <v>45701.631874999999</v>
      </c>
      <c r="B391" t="s">
        <v>312</v>
      </c>
      <c r="C391" s="3">
        <v>45701.632337962961</v>
      </c>
      <c r="D391" t="s">
        <v>313</v>
      </c>
      <c r="E391" s="4">
        <v>0.18722804397344589</v>
      </c>
      <c r="F391" s="4">
        <v>347976.021603467</v>
      </c>
      <c r="G391" s="4">
        <v>347976.20883151097</v>
      </c>
      <c r="H391" s="5">
        <f t="shared" si="3"/>
        <v>0</v>
      </c>
      <c r="I391" t="s">
        <v>130</v>
      </c>
      <c r="J391" t="s">
        <v>20</v>
      </c>
      <c r="K391" s="5">
        <f>40 / 86400</f>
        <v>4.6296296296296298E-4</v>
      </c>
      <c r="L391" s="5">
        <f>3 / 86400</f>
        <v>3.4722222222222222E-5</v>
      </c>
    </row>
    <row r="392" spans="1:12" x14ac:dyDescent="0.25">
      <c r="A392" s="3">
        <v>45701.632372685184</v>
      </c>
      <c r="B392" t="s">
        <v>313</v>
      </c>
      <c r="C392" s="3">
        <v>45701.639398148152</v>
      </c>
      <c r="D392" t="s">
        <v>314</v>
      </c>
      <c r="E392" s="4">
        <v>2.4564140706658364</v>
      </c>
      <c r="F392" s="4">
        <v>347976.21120745054</v>
      </c>
      <c r="G392" s="4">
        <v>347978.66762152122</v>
      </c>
      <c r="H392" s="5">
        <f t="shared" si="3"/>
        <v>0</v>
      </c>
      <c r="I392" t="s">
        <v>148</v>
      </c>
      <c r="J392" t="s">
        <v>29</v>
      </c>
      <c r="K392" s="5">
        <f>607 / 86400</f>
        <v>7.0254629629629634E-3</v>
      </c>
      <c r="L392" s="5">
        <f>4 / 86400</f>
        <v>4.6296296296296294E-5</v>
      </c>
    </row>
    <row r="393" spans="1:12" x14ac:dyDescent="0.25">
      <c r="A393" s="3">
        <v>45701.639444444445</v>
      </c>
      <c r="B393" t="s">
        <v>314</v>
      </c>
      <c r="C393" s="3">
        <v>45701.639976851853</v>
      </c>
      <c r="D393" t="s">
        <v>315</v>
      </c>
      <c r="E393" s="4">
        <v>0.31803462666273119</v>
      </c>
      <c r="F393" s="4">
        <v>347978.67235241149</v>
      </c>
      <c r="G393" s="4">
        <v>347978.99038703815</v>
      </c>
      <c r="H393" s="5">
        <f t="shared" si="3"/>
        <v>0</v>
      </c>
      <c r="I393" t="s">
        <v>127</v>
      </c>
      <c r="J393" t="s">
        <v>135</v>
      </c>
      <c r="K393" s="5">
        <f>46 / 86400</f>
        <v>5.3240740740740744E-4</v>
      </c>
      <c r="L393" s="5">
        <f>20 / 86400</f>
        <v>2.3148148148148149E-4</v>
      </c>
    </row>
    <row r="394" spans="1:12" x14ac:dyDescent="0.25">
      <c r="A394" s="3">
        <v>45701.640208333338</v>
      </c>
      <c r="B394" t="s">
        <v>315</v>
      </c>
      <c r="C394" s="3">
        <v>45701.641157407408</v>
      </c>
      <c r="D394" t="s">
        <v>316</v>
      </c>
      <c r="E394" s="4">
        <v>0.14419948107004166</v>
      </c>
      <c r="F394" s="4">
        <v>347978.99766742339</v>
      </c>
      <c r="G394" s="4">
        <v>347979.14186690445</v>
      </c>
      <c r="H394" s="5">
        <f t="shared" si="3"/>
        <v>0</v>
      </c>
      <c r="I394" t="s">
        <v>120</v>
      </c>
      <c r="J394" t="s">
        <v>156</v>
      </c>
      <c r="K394" s="5">
        <f>82 / 86400</f>
        <v>9.4907407407407408E-4</v>
      </c>
      <c r="L394" s="5">
        <f>88 / 86400</f>
        <v>1.0185185185185184E-3</v>
      </c>
    </row>
    <row r="395" spans="1:12" x14ac:dyDescent="0.25">
      <c r="A395" s="3">
        <v>45701.642175925925</v>
      </c>
      <c r="B395" t="s">
        <v>316</v>
      </c>
      <c r="C395" s="3">
        <v>45701.642407407402</v>
      </c>
      <c r="D395" t="s">
        <v>316</v>
      </c>
      <c r="E395" s="4">
        <v>0</v>
      </c>
      <c r="F395" s="4">
        <v>347979.17201896175</v>
      </c>
      <c r="G395" s="4">
        <v>347979.17201896175</v>
      </c>
      <c r="H395" s="5">
        <f t="shared" si="3"/>
        <v>0</v>
      </c>
      <c r="I395" t="s">
        <v>37</v>
      </c>
      <c r="J395" t="s">
        <v>91</v>
      </c>
      <c r="K395" s="5">
        <f>20 / 86400</f>
        <v>2.3148148148148149E-4</v>
      </c>
      <c r="L395" s="5">
        <f>60 / 86400</f>
        <v>6.9444444444444447E-4</v>
      </c>
    </row>
    <row r="396" spans="1:12" x14ac:dyDescent="0.25">
      <c r="A396" s="3">
        <v>45701.643101851849</v>
      </c>
      <c r="B396" t="s">
        <v>317</v>
      </c>
      <c r="C396" s="3">
        <v>45701.643761574072</v>
      </c>
      <c r="D396" t="s">
        <v>318</v>
      </c>
      <c r="E396" s="4">
        <v>0.30786844182014467</v>
      </c>
      <c r="F396" s="4">
        <v>347979.44246662408</v>
      </c>
      <c r="G396" s="4">
        <v>347979.75033506588</v>
      </c>
      <c r="H396" s="5">
        <f t="shared" si="3"/>
        <v>0</v>
      </c>
      <c r="I396" t="s">
        <v>319</v>
      </c>
      <c r="J396" t="s">
        <v>23</v>
      </c>
      <c r="K396" s="5">
        <f>57 / 86400</f>
        <v>6.5972222222222224E-4</v>
      </c>
      <c r="L396" s="5">
        <f>20 / 86400</f>
        <v>2.3148148148148149E-4</v>
      </c>
    </row>
    <row r="397" spans="1:12" x14ac:dyDescent="0.25">
      <c r="A397" s="3">
        <v>45701.643993055557</v>
      </c>
      <c r="B397" t="s">
        <v>320</v>
      </c>
      <c r="C397" s="3">
        <v>45701.645000000004</v>
      </c>
      <c r="D397" t="s">
        <v>266</v>
      </c>
      <c r="E397" s="4">
        <v>0.35648524862527847</v>
      </c>
      <c r="F397" s="4">
        <v>347980.3543523844</v>
      </c>
      <c r="G397" s="4">
        <v>347980.710837633</v>
      </c>
      <c r="H397" s="5">
        <f t="shared" si="3"/>
        <v>0</v>
      </c>
      <c r="I397" t="s">
        <v>145</v>
      </c>
      <c r="J397" t="s">
        <v>29</v>
      </c>
      <c r="K397" s="5">
        <f>87 / 86400</f>
        <v>1.0069444444444444E-3</v>
      </c>
      <c r="L397" s="5">
        <f>12 / 86400</f>
        <v>1.3888888888888889E-4</v>
      </c>
    </row>
    <row r="398" spans="1:12" x14ac:dyDescent="0.25">
      <c r="A398" s="3">
        <v>45701.645138888889</v>
      </c>
      <c r="B398" t="s">
        <v>321</v>
      </c>
      <c r="C398" s="3">
        <v>45701.646377314813</v>
      </c>
      <c r="D398" t="s">
        <v>322</v>
      </c>
      <c r="E398" s="4">
        <v>0.74904381388425822</v>
      </c>
      <c r="F398" s="4">
        <v>347980.71999914449</v>
      </c>
      <c r="G398" s="4">
        <v>347981.4690429584</v>
      </c>
      <c r="H398" s="5">
        <f t="shared" si="3"/>
        <v>0</v>
      </c>
      <c r="I398" t="s">
        <v>186</v>
      </c>
      <c r="J398" t="s">
        <v>135</v>
      </c>
      <c r="K398" s="5">
        <f>107 / 86400</f>
        <v>1.238425925925926E-3</v>
      </c>
      <c r="L398" s="5">
        <f>40 / 86400</f>
        <v>4.6296296296296298E-4</v>
      </c>
    </row>
    <row r="399" spans="1:12" x14ac:dyDescent="0.25">
      <c r="A399" s="3">
        <v>45701.646840277783</v>
      </c>
      <c r="B399" t="s">
        <v>323</v>
      </c>
      <c r="C399" s="3">
        <v>45701.64806712963</v>
      </c>
      <c r="D399" t="s">
        <v>324</v>
      </c>
      <c r="E399" s="4">
        <v>0.67000835746526721</v>
      </c>
      <c r="F399" s="4">
        <v>347981.79856270098</v>
      </c>
      <c r="G399" s="4">
        <v>347982.46857105847</v>
      </c>
      <c r="H399" s="5">
        <f t="shared" si="3"/>
        <v>0</v>
      </c>
      <c r="I399" t="s">
        <v>179</v>
      </c>
      <c r="J399" t="s">
        <v>152</v>
      </c>
      <c r="K399" s="5">
        <f>106 / 86400</f>
        <v>1.2268518518518518E-3</v>
      </c>
      <c r="L399" s="5">
        <f>40 / 86400</f>
        <v>4.6296296296296298E-4</v>
      </c>
    </row>
    <row r="400" spans="1:12" x14ac:dyDescent="0.25">
      <c r="A400" s="3">
        <v>45701.648530092592</v>
      </c>
      <c r="B400" t="s">
        <v>325</v>
      </c>
      <c r="C400" s="3">
        <v>45701.648993055554</v>
      </c>
      <c r="D400" t="s">
        <v>326</v>
      </c>
      <c r="E400" s="4">
        <v>0.16320135354995727</v>
      </c>
      <c r="F400" s="4">
        <v>347982.54935873055</v>
      </c>
      <c r="G400" s="4">
        <v>347982.71256008412</v>
      </c>
      <c r="H400" s="5">
        <f t="shared" si="3"/>
        <v>0</v>
      </c>
      <c r="I400" t="s">
        <v>132</v>
      </c>
      <c r="J400" t="s">
        <v>29</v>
      </c>
      <c r="K400" s="5">
        <f>40 / 86400</f>
        <v>4.6296296296296298E-4</v>
      </c>
      <c r="L400" s="5">
        <f>6 / 86400</f>
        <v>6.9444444444444444E-5</v>
      </c>
    </row>
    <row r="401" spans="1:12" x14ac:dyDescent="0.25">
      <c r="A401" s="3">
        <v>45701.649062500001</v>
      </c>
      <c r="B401" t="s">
        <v>326</v>
      </c>
      <c r="C401" s="3">
        <v>45701.649895833332</v>
      </c>
      <c r="D401" t="s">
        <v>327</v>
      </c>
      <c r="E401" s="4">
        <v>0.35300597381591797</v>
      </c>
      <c r="F401" s="4">
        <v>347982.71626066515</v>
      </c>
      <c r="G401" s="4">
        <v>347983.06926663901</v>
      </c>
      <c r="H401" s="5">
        <f t="shared" si="3"/>
        <v>0</v>
      </c>
      <c r="I401" t="s">
        <v>155</v>
      </c>
      <c r="J401" t="s">
        <v>76</v>
      </c>
      <c r="K401" s="5">
        <f>72 / 86400</f>
        <v>8.3333333333333339E-4</v>
      </c>
      <c r="L401" s="5">
        <f>2 / 86400</f>
        <v>2.3148148148148147E-5</v>
      </c>
    </row>
    <row r="402" spans="1:12" x14ac:dyDescent="0.25">
      <c r="A402" s="3">
        <v>45701.649918981479</v>
      </c>
      <c r="B402" t="s">
        <v>327</v>
      </c>
      <c r="C402" s="3">
        <v>45701.650150462963</v>
      </c>
      <c r="D402" t="s">
        <v>327</v>
      </c>
      <c r="E402" s="4">
        <v>3.1042975187301636E-3</v>
      </c>
      <c r="F402" s="4">
        <v>347983.07197625341</v>
      </c>
      <c r="G402" s="4">
        <v>347983.07508055092</v>
      </c>
      <c r="H402" s="5">
        <f t="shared" ref="H402:H465" si="4">0 / 86400</f>
        <v>0</v>
      </c>
      <c r="I402" t="s">
        <v>37</v>
      </c>
      <c r="J402" t="s">
        <v>125</v>
      </c>
      <c r="K402" s="5">
        <f>20 / 86400</f>
        <v>2.3148148148148149E-4</v>
      </c>
      <c r="L402" s="5">
        <f>14 / 86400</f>
        <v>1.6203703703703703E-4</v>
      </c>
    </row>
    <row r="403" spans="1:12" x14ac:dyDescent="0.25">
      <c r="A403" s="3">
        <v>45701.650312500002</v>
      </c>
      <c r="B403" t="s">
        <v>327</v>
      </c>
      <c r="C403" s="3">
        <v>45701.651226851856</v>
      </c>
      <c r="D403" t="s">
        <v>328</v>
      </c>
      <c r="E403" s="4">
        <v>0.43311183905601502</v>
      </c>
      <c r="F403" s="4">
        <v>347983.08089249855</v>
      </c>
      <c r="G403" s="4">
        <v>347983.5140043376</v>
      </c>
      <c r="H403" s="5">
        <f t="shared" si="4"/>
        <v>0</v>
      </c>
      <c r="I403" t="s">
        <v>179</v>
      </c>
      <c r="J403" t="s">
        <v>34</v>
      </c>
      <c r="K403" s="5">
        <f>79 / 86400</f>
        <v>9.1435185185185185E-4</v>
      </c>
      <c r="L403" s="5">
        <f>20 / 86400</f>
        <v>2.3148148148148149E-4</v>
      </c>
    </row>
    <row r="404" spans="1:12" x14ac:dyDescent="0.25">
      <c r="A404" s="3">
        <v>45701.651458333334</v>
      </c>
      <c r="B404" t="s">
        <v>246</v>
      </c>
      <c r="C404" s="3">
        <v>45701.651689814811</v>
      </c>
      <c r="D404" t="s">
        <v>329</v>
      </c>
      <c r="E404" s="4">
        <v>5.1808704674243929E-2</v>
      </c>
      <c r="F404" s="4">
        <v>347983.52663014369</v>
      </c>
      <c r="G404" s="4">
        <v>347983.57843884837</v>
      </c>
      <c r="H404" s="5">
        <f t="shared" si="4"/>
        <v>0</v>
      </c>
      <c r="I404" t="s">
        <v>140</v>
      </c>
      <c r="J404" t="s">
        <v>140</v>
      </c>
      <c r="K404" s="5">
        <f>20 / 86400</f>
        <v>2.3148148148148149E-4</v>
      </c>
      <c r="L404" s="5">
        <f>76 / 86400</f>
        <v>8.7962962962962962E-4</v>
      </c>
    </row>
    <row r="405" spans="1:12" x14ac:dyDescent="0.25">
      <c r="A405" s="3">
        <v>45701.652569444443</v>
      </c>
      <c r="B405" t="s">
        <v>329</v>
      </c>
      <c r="C405" s="3">
        <v>45701.653032407412</v>
      </c>
      <c r="D405" t="s">
        <v>330</v>
      </c>
      <c r="E405" s="4">
        <v>0.20429877841472627</v>
      </c>
      <c r="F405" s="4">
        <v>347983.58704940777</v>
      </c>
      <c r="G405" s="4">
        <v>347983.79134818621</v>
      </c>
      <c r="H405" s="5">
        <f t="shared" si="4"/>
        <v>0</v>
      </c>
      <c r="I405" t="s">
        <v>253</v>
      </c>
      <c r="J405" t="s">
        <v>76</v>
      </c>
      <c r="K405" s="5">
        <f>40 / 86400</f>
        <v>4.6296296296296298E-4</v>
      </c>
      <c r="L405" s="5">
        <f>19 / 86400</f>
        <v>2.199074074074074E-4</v>
      </c>
    </row>
    <row r="406" spans="1:12" x14ac:dyDescent="0.25">
      <c r="A406" s="3">
        <v>45701.65325231482</v>
      </c>
      <c r="B406" t="s">
        <v>330</v>
      </c>
      <c r="C406" s="3">
        <v>45701.655150462961</v>
      </c>
      <c r="D406" t="s">
        <v>252</v>
      </c>
      <c r="E406" s="4">
        <v>0.88299678051471708</v>
      </c>
      <c r="F406" s="4">
        <v>347983.79724786361</v>
      </c>
      <c r="G406" s="4">
        <v>347984.68024464411</v>
      </c>
      <c r="H406" s="5">
        <f t="shared" si="4"/>
        <v>0</v>
      </c>
      <c r="I406" t="s">
        <v>127</v>
      </c>
      <c r="J406" t="s">
        <v>23</v>
      </c>
      <c r="K406" s="5">
        <f>164 / 86400</f>
        <v>1.8981481481481482E-3</v>
      </c>
      <c r="L406" s="5">
        <f>33 / 86400</f>
        <v>3.8194444444444446E-4</v>
      </c>
    </row>
    <row r="407" spans="1:12" x14ac:dyDescent="0.25">
      <c r="A407" s="3">
        <v>45701.655532407407</v>
      </c>
      <c r="B407" t="s">
        <v>252</v>
      </c>
      <c r="C407" s="3">
        <v>45701.655995370369</v>
      </c>
      <c r="D407" t="s">
        <v>252</v>
      </c>
      <c r="E407" s="4">
        <v>3.9331643819808963E-2</v>
      </c>
      <c r="F407" s="4">
        <v>347984.68572244328</v>
      </c>
      <c r="G407" s="4">
        <v>347984.72505408712</v>
      </c>
      <c r="H407" s="5">
        <f t="shared" si="4"/>
        <v>0</v>
      </c>
      <c r="I407" t="s">
        <v>149</v>
      </c>
      <c r="J407" t="s">
        <v>177</v>
      </c>
      <c r="K407" s="5">
        <f>40 / 86400</f>
        <v>4.6296296296296298E-4</v>
      </c>
      <c r="L407" s="5">
        <f>40 / 86400</f>
        <v>4.6296296296296298E-4</v>
      </c>
    </row>
    <row r="408" spans="1:12" x14ac:dyDescent="0.25">
      <c r="A408" s="3">
        <v>45701.656458333338</v>
      </c>
      <c r="B408" t="s">
        <v>252</v>
      </c>
      <c r="C408" s="3">
        <v>45701.657511574071</v>
      </c>
      <c r="D408" t="s">
        <v>331</v>
      </c>
      <c r="E408" s="4">
        <v>0.38927897721529009</v>
      </c>
      <c r="F408" s="4">
        <v>347984.73048198695</v>
      </c>
      <c r="G408" s="4">
        <v>347985.11976096418</v>
      </c>
      <c r="H408" s="5">
        <f t="shared" si="4"/>
        <v>0</v>
      </c>
      <c r="I408" t="s">
        <v>23</v>
      </c>
      <c r="J408" t="s">
        <v>29</v>
      </c>
      <c r="K408" s="5">
        <f>91 / 86400</f>
        <v>1.0532407407407407E-3</v>
      </c>
      <c r="L408" s="5">
        <f>37 / 86400</f>
        <v>4.2824074074074075E-4</v>
      </c>
    </row>
    <row r="409" spans="1:12" x14ac:dyDescent="0.25">
      <c r="A409" s="3">
        <v>45701.657939814817</v>
      </c>
      <c r="B409" t="s">
        <v>332</v>
      </c>
      <c r="C409" s="3">
        <v>45701.658229166671</v>
      </c>
      <c r="D409" t="s">
        <v>332</v>
      </c>
      <c r="E409" s="4">
        <v>2.936172378063202E-2</v>
      </c>
      <c r="F409" s="4">
        <v>347985.12768381246</v>
      </c>
      <c r="G409" s="4">
        <v>347985.15704553621</v>
      </c>
      <c r="H409" s="5">
        <f t="shared" si="4"/>
        <v>0</v>
      </c>
      <c r="I409" t="s">
        <v>161</v>
      </c>
      <c r="J409" t="s">
        <v>177</v>
      </c>
      <c r="K409" s="5">
        <f>25 / 86400</f>
        <v>2.8935185185185184E-4</v>
      </c>
      <c r="L409" s="5">
        <f>180 / 86400</f>
        <v>2.0833333333333333E-3</v>
      </c>
    </row>
    <row r="410" spans="1:12" x14ac:dyDescent="0.25">
      <c r="A410" s="3">
        <v>45701.660312499997</v>
      </c>
      <c r="B410" t="s">
        <v>333</v>
      </c>
      <c r="C410" s="3">
        <v>45701.660543981481</v>
      </c>
      <c r="D410" t="s">
        <v>333</v>
      </c>
      <c r="E410" s="4">
        <v>1.1125396490097045E-2</v>
      </c>
      <c r="F410" s="4">
        <v>347985.19985356618</v>
      </c>
      <c r="G410" s="4">
        <v>347985.21097896266</v>
      </c>
      <c r="H410" s="5">
        <f t="shared" si="4"/>
        <v>0</v>
      </c>
      <c r="I410" t="s">
        <v>110</v>
      </c>
      <c r="J410" t="s">
        <v>110</v>
      </c>
      <c r="K410" s="5">
        <f>20 / 86400</f>
        <v>2.3148148148148149E-4</v>
      </c>
      <c r="L410" s="5">
        <f>126 / 86400</f>
        <v>1.4583333333333334E-3</v>
      </c>
    </row>
    <row r="411" spans="1:12" x14ac:dyDescent="0.25">
      <c r="A411" s="3">
        <v>45701.662002314813</v>
      </c>
      <c r="B411" t="s">
        <v>332</v>
      </c>
      <c r="C411" s="3">
        <v>45701.663287037038</v>
      </c>
      <c r="D411" t="s">
        <v>334</v>
      </c>
      <c r="E411" s="4">
        <v>0.33273661839962004</v>
      </c>
      <c r="F411" s="4">
        <v>347985.26982286846</v>
      </c>
      <c r="G411" s="4">
        <v>347985.60255948687</v>
      </c>
      <c r="H411" s="5">
        <f t="shared" si="4"/>
        <v>0</v>
      </c>
      <c r="I411" t="s">
        <v>138</v>
      </c>
      <c r="J411" t="s">
        <v>149</v>
      </c>
      <c r="K411" s="5">
        <f>111 / 86400</f>
        <v>1.2847222222222223E-3</v>
      </c>
      <c r="L411" s="5">
        <f>10 / 86400</f>
        <v>1.1574074074074075E-4</v>
      </c>
    </row>
    <row r="412" spans="1:12" x14ac:dyDescent="0.25">
      <c r="A412" s="3">
        <v>45701.663402777776</v>
      </c>
      <c r="B412" t="s">
        <v>334</v>
      </c>
      <c r="C412" s="3">
        <v>45701.664236111115</v>
      </c>
      <c r="D412" t="s">
        <v>335</v>
      </c>
      <c r="E412" s="4">
        <v>0.12942205661535264</v>
      </c>
      <c r="F412" s="4">
        <v>347985.61261062627</v>
      </c>
      <c r="G412" s="4">
        <v>347985.74203268287</v>
      </c>
      <c r="H412" s="5">
        <f t="shared" si="4"/>
        <v>0</v>
      </c>
      <c r="I412" t="s">
        <v>90</v>
      </c>
      <c r="J412" t="s">
        <v>156</v>
      </c>
      <c r="K412" s="5">
        <f>72 / 86400</f>
        <v>8.3333333333333339E-4</v>
      </c>
      <c r="L412" s="5">
        <f>29 / 86400</f>
        <v>3.3564814814814812E-4</v>
      </c>
    </row>
    <row r="413" spans="1:12" x14ac:dyDescent="0.25">
      <c r="A413" s="3">
        <v>45701.664571759262</v>
      </c>
      <c r="B413" t="s">
        <v>336</v>
      </c>
      <c r="C413" s="3">
        <v>45701.665266203709</v>
      </c>
      <c r="D413" t="s">
        <v>252</v>
      </c>
      <c r="E413" s="4">
        <v>6.6665028035640714E-2</v>
      </c>
      <c r="F413" s="4">
        <v>347985.81442143163</v>
      </c>
      <c r="G413" s="4">
        <v>347985.88108645962</v>
      </c>
      <c r="H413" s="5">
        <f t="shared" si="4"/>
        <v>0</v>
      </c>
      <c r="I413" t="s">
        <v>37</v>
      </c>
      <c r="J413" t="s">
        <v>177</v>
      </c>
      <c r="K413" s="5">
        <f>60 / 86400</f>
        <v>6.9444444444444447E-4</v>
      </c>
      <c r="L413" s="5">
        <f>180 / 86400</f>
        <v>2.0833333333333333E-3</v>
      </c>
    </row>
    <row r="414" spans="1:12" x14ac:dyDescent="0.25">
      <c r="A414" s="3">
        <v>45701.667349537034</v>
      </c>
      <c r="B414" t="s">
        <v>337</v>
      </c>
      <c r="C414" s="3">
        <v>45701.668530092589</v>
      </c>
      <c r="D414" t="s">
        <v>338</v>
      </c>
      <c r="E414" s="4">
        <v>0.29228243714571001</v>
      </c>
      <c r="F414" s="4">
        <v>347985.9825181163</v>
      </c>
      <c r="G414" s="4">
        <v>347986.27480055345</v>
      </c>
      <c r="H414" s="5">
        <f t="shared" si="4"/>
        <v>0</v>
      </c>
      <c r="I414" t="s">
        <v>132</v>
      </c>
      <c r="J414" t="s">
        <v>128</v>
      </c>
      <c r="K414" s="5">
        <f>102 / 86400</f>
        <v>1.1805555555555556E-3</v>
      </c>
      <c r="L414" s="5">
        <f>20 / 86400</f>
        <v>2.3148148148148149E-4</v>
      </c>
    </row>
    <row r="415" spans="1:12" x14ac:dyDescent="0.25">
      <c r="A415" s="3">
        <v>45701.668761574074</v>
      </c>
      <c r="B415" t="s">
        <v>339</v>
      </c>
      <c r="C415" s="3">
        <v>45701.669259259259</v>
      </c>
      <c r="D415" t="s">
        <v>339</v>
      </c>
      <c r="E415" s="4">
        <v>5.7445575177669524E-2</v>
      </c>
      <c r="F415" s="4">
        <v>347986.28659391275</v>
      </c>
      <c r="G415" s="4">
        <v>347986.34403948794</v>
      </c>
      <c r="H415" s="5">
        <f t="shared" si="4"/>
        <v>0</v>
      </c>
      <c r="I415" t="s">
        <v>156</v>
      </c>
      <c r="J415" t="s">
        <v>37</v>
      </c>
      <c r="K415" s="5">
        <f>43 / 86400</f>
        <v>4.9768518518518521E-4</v>
      </c>
      <c r="L415" s="5">
        <f>20 / 86400</f>
        <v>2.3148148148148149E-4</v>
      </c>
    </row>
    <row r="416" spans="1:12" x14ac:dyDescent="0.25">
      <c r="A416" s="3">
        <v>45701.669490740736</v>
      </c>
      <c r="B416" t="s">
        <v>340</v>
      </c>
      <c r="C416" s="3">
        <v>45701.669722222221</v>
      </c>
      <c r="D416" t="s">
        <v>340</v>
      </c>
      <c r="E416" s="4">
        <v>1.9615145027637483E-2</v>
      </c>
      <c r="F416" s="4">
        <v>347986.37114443403</v>
      </c>
      <c r="G416" s="4">
        <v>347986.39075957908</v>
      </c>
      <c r="H416" s="5">
        <f t="shared" si="4"/>
        <v>0</v>
      </c>
      <c r="I416" t="s">
        <v>90</v>
      </c>
      <c r="J416" t="s">
        <v>177</v>
      </c>
      <c r="K416" s="5">
        <f>20 / 86400</f>
        <v>2.3148148148148149E-4</v>
      </c>
      <c r="L416" s="5">
        <f>10 / 86400</f>
        <v>1.1574074074074075E-4</v>
      </c>
    </row>
    <row r="417" spans="1:12" x14ac:dyDescent="0.25">
      <c r="A417" s="3">
        <v>45701.669837962967</v>
      </c>
      <c r="B417" t="s">
        <v>340</v>
      </c>
      <c r="C417" s="3">
        <v>45701.670567129629</v>
      </c>
      <c r="D417" t="s">
        <v>341</v>
      </c>
      <c r="E417" s="4">
        <v>5.4750755071640012E-2</v>
      </c>
      <c r="F417" s="4">
        <v>347986.39463579602</v>
      </c>
      <c r="G417" s="4">
        <v>347986.4493865511</v>
      </c>
      <c r="H417" s="5">
        <f t="shared" si="4"/>
        <v>0</v>
      </c>
      <c r="I417" t="s">
        <v>37</v>
      </c>
      <c r="J417" t="s">
        <v>124</v>
      </c>
      <c r="K417" s="5">
        <f>63 / 86400</f>
        <v>7.291666666666667E-4</v>
      </c>
      <c r="L417" s="5">
        <f>40 / 86400</f>
        <v>4.6296296296296298E-4</v>
      </c>
    </row>
    <row r="418" spans="1:12" x14ac:dyDescent="0.25">
      <c r="A418" s="3">
        <v>45701.671030092592</v>
      </c>
      <c r="B418" t="s">
        <v>341</v>
      </c>
      <c r="C418" s="3">
        <v>45701.671261574069</v>
      </c>
      <c r="D418" t="s">
        <v>341</v>
      </c>
      <c r="E418" s="4">
        <v>3.8894526362419127E-3</v>
      </c>
      <c r="F418" s="4">
        <v>347986.45757193281</v>
      </c>
      <c r="G418" s="4">
        <v>347986.46146138542</v>
      </c>
      <c r="H418" s="5">
        <f t="shared" si="4"/>
        <v>0</v>
      </c>
      <c r="I418" t="s">
        <v>125</v>
      </c>
      <c r="J418" t="s">
        <v>125</v>
      </c>
      <c r="K418" s="5">
        <f>20 / 86400</f>
        <v>2.3148148148148149E-4</v>
      </c>
      <c r="L418" s="5">
        <f>17 / 86400</f>
        <v>1.9675925925925926E-4</v>
      </c>
    </row>
    <row r="419" spans="1:12" x14ac:dyDescent="0.25">
      <c r="A419" s="3">
        <v>45701.671458333338</v>
      </c>
      <c r="B419" t="s">
        <v>341</v>
      </c>
      <c r="C419" s="3">
        <v>45701.673333333332</v>
      </c>
      <c r="D419" t="s">
        <v>328</v>
      </c>
      <c r="E419" s="4">
        <v>0.57681241762638091</v>
      </c>
      <c r="F419" s="4">
        <v>347986.46500133513</v>
      </c>
      <c r="G419" s="4">
        <v>347987.04181375279</v>
      </c>
      <c r="H419" s="5">
        <f t="shared" si="4"/>
        <v>0</v>
      </c>
      <c r="I419" t="s">
        <v>130</v>
      </c>
      <c r="J419" t="s">
        <v>58</v>
      </c>
      <c r="K419" s="5">
        <f>162 / 86400</f>
        <v>1.8749999999999999E-3</v>
      </c>
      <c r="L419" s="5">
        <f>3 / 86400</f>
        <v>3.4722222222222222E-5</v>
      </c>
    </row>
    <row r="420" spans="1:12" x14ac:dyDescent="0.25">
      <c r="A420" s="3">
        <v>45701.673368055555</v>
      </c>
      <c r="B420" t="s">
        <v>246</v>
      </c>
      <c r="C420" s="3">
        <v>45701.67359953704</v>
      </c>
      <c r="D420" t="s">
        <v>328</v>
      </c>
      <c r="E420" s="4">
        <v>2.1804898798465727E-2</v>
      </c>
      <c r="F420" s="4">
        <v>347987.04560932709</v>
      </c>
      <c r="G420" s="4">
        <v>347987.06741422589</v>
      </c>
      <c r="H420" s="5">
        <f t="shared" si="4"/>
        <v>0</v>
      </c>
      <c r="I420" t="s">
        <v>37</v>
      </c>
      <c r="J420" t="s">
        <v>177</v>
      </c>
      <c r="K420" s="5">
        <f>20 / 86400</f>
        <v>2.3148148148148149E-4</v>
      </c>
      <c r="L420" s="5">
        <f>56 / 86400</f>
        <v>6.4814814814814813E-4</v>
      </c>
    </row>
    <row r="421" spans="1:12" x14ac:dyDescent="0.25">
      <c r="A421" s="3">
        <v>45701.674247685187</v>
      </c>
      <c r="B421" t="s">
        <v>328</v>
      </c>
      <c r="C421" s="3">
        <v>45701.675486111111</v>
      </c>
      <c r="D421" t="s">
        <v>342</v>
      </c>
      <c r="E421" s="4">
        <v>0.34419577723741529</v>
      </c>
      <c r="F421" s="4">
        <v>347987.07556998491</v>
      </c>
      <c r="G421" s="4">
        <v>347987.41976576217</v>
      </c>
      <c r="H421" s="5">
        <f t="shared" si="4"/>
        <v>0</v>
      </c>
      <c r="I421" t="s">
        <v>127</v>
      </c>
      <c r="J421" t="s">
        <v>120</v>
      </c>
      <c r="K421" s="5">
        <f>107 / 86400</f>
        <v>1.238425925925926E-3</v>
      </c>
      <c r="L421" s="5">
        <f>20 / 86400</f>
        <v>2.3148148148148149E-4</v>
      </c>
    </row>
    <row r="422" spans="1:12" x14ac:dyDescent="0.25">
      <c r="A422" s="3">
        <v>45701.675717592589</v>
      </c>
      <c r="B422" t="s">
        <v>325</v>
      </c>
      <c r="C422" s="3">
        <v>45701.676076388889</v>
      </c>
      <c r="D422" t="s">
        <v>343</v>
      </c>
      <c r="E422" s="4">
        <v>0.12710687446594238</v>
      </c>
      <c r="F422" s="4">
        <v>347987.76676293637</v>
      </c>
      <c r="G422" s="4">
        <v>347987.8938698108</v>
      </c>
      <c r="H422" s="5">
        <f t="shared" si="4"/>
        <v>0</v>
      </c>
      <c r="I422" t="s">
        <v>152</v>
      </c>
      <c r="J422" t="s">
        <v>29</v>
      </c>
      <c r="K422" s="5">
        <f>31 / 86400</f>
        <v>3.5879629629629629E-4</v>
      </c>
      <c r="L422" s="5">
        <f>20 / 86400</f>
        <v>2.3148148148148149E-4</v>
      </c>
    </row>
    <row r="423" spans="1:12" x14ac:dyDescent="0.25">
      <c r="A423" s="3">
        <v>45701.676307870366</v>
      </c>
      <c r="B423" t="s">
        <v>343</v>
      </c>
      <c r="C423" s="3">
        <v>45701.676770833335</v>
      </c>
      <c r="D423" t="s">
        <v>344</v>
      </c>
      <c r="E423" s="4">
        <v>7.093715590238571E-2</v>
      </c>
      <c r="F423" s="4">
        <v>347987.90965013317</v>
      </c>
      <c r="G423" s="4">
        <v>347987.98058728909</v>
      </c>
      <c r="H423" s="5">
        <f t="shared" si="4"/>
        <v>0</v>
      </c>
      <c r="I423" t="s">
        <v>124</v>
      </c>
      <c r="J423" t="s">
        <v>156</v>
      </c>
      <c r="K423" s="5">
        <f>40 / 86400</f>
        <v>4.6296296296296298E-4</v>
      </c>
      <c r="L423" s="5">
        <f>40 / 86400</f>
        <v>4.6296296296296298E-4</v>
      </c>
    </row>
    <row r="424" spans="1:12" x14ac:dyDescent="0.25">
      <c r="A424" s="3">
        <v>45701.677233796298</v>
      </c>
      <c r="B424" t="s">
        <v>263</v>
      </c>
      <c r="C424" s="3">
        <v>45701.67805555556</v>
      </c>
      <c r="D424" t="s">
        <v>324</v>
      </c>
      <c r="E424" s="4">
        <v>0.28607195460796359</v>
      </c>
      <c r="F424" s="4">
        <v>347987.99283626606</v>
      </c>
      <c r="G424" s="4">
        <v>347988.27890822064</v>
      </c>
      <c r="H424" s="5">
        <f t="shared" si="4"/>
        <v>0</v>
      </c>
      <c r="I424" t="s">
        <v>29</v>
      </c>
      <c r="J424" t="s">
        <v>29</v>
      </c>
      <c r="K424" s="5">
        <f>71 / 86400</f>
        <v>8.2175925925925927E-4</v>
      </c>
      <c r="L424" s="5">
        <f>20 / 86400</f>
        <v>2.3148148148148149E-4</v>
      </c>
    </row>
    <row r="425" spans="1:12" x14ac:dyDescent="0.25">
      <c r="A425" s="3">
        <v>45701.678287037037</v>
      </c>
      <c r="B425" t="s">
        <v>325</v>
      </c>
      <c r="C425" s="3">
        <v>45701.678576388891</v>
      </c>
      <c r="D425" t="s">
        <v>264</v>
      </c>
      <c r="E425" s="4">
        <v>8.964980113506317E-2</v>
      </c>
      <c r="F425" s="4">
        <v>347988.3195469135</v>
      </c>
      <c r="G425" s="4">
        <v>347988.40919671464</v>
      </c>
      <c r="H425" s="5">
        <f t="shared" si="4"/>
        <v>0</v>
      </c>
      <c r="I425" t="s">
        <v>156</v>
      </c>
      <c r="J425" t="s">
        <v>58</v>
      </c>
      <c r="K425" s="5">
        <f>25 / 86400</f>
        <v>2.8935185185185184E-4</v>
      </c>
      <c r="L425" s="5">
        <f>40 / 86400</f>
        <v>4.6296296296296298E-4</v>
      </c>
    </row>
    <row r="426" spans="1:12" x14ac:dyDescent="0.25">
      <c r="A426" s="3">
        <v>45701.679039351853</v>
      </c>
      <c r="B426" t="s">
        <v>264</v>
      </c>
      <c r="C426" s="3">
        <v>45701.679270833338</v>
      </c>
      <c r="D426" t="s">
        <v>345</v>
      </c>
      <c r="E426" s="4">
        <v>1.261907309293747E-2</v>
      </c>
      <c r="F426" s="4">
        <v>347988.44470910518</v>
      </c>
      <c r="G426" s="4">
        <v>347988.45732817828</v>
      </c>
      <c r="H426" s="5">
        <f t="shared" si="4"/>
        <v>0</v>
      </c>
      <c r="I426" t="s">
        <v>124</v>
      </c>
      <c r="J426" t="s">
        <v>110</v>
      </c>
      <c r="K426" s="5">
        <f>20 / 86400</f>
        <v>2.3148148148148149E-4</v>
      </c>
      <c r="L426" s="5">
        <f>6 / 86400</f>
        <v>6.9444444444444444E-5</v>
      </c>
    </row>
    <row r="427" spans="1:12" x14ac:dyDescent="0.25">
      <c r="A427" s="3">
        <v>45701.679340277777</v>
      </c>
      <c r="B427" t="s">
        <v>345</v>
      </c>
      <c r="C427" s="3">
        <v>45701.680208333331</v>
      </c>
      <c r="D427" t="s">
        <v>346</v>
      </c>
      <c r="E427" s="4">
        <v>0.4054426854252815</v>
      </c>
      <c r="F427" s="4">
        <v>347988.46213066118</v>
      </c>
      <c r="G427" s="4">
        <v>347988.86757334659</v>
      </c>
      <c r="H427" s="5">
        <f t="shared" si="4"/>
        <v>0</v>
      </c>
      <c r="I427" t="s">
        <v>127</v>
      </c>
      <c r="J427" t="s">
        <v>23</v>
      </c>
      <c r="K427" s="5">
        <f>75 / 86400</f>
        <v>8.6805555555555551E-4</v>
      </c>
      <c r="L427" s="5">
        <f>22 / 86400</f>
        <v>2.5462962962962961E-4</v>
      </c>
    </row>
    <row r="428" spans="1:12" x14ac:dyDescent="0.25">
      <c r="A428" s="3">
        <v>45701.680462962962</v>
      </c>
      <c r="B428" t="s">
        <v>346</v>
      </c>
      <c r="C428" s="3">
        <v>45701.680925925924</v>
      </c>
      <c r="D428" t="s">
        <v>347</v>
      </c>
      <c r="E428" s="4">
        <v>0.51595779091119764</v>
      </c>
      <c r="F428" s="4">
        <v>347988.86757334659</v>
      </c>
      <c r="G428" s="4">
        <v>347989.38353113754</v>
      </c>
      <c r="H428" s="5">
        <f t="shared" si="4"/>
        <v>0</v>
      </c>
      <c r="I428" t="s">
        <v>151</v>
      </c>
      <c r="J428" t="s">
        <v>36</v>
      </c>
      <c r="K428" s="5">
        <f>40 / 86400</f>
        <v>4.6296296296296298E-4</v>
      </c>
      <c r="L428" s="5">
        <f>7 / 86400</f>
        <v>8.1018518518518516E-5</v>
      </c>
    </row>
    <row r="429" spans="1:12" x14ac:dyDescent="0.25">
      <c r="A429" s="3">
        <v>45701.681006944447</v>
      </c>
      <c r="B429" t="s">
        <v>347</v>
      </c>
      <c r="C429" s="3">
        <v>45701.681701388894</v>
      </c>
      <c r="D429" t="s">
        <v>321</v>
      </c>
      <c r="E429" s="4">
        <v>0.46136206579208372</v>
      </c>
      <c r="F429" s="4">
        <v>347989.38567551319</v>
      </c>
      <c r="G429" s="4">
        <v>347989.84703757899</v>
      </c>
      <c r="H429" s="5">
        <f t="shared" si="4"/>
        <v>0</v>
      </c>
      <c r="I429" t="s">
        <v>127</v>
      </c>
      <c r="J429" t="s">
        <v>145</v>
      </c>
      <c r="K429" s="5">
        <f>60 / 86400</f>
        <v>6.9444444444444447E-4</v>
      </c>
      <c r="L429" s="5">
        <f>13 / 86400</f>
        <v>1.5046296296296297E-4</v>
      </c>
    </row>
    <row r="430" spans="1:12" x14ac:dyDescent="0.25">
      <c r="A430" s="3">
        <v>45701.681851851856</v>
      </c>
      <c r="B430" t="s">
        <v>321</v>
      </c>
      <c r="C430" s="3">
        <v>45701.682546296295</v>
      </c>
      <c r="D430" t="s">
        <v>348</v>
      </c>
      <c r="E430" s="4">
        <v>0.35076866286993025</v>
      </c>
      <c r="F430" s="4">
        <v>347989.85964611138</v>
      </c>
      <c r="G430" s="4">
        <v>347990.21041477425</v>
      </c>
      <c r="H430" s="5">
        <f t="shared" si="4"/>
        <v>0</v>
      </c>
      <c r="I430" t="s">
        <v>219</v>
      </c>
      <c r="J430" t="s">
        <v>74</v>
      </c>
      <c r="K430" s="5">
        <f>60 / 86400</f>
        <v>6.9444444444444447E-4</v>
      </c>
      <c r="L430" s="5">
        <f>20 / 86400</f>
        <v>2.3148148148148149E-4</v>
      </c>
    </row>
    <row r="431" spans="1:12" x14ac:dyDescent="0.25">
      <c r="A431" s="3">
        <v>45701.68277777778</v>
      </c>
      <c r="B431" t="s">
        <v>320</v>
      </c>
      <c r="C431" s="3">
        <v>45701.683009259257</v>
      </c>
      <c r="D431" t="s">
        <v>320</v>
      </c>
      <c r="E431" s="4">
        <v>0</v>
      </c>
      <c r="F431" s="4">
        <v>347990.29773899302</v>
      </c>
      <c r="G431" s="4">
        <v>347990.29773899302</v>
      </c>
      <c r="H431" s="5">
        <f t="shared" si="4"/>
        <v>0</v>
      </c>
      <c r="I431" t="s">
        <v>198</v>
      </c>
      <c r="J431" t="s">
        <v>91</v>
      </c>
      <c r="K431" s="5">
        <f>20 / 86400</f>
        <v>2.3148148148148149E-4</v>
      </c>
      <c r="L431" s="5">
        <f>20 / 86400</f>
        <v>2.3148148148148149E-4</v>
      </c>
    </row>
    <row r="432" spans="1:12" x14ac:dyDescent="0.25">
      <c r="A432" s="3">
        <v>45701.683240740742</v>
      </c>
      <c r="B432" t="s">
        <v>349</v>
      </c>
      <c r="C432" s="3">
        <v>45701.683715277773</v>
      </c>
      <c r="D432" t="s">
        <v>240</v>
      </c>
      <c r="E432" s="4">
        <v>9.4384162187576295E-2</v>
      </c>
      <c r="F432" s="4">
        <v>347990.51677724556</v>
      </c>
      <c r="G432" s="4">
        <v>347990.61116140778</v>
      </c>
      <c r="H432" s="5">
        <f t="shared" si="4"/>
        <v>0</v>
      </c>
      <c r="I432" t="s">
        <v>202</v>
      </c>
      <c r="J432" t="s">
        <v>90</v>
      </c>
      <c r="K432" s="5">
        <f>41 / 86400</f>
        <v>4.7453703703703704E-4</v>
      </c>
      <c r="L432" s="5">
        <f>47 / 86400</f>
        <v>5.4398148148148144E-4</v>
      </c>
    </row>
    <row r="433" spans="1:12" x14ac:dyDescent="0.25">
      <c r="A433" s="3">
        <v>45701.684259259258</v>
      </c>
      <c r="B433" t="s">
        <v>240</v>
      </c>
      <c r="C433" s="3">
        <v>45701.684942129628</v>
      </c>
      <c r="D433" t="s">
        <v>267</v>
      </c>
      <c r="E433" s="4">
        <v>0.34331056928634646</v>
      </c>
      <c r="F433" s="4">
        <v>347990.62615999166</v>
      </c>
      <c r="G433" s="4">
        <v>347990.96947056096</v>
      </c>
      <c r="H433" s="5">
        <f t="shared" si="4"/>
        <v>0</v>
      </c>
      <c r="I433" t="s">
        <v>143</v>
      </c>
      <c r="J433" t="s">
        <v>74</v>
      </c>
      <c r="K433" s="5">
        <f>59 / 86400</f>
        <v>6.8287037037037036E-4</v>
      </c>
      <c r="L433" s="5">
        <f>20 / 86400</f>
        <v>2.3148148148148149E-4</v>
      </c>
    </row>
    <row r="434" spans="1:12" x14ac:dyDescent="0.25">
      <c r="A434" s="3">
        <v>45701.685173611113</v>
      </c>
      <c r="B434" t="s">
        <v>238</v>
      </c>
      <c r="C434" s="3">
        <v>45701.685636574075</v>
      </c>
      <c r="D434" t="s">
        <v>238</v>
      </c>
      <c r="E434" s="4">
        <v>0.13178649812936782</v>
      </c>
      <c r="F434" s="4">
        <v>347991.25008659402</v>
      </c>
      <c r="G434" s="4">
        <v>347991.38187309215</v>
      </c>
      <c r="H434" s="5">
        <f t="shared" si="4"/>
        <v>0</v>
      </c>
      <c r="I434" t="s">
        <v>294</v>
      </c>
      <c r="J434" t="s">
        <v>120</v>
      </c>
      <c r="K434" s="5">
        <f>40 / 86400</f>
        <v>4.6296296296296298E-4</v>
      </c>
      <c r="L434" s="5">
        <f>20 / 86400</f>
        <v>2.3148148148148149E-4</v>
      </c>
    </row>
    <row r="435" spans="1:12" x14ac:dyDescent="0.25">
      <c r="A435" s="3">
        <v>45701.68586805556</v>
      </c>
      <c r="B435" t="s">
        <v>238</v>
      </c>
      <c r="C435" s="3">
        <v>45701.686331018514</v>
      </c>
      <c r="D435" t="s">
        <v>238</v>
      </c>
      <c r="E435" s="4">
        <v>2.0781991243362427E-2</v>
      </c>
      <c r="F435" s="4">
        <v>347991.39276310138</v>
      </c>
      <c r="G435" s="4">
        <v>347991.41354509263</v>
      </c>
      <c r="H435" s="5">
        <f t="shared" si="4"/>
        <v>0</v>
      </c>
      <c r="I435" t="s">
        <v>177</v>
      </c>
      <c r="J435" t="s">
        <v>110</v>
      </c>
      <c r="K435" s="5">
        <f>40 / 86400</f>
        <v>4.6296296296296298E-4</v>
      </c>
      <c r="L435" s="5">
        <f>8 / 86400</f>
        <v>9.2592592592592588E-5</v>
      </c>
    </row>
    <row r="436" spans="1:12" x14ac:dyDescent="0.25">
      <c r="A436" s="3">
        <v>45701.686423611114</v>
      </c>
      <c r="B436" t="s">
        <v>238</v>
      </c>
      <c r="C436" s="3">
        <v>45701.689004629632</v>
      </c>
      <c r="D436" t="s">
        <v>270</v>
      </c>
      <c r="E436" s="4">
        <v>0.59162883865833282</v>
      </c>
      <c r="F436" s="4">
        <v>347991.4202222891</v>
      </c>
      <c r="G436" s="4">
        <v>347992.01185112773</v>
      </c>
      <c r="H436" s="5">
        <f t="shared" si="4"/>
        <v>0</v>
      </c>
      <c r="I436" t="s">
        <v>120</v>
      </c>
      <c r="J436" t="s">
        <v>128</v>
      </c>
      <c r="K436" s="5">
        <f>223 / 86400</f>
        <v>2.5810185185185185E-3</v>
      </c>
      <c r="L436" s="5">
        <f>20 / 86400</f>
        <v>2.3148148148148149E-4</v>
      </c>
    </row>
    <row r="437" spans="1:12" x14ac:dyDescent="0.25">
      <c r="A437" s="3">
        <v>45701.689236111109</v>
      </c>
      <c r="B437" t="s">
        <v>270</v>
      </c>
      <c r="C437" s="3">
        <v>45701.689699074079</v>
      </c>
      <c r="D437" t="s">
        <v>270</v>
      </c>
      <c r="E437" s="4">
        <v>2.643845111131668E-2</v>
      </c>
      <c r="F437" s="4">
        <v>347992.13021912461</v>
      </c>
      <c r="G437" s="4">
        <v>347992.15665757575</v>
      </c>
      <c r="H437" s="5">
        <f t="shared" si="4"/>
        <v>0</v>
      </c>
      <c r="I437" t="s">
        <v>20</v>
      </c>
      <c r="J437" t="s">
        <v>110</v>
      </c>
      <c r="K437" s="5">
        <f>40 / 86400</f>
        <v>4.6296296296296298E-4</v>
      </c>
      <c r="L437" s="5">
        <f>80 / 86400</f>
        <v>9.2592592592592596E-4</v>
      </c>
    </row>
    <row r="438" spans="1:12" x14ac:dyDescent="0.25">
      <c r="A438" s="3">
        <v>45701.690625000003</v>
      </c>
      <c r="B438" t="s">
        <v>270</v>
      </c>
      <c r="C438" s="3">
        <v>45701.69085648148</v>
      </c>
      <c r="D438" t="s">
        <v>270</v>
      </c>
      <c r="E438" s="4">
        <v>5.0506300926208498E-3</v>
      </c>
      <c r="F438" s="4">
        <v>347992.18010581256</v>
      </c>
      <c r="G438" s="4">
        <v>347992.18515644263</v>
      </c>
      <c r="H438" s="5">
        <f t="shared" si="4"/>
        <v>0</v>
      </c>
      <c r="I438" t="s">
        <v>125</v>
      </c>
      <c r="J438" t="s">
        <v>125</v>
      </c>
      <c r="K438" s="5">
        <f>20 / 86400</f>
        <v>2.3148148148148149E-4</v>
      </c>
      <c r="L438" s="5">
        <f>40 / 86400</f>
        <v>4.6296296296296298E-4</v>
      </c>
    </row>
    <row r="439" spans="1:12" x14ac:dyDescent="0.25">
      <c r="A439" s="3">
        <v>45701.69131944445</v>
      </c>
      <c r="B439" t="s">
        <v>236</v>
      </c>
      <c r="C439" s="3">
        <v>45701.693043981482</v>
      </c>
      <c r="D439" t="s">
        <v>273</v>
      </c>
      <c r="E439" s="4">
        <v>0.27376133900880811</v>
      </c>
      <c r="F439" s="4">
        <v>347992.20980248629</v>
      </c>
      <c r="G439" s="4">
        <v>347992.48356382531</v>
      </c>
      <c r="H439" s="5">
        <f t="shared" si="4"/>
        <v>0</v>
      </c>
      <c r="I439" t="s">
        <v>20</v>
      </c>
      <c r="J439" t="s">
        <v>161</v>
      </c>
      <c r="K439" s="5">
        <f>149 / 86400</f>
        <v>1.724537037037037E-3</v>
      </c>
      <c r="L439" s="5">
        <f>3 / 86400</f>
        <v>3.4722222222222222E-5</v>
      </c>
    </row>
    <row r="440" spans="1:12" x14ac:dyDescent="0.25">
      <c r="A440" s="3">
        <v>45701.693078703705</v>
      </c>
      <c r="B440" t="s">
        <v>273</v>
      </c>
      <c r="C440" s="3">
        <v>45701.69331018519</v>
      </c>
      <c r="D440" t="s">
        <v>273</v>
      </c>
      <c r="E440" s="4">
        <v>3.1319347441196445E-2</v>
      </c>
      <c r="F440" s="4">
        <v>347992.48568585981</v>
      </c>
      <c r="G440" s="4">
        <v>347992.51700520725</v>
      </c>
      <c r="H440" s="5">
        <f t="shared" si="4"/>
        <v>0</v>
      </c>
      <c r="I440" t="s">
        <v>156</v>
      </c>
      <c r="J440" t="s">
        <v>156</v>
      </c>
      <c r="K440" s="5">
        <f>20 / 86400</f>
        <v>2.3148148148148149E-4</v>
      </c>
      <c r="L440" s="5">
        <f>4 / 86400</f>
        <v>4.6296296296296294E-5</v>
      </c>
    </row>
    <row r="441" spans="1:12" x14ac:dyDescent="0.25">
      <c r="A441" s="3">
        <v>45701.693356481483</v>
      </c>
      <c r="B441" t="s">
        <v>273</v>
      </c>
      <c r="C441" s="3">
        <v>45701.694849537038</v>
      </c>
      <c r="D441" t="s">
        <v>102</v>
      </c>
      <c r="E441" s="4">
        <v>0.40438930350542068</v>
      </c>
      <c r="F441" s="4">
        <v>347992.52046456287</v>
      </c>
      <c r="G441" s="4">
        <v>347992.9248538664</v>
      </c>
      <c r="H441" s="5">
        <f t="shared" si="4"/>
        <v>0</v>
      </c>
      <c r="I441" t="s">
        <v>34</v>
      </c>
      <c r="J441" t="s">
        <v>149</v>
      </c>
      <c r="K441" s="5">
        <f>129 / 86400</f>
        <v>1.4930555555555556E-3</v>
      </c>
      <c r="L441" s="5">
        <f>20 / 86400</f>
        <v>2.3148148148148149E-4</v>
      </c>
    </row>
    <row r="442" spans="1:12" x14ac:dyDescent="0.25">
      <c r="A442" s="3">
        <v>45701.695081018523</v>
      </c>
      <c r="B442" t="s">
        <v>102</v>
      </c>
      <c r="C442" s="3">
        <v>45701.696469907409</v>
      </c>
      <c r="D442" t="s">
        <v>274</v>
      </c>
      <c r="E442" s="4">
        <v>0.45065118056535719</v>
      </c>
      <c r="F442" s="4">
        <v>347992.93244557979</v>
      </c>
      <c r="G442" s="4">
        <v>347993.38309676031</v>
      </c>
      <c r="H442" s="5">
        <f t="shared" si="4"/>
        <v>0</v>
      </c>
      <c r="I442" t="s">
        <v>34</v>
      </c>
      <c r="J442" t="s">
        <v>43</v>
      </c>
      <c r="K442" s="5">
        <f>120 / 86400</f>
        <v>1.3888888888888889E-3</v>
      </c>
      <c r="L442" s="5">
        <f>12 / 86400</f>
        <v>1.3888888888888889E-4</v>
      </c>
    </row>
    <row r="443" spans="1:12" x14ac:dyDescent="0.25">
      <c r="A443" s="3">
        <v>45701.696608796294</v>
      </c>
      <c r="B443" t="s">
        <v>274</v>
      </c>
      <c r="C443" s="3">
        <v>45701.699467592596</v>
      </c>
      <c r="D443" t="s">
        <v>350</v>
      </c>
      <c r="E443" s="4">
        <v>1.7717947465777397</v>
      </c>
      <c r="F443" s="4">
        <v>347993.39508575358</v>
      </c>
      <c r="G443" s="4">
        <v>347995.16688050015</v>
      </c>
      <c r="H443" s="5">
        <f t="shared" si="4"/>
        <v>0</v>
      </c>
      <c r="I443" t="s">
        <v>176</v>
      </c>
      <c r="J443" t="s">
        <v>138</v>
      </c>
      <c r="K443" s="5">
        <f>247 / 86400</f>
        <v>2.8587962962962963E-3</v>
      </c>
      <c r="L443" s="5">
        <f>40 / 86400</f>
        <v>4.6296296296296298E-4</v>
      </c>
    </row>
    <row r="444" spans="1:12" x14ac:dyDescent="0.25">
      <c r="A444" s="3">
        <v>45701.699930555551</v>
      </c>
      <c r="B444" t="s">
        <v>351</v>
      </c>
      <c r="C444" s="3">
        <v>45701.701550925922</v>
      </c>
      <c r="D444" t="s">
        <v>278</v>
      </c>
      <c r="E444" s="4">
        <v>1.1478017582893372</v>
      </c>
      <c r="F444" s="4">
        <v>347995.31088037748</v>
      </c>
      <c r="G444" s="4">
        <v>347996.45868213574</v>
      </c>
      <c r="H444" s="5">
        <f t="shared" si="4"/>
        <v>0</v>
      </c>
      <c r="I444" t="s">
        <v>173</v>
      </c>
      <c r="J444" t="s">
        <v>71</v>
      </c>
      <c r="K444" s="5">
        <f>140 / 86400</f>
        <v>1.6203703703703703E-3</v>
      </c>
      <c r="L444" s="5">
        <f>40 / 86400</f>
        <v>4.6296296296296298E-4</v>
      </c>
    </row>
    <row r="445" spans="1:12" x14ac:dyDescent="0.25">
      <c r="A445" s="3">
        <v>45701.702013888891</v>
      </c>
      <c r="B445" t="s">
        <v>185</v>
      </c>
      <c r="C445" s="3">
        <v>45701.703946759255</v>
      </c>
      <c r="D445" t="s">
        <v>119</v>
      </c>
      <c r="E445" s="4">
        <v>0.77013259923458099</v>
      </c>
      <c r="F445" s="4">
        <v>347996.46379468043</v>
      </c>
      <c r="G445" s="4">
        <v>347997.23392727965</v>
      </c>
      <c r="H445" s="5">
        <f t="shared" si="4"/>
        <v>0</v>
      </c>
      <c r="I445" t="s">
        <v>231</v>
      </c>
      <c r="J445" t="s">
        <v>20</v>
      </c>
      <c r="K445" s="5">
        <f>167 / 86400</f>
        <v>1.9328703703703704E-3</v>
      </c>
      <c r="L445" s="5">
        <f>20 / 86400</f>
        <v>2.3148148148148149E-4</v>
      </c>
    </row>
    <row r="446" spans="1:12" x14ac:dyDescent="0.25">
      <c r="A446" s="3">
        <v>45701.70417824074</v>
      </c>
      <c r="B446" t="s">
        <v>223</v>
      </c>
      <c r="C446" s="3">
        <v>45701.705104166671</v>
      </c>
      <c r="D446" t="s">
        <v>352</v>
      </c>
      <c r="E446" s="4">
        <v>0.25577891659736635</v>
      </c>
      <c r="F446" s="4">
        <v>347997.26779208909</v>
      </c>
      <c r="G446" s="4">
        <v>347997.52357100567</v>
      </c>
      <c r="H446" s="5">
        <f t="shared" si="4"/>
        <v>0</v>
      </c>
      <c r="I446" t="s">
        <v>51</v>
      </c>
      <c r="J446" t="s">
        <v>120</v>
      </c>
      <c r="K446" s="5">
        <f>80 / 86400</f>
        <v>9.2592592592592596E-4</v>
      </c>
      <c r="L446" s="5">
        <f>20 / 86400</f>
        <v>2.3148148148148149E-4</v>
      </c>
    </row>
    <row r="447" spans="1:12" x14ac:dyDescent="0.25">
      <c r="A447" s="3">
        <v>45701.705335648148</v>
      </c>
      <c r="B447" t="s">
        <v>352</v>
      </c>
      <c r="C447" s="3">
        <v>45701.705567129626</v>
      </c>
      <c r="D447" t="s">
        <v>352</v>
      </c>
      <c r="E447" s="4">
        <v>0</v>
      </c>
      <c r="F447" s="4">
        <v>347997.54363602935</v>
      </c>
      <c r="G447" s="4">
        <v>347997.54363602935</v>
      </c>
      <c r="H447" s="5">
        <f t="shared" si="4"/>
        <v>0</v>
      </c>
      <c r="I447" t="s">
        <v>29</v>
      </c>
      <c r="J447" t="s">
        <v>91</v>
      </c>
      <c r="K447" s="5">
        <f>20 / 86400</f>
        <v>2.3148148148148149E-4</v>
      </c>
      <c r="L447" s="5">
        <f>20 / 86400</f>
        <v>2.3148148148148149E-4</v>
      </c>
    </row>
    <row r="448" spans="1:12" x14ac:dyDescent="0.25">
      <c r="A448" s="3">
        <v>45701.70579861111</v>
      </c>
      <c r="B448" t="s">
        <v>279</v>
      </c>
      <c r="C448" s="3">
        <v>45701.707418981481</v>
      </c>
      <c r="D448" t="s">
        <v>279</v>
      </c>
      <c r="E448" s="4">
        <v>0.53538449102640151</v>
      </c>
      <c r="F448" s="4">
        <v>347997.6310338566</v>
      </c>
      <c r="G448" s="4">
        <v>347998.16641834762</v>
      </c>
      <c r="H448" s="5">
        <f t="shared" si="4"/>
        <v>0</v>
      </c>
      <c r="I448" t="s">
        <v>155</v>
      </c>
      <c r="J448" t="s">
        <v>43</v>
      </c>
      <c r="K448" s="5">
        <f>140 / 86400</f>
        <v>1.6203703703703703E-3</v>
      </c>
      <c r="L448" s="5">
        <f>44 / 86400</f>
        <v>5.0925925925925921E-4</v>
      </c>
    </row>
    <row r="449" spans="1:12" x14ac:dyDescent="0.25">
      <c r="A449" s="3">
        <v>45701.707928240736</v>
      </c>
      <c r="B449" t="s">
        <v>279</v>
      </c>
      <c r="C449" s="3">
        <v>45701.70815972222</v>
      </c>
      <c r="D449" t="s">
        <v>279</v>
      </c>
      <c r="E449" s="4">
        <v>1.4171682655811309E-2</v>
      </c>
      <c r="F449" s="4">
        <v>347998.17692660779</v>
      </c>
      <c r="G449" s="4">
        <v>347998.19109829044</v>
      </c>
      <c r="H449" s="5">
        <f t="shared" si="4"/>
        <v>0</v>
      </c>
      <c r="I449" t="s">
        <v>37</v>
      </c>
      <c r="J449" t="s">
        <v>124</v>
      </c>
      <c r="K449" s="5">
        <f>20 / 86400</f>
        <v>2.3148148148148149E-4</v>
      </c>
      <c r="L449" s="5">
        <f>40 / 86400</f>
        <v>4.6296296296296298E-4</v>
      </c>
    </row>
    <row r="450" spans="1:12" x14ac:dyDescent="0.25">
      <c r="A450" s="3">
        <v>45701.708622685182</v>
      </c>
      <c r="B450" t="s">
        <v>353</v>
      </c>
      <c r="C450" s="3">
        <v>45701.709548611107</v>
      </c>
      <c r="D450" t="s">
        <v>279</v>
      </c>
      <c r="E450" s="4">
        <v>0.34894044572114946</v>
      </c>
      <c r="F450" s="4">
        <v>347998.22900047805</v>
      </c>
      <c r="G450" s="4">
        <v>347998.57794092374</v>
      </c>
      <c r="H450" s="5">
        <f t="shared" si="4"/>
        <v>0</v>
      </c>
      <c r="I450" t="s">
        <v>294</v>
      </c>
      <c r="J450" t="s">
        <v>51</v>
      </c>
      <c r="K450" s="5">
        <f>80 / 86400</f>
        <v>9.2592592592592596E-4</v>
      </c>
      <c r="L450" s="5">
        <f>20 / 86400</f>
        <v>2.3148148148148149E-4</v>
      </c>
    </row>
    <row r="451" spans="1:12" x14ac:dyDescent="0.25">
      <c r="A451" s="3">
        <v>45701.709780092591</v>
      </c>
      <c r="B451" t="s">
        <v>279</v>
      </c>
      <c r="C451" s="3">
        <v>45701.713020833333</v>
      </c>
      <c r="D451" t="s">
        <v>281</v>
      </c>
      <c r="E451" s="4">
        <v>1.6946343516707421</v>
      </c>
      <c r="F451" s="4">
        <v>347998.59983473498</v>
      </c>
      <c r="G451" s="4">
        <v>348000.29446908663</v>
      </c>
      <c r="H451" s="5">
        <f t="shared" si="4"/>
        <v>0</v>
      </c>
      <c r="I451" t="s">
        <v>231</v>
      </c>
      <c r="J451" t="s">
        <v>132</v>
      </c>
      <c r="K451" s="5">
        <f>280 / 86400</f>
        <v>3.2407407407407406E-3</v>
      </c>
      <c r="L451" s="5">
        <f>20 / 86400</f>
        <v>2.3148148148148149E-4</v>
      </c>
    </row>
    <row r="452" spans="1:12" x14ac:dyDescent="0.25">
      <c r="A452" s="3">
        <v>45701.713252314818</v>
      </c>
      <c r="B452" t="s">
        <v>354</v>
      </c>
      <c r="C452" s="3">
        <v>45701.713483796295</v>
      </c>
      <c r="D452" t="s">
        <v>354</v>
      </c>
      <c r="E452" s="4">
        <v>4.4828819632530209E-3</v>
      </c>
      <c r="F452" s="4">
        <v>348000.57487889775</v>
      </c>
      <c r="G452" s="4">
        <v>348000.57936177967</v>
      </c>
      <c r="H452" s="5">
        <f t="shared" si="4"/>
        <v>0</v>
      </c>
      <c r="I452" t="s">
        <v>125</v>
      </c>
      <c r="J452" t="s">
        <v>125</v>
      </c>
      <c r="K452" s="5">
        <f>20 / 86400</f>
        <v>2.3148148148148149E-4</v>
      </c>
      <c r="L452" s="5">
        <f>56 / 86400</f>
        <v>6.4814814814814813E-4</v>
      </c>
    </row>
    <row r="453" spans="1:12" x14ac:dyDescent="0.25">
      <c r="A453" s="3">
        <v>45701.714131944449</v>
      </c>
      <c r="B453" t="s">
        <v>355</v>
      </c>
      <c r="C453" s="3">
        <v>45701.716215277775</v>
      </c>
      <c r="D453" t="s">
        <v>187</v>
      </c>
      <c r="E453" s="4">
        <v>1.119152113378048</v>
      </c>
      <c r="F453" s="4">
        <v>348000.60164813016</v>
      </c>
      <c r="G453" s="4">
        <v>348001.72080024355</v>
      </c>
      <c r="H453" s="5">
        <f t="shared" si="4"/>
        <v>0</v>
      </c>
      <c r="I453" t="s">
        <v>182</v>
      </c>
      <c r="J453" t="s">
        <v>132</v>
      </c>
      <c r="K453" s="5">
        <f>180 / 86400</f>
        <v>2.0833333333333333E-3</v>
      </c>
      <c r="L453" s="5">
        <f>20 / 86400</f>
        <v>2.3148148148148149E-4</v>
      </c>
    </row>
    <row r="454" spans="1:12" x14ac:dyDescent="0.25">
      <c r="A454" s="3">
        <v>45701.716446759259</v>
      </c>
      <c r="B454" t="s">
        <v>187</v>
      </c>
      <c r="C454" s="3">
        <v>45701.717685185184</v>
      </c>
      <c r="D454" t="s">
        <v>285</v>
      </c>
      <c r="E454" s="4">
        <v>0.53274059933424001</v>
      </c>
      <c r="F454" s="4">
        <v>348001.76691872382</v>
      </c>
      <c r="G454" s="4">
        <v>348002.29965932318</v>
      </c>
      <c r="H454" s="5">
        <f t="shared" si="4"/>
        <v>0</v>
      </c>
      <c r="I454" t="s">
        <v>162</v>
      </c>
      <c r="J454" t="s">
        <v>76</v>
      </c>
      <c r="K454" s="5">
        <f>107 / 86400</f>
        <v>1.238425925925926E-3</v>
      </c>
      <c r="L454" s="5">
        <f>60 / 86400</f>
        <v>6.9444444444444447E-4</v>
      </c>
    </row>
    <row r="455" spans="1:12" x14ac:dyDescent="0.25">
      <c r="A455" s="3">
        <v>45701.71837962963</v>
      </c>
      <c r="B455" t="s">
        <v>285</v>
      </c>
      <c r="C455" s="3">
        <v>45701.718842592592</v>
      </c>
      <c r="D455" t="s">
        <v>285</v>
      </c>
      <c r="E455" s="4">
        <v>7.0978231549262999E-2</v>
      </c>
      <c r="F455" s="4">
        <v>348002.31415302691</v>
      </c>
      <c r="G455" s="4">
        <v>348002.3851312584</v>
      </c>
      <c r="H455" s="5">
        <f t="shared" si="4"/>
        <v>0</v>
      </c>
      <c r="I455" t="s">
        <v>161</v>
      </c>
      <c r="J455" t="s">
        <v>156</v>
      </c>
      <c r="K455" s="5">
        <f>40 / 86400</f>
        <v>4.6296296296296298E-4</v>
      </c>
      <c r="L455" s="5">
        <f>20 / 86400</f>
        <v>2.3148148148148149E-4</v>
      </c>
    </row>
    <row r="456" spans="1:12" x14ac:dyDescent="0.25">
      <c r="A456" s="3">
        <v>45701.719074074077</v>
      </c>
      <c r="B456" t="s">
        <v>187</v>
      </c>
      <c r="C456" s="3">
        <v>45701.719537037032</v>
      </c>
      <c r="D456" t="s">
        <v>187</v>
      </c>
      <c r="E456" s="4">
        <v>0.10220910167694092</v>
      </c>
      <c r="F456" s="4">
        <v>348002.47078700783</v>
      </c>
      <c r="G456" s="4">
        <v>348002.57299610949</v>
      </c>
      <c r="H456" s="5">
        <f t="shared" si="4"/>
        <v>0</v>
      </c>
      <c r="I456" t="s">
        <v>155</v>
      </c>
      <c r="J456" t="s">
        <v>140</v>
      </c>
      <c r="K456" s="5">
        <f>40 / 86400</f>
        <v>4.6296296296296298E-4</v>
      </c>
      <c r="L456" s="5">
        <f>4 / 86400</f>
        <v>4.6296296296296294E-5</v>
      </c>
    </row>
    <row r="457" spans="1:12" x14ac:dyDescent="0.25">
      <c r="A457" s="3">
        <v>45701.719583333332</v>
      </c>
      <c r="B457" t="s">
        <v>187</v>
      </c>
      <c r="C457" s="3">
        <v>45701.723356481481</v>
      </c>
      <c r="D457" t="s">
        <v>356</v>
      </c>
      <c r="E457" s="4">
        <v>1.3818451583981515</v>
      </c>
      <c r="F457" s="4">
        <v>348002.57651619281</v>
      </c>
      <c r="G457" s="4">
        <v>348003.95836135116</v>
      </c>
      <c r="H457" s="5">
        <f t="shared" si="4"/>
        <v>0</v>
      </c>
      <c r="I457" t="s">
        <v>186</v>
      </c>
      <c r="J457" t="s">
        <v>29</v>
      </c>
      <c r="K457" s="5">
        <f>326 / 86400</f>
        <v>3.7731481481481483E-3</v>
      </c>
      <c r="L457" s="5">
        <f>120 / 86400</f>
        <v>1.3888888888888889E-3</v>
      </c>
    </row>
    <row r="458" spans="1:12" x14ac:dyDescent="0.25">
      <c r="A458" s="3">
        <v>45701.724745370375</v>
      </c>
      <c r="B458" t="s">
        <v>117</v>
      </c>
      <c r="C458" s="3">
        <v>45701.725219907406</v>
      </c>
      <c r="D458" t="s">
        <v>357</v>
      </c>
      <c r="E458" s="4">
        <v>7.5392260134220124E-2</v>
      </c>
      <c r="F458" s="4">
        <v>348004.05189847585</v>
      </c>
      <c r="G458" s="4">
        <v>348004.12729073595</v>
      </c>
      <c r="H458" s="5">
        <f t="shared" si="4"/>
        <v>0</v>
      </c>
      <c r="I458" t="s">
        <v>128</v>
      </c>
      <c r="J458" t="s">
        <v>161</v>
      </c>
      <c r="K458" s="5">
        <f>41 / 86400</f>
        <v>4.7453703703703704E-4</v>
      </c>
      <c r="L458" s="5">
        <f>36 / 86400</f>
        <v>4.1666666666666669E-4</v>
      </c>
    </row>
    <row r="459" spans="1:12" x14ac:dyDescent="0.25">
      <c r="A459" s="3">
        <v>45701.725636574076</v>
      </c>
      <c r="B459" t="s">
        <v>358</v>
      </c>
      <c r="C459" s="3">
        <v>45701.726319444446</v>
      </c>
      <c r="D459" t="s">
        <v>359</v>
      </c>
      <c r="E459" s="4">
        <v>0.18791826105117798</v>
      </c>
      <c r="F459" s="4">
        <v>348004.14079363324</v>
      </c>
      <c r="G459" s="4">
        <v>348004.32871189428</v>
      </c>
      <c r="H459" s="5">
        <f t="shared" si="4"/>
        <v>0</v>
      </c>
      <c r="I459" t="s">
        <v>51</v>
      </c>
      <c r="J459" t="s">
        <v>149</v>
      </c>
      <c r="K459" s="5">
        <f>59 / 86400</f>
        <v>6.8287037037037036E-4</v>
      </c>
      <c r="L459" s="5">
        <f>40 / 86400</f>
        <v>4.6296296296296298E-4</v>
      </c>
    </row>
    <row r="460" spans="1:12" x14ac:dyDescent="0.25">
      <c r="A460" s="3">
        <v>45701.726782407408</v>
      </c>
      <c r="B460" t="s">
        <v>360</v>
      </c>
      <c r="C460" s="3">
        <v>45701.729097222225</v>
      </c>
      <c r="D460" t="s">
        <v>83</v>
      </c>
      <c r="E460" s="4">
        <v>0.96575840854644779</v>
      </c>
      <c r="F460" s="4">
        <v>348004.45779313176</v>
      </c>
      <c r="G460" s="4">
        <v>348005.4235515403</v>
      </c>
      <c r="H460" s="5">
        <f t="shared" si="4"/>
        <v>0</v>
      </c>
      <c r="I460" t="s">
        <v>148</v>
      </c>
      <c r="J460" t="s">
        <v>20</v>
      </c>
      <c r="K460" s="5">
        <f>200 / 86400</f>
        <v>2.3148148148148147E-3</v>
      </c>
      <c r="L460" s="5">
        <f>40 / 86400</f>
        <v>4.6296296296296298E-4</v>
      </c>
    </row>
    <row r="461" spans="1:12" x14ac:dyDescent="0.25">
      <c r="A461" s="3">
        <v>45701.72956018518</v>
      </c>
      <c r="B461" t="s">
        <v>83</v>
      </c>
      <c r="C461" s="3">
        <v>45701.731180555551</v>
      </c>
      <c r="D461" t="s">
        <v>83</v>
      </c>
      <c r="E461" s="4">
        <v>0.88643029576539989</v>
      </c>
      <c r="F461" s="4">
        <v>348005.4510330967</v>
      </c>
      <c r="G461" s="4">
        <v>348006.33746339247</v>
      </c>
      <c r="H461" s="5">
        <f t="shared" si="4"/>
        <v>0</v>
      </c>
      <c r="I461" t="s">
        <v>268</v>
      </c>
      <c r="J461" t="s">
        <v>152</v>
      </c>
      <c r="K461" s="5">
        <f>140 / 86400</f>
        <v>1.6203703703703703E-3</v>
      </c>
      <c r="L461" s="5">
        <f>40 / 86400</f>
        <v>4.6296296296296298E-4</v>
      </c>
    </row>
    <row r="462" spans="1:12" x14ac:dyDescent="0.25">
      <c r="A462" s="3">
        <v>45701.73164351852</v>
      </c>
      <c r="B462" t="s">
        <v>83</v>
      </c>
      <c r="C462" s="3">
        <v>45701.732569444444</v>
      </c>
      <c r="D462" t="s">
        <v>83</v>
      </c>
      <c r="E462" s="4">
        <v>0.49190834224224089</v>
      </c>
      <c r="F462" s="4">
        <v>348006.39352044149</v>
      </c>
      <c r="G462" s="4">
        <v>348006.88542878372</v>
      </c>
      <c r="H462" s="5">
        <f t="shared" si="4"/>
        <v>0</v>
      </c>
      <c r="I462" t="s">
        <v>207</v>
      </c>
      <c r="J462" t="s">
        <v>132</v>
      </c>
      <c r="K462" s="5">
        <f>80 / 86400</f>
        <v>9.2592592592592596E-4</v>
      </c>
      <c r="L462" s="5">
        <f>20 / 86400</f>
        <v>2.3148148148148149E-4</v>
      </c>
    </row>
    <row r="463" spans="1:12" x14ac:dyDescent="0.25">
      <c r="A463" s="3">
        <v>45701.732800925922</v>
      </c>
      <c r="B463" t="s">
        <v>83</v>
      </c>
      <c r="C463" s="3">
        <v>45701.733495370368</v>
      </c>
      <c r="D463" t="s">
        <v>72</v>
      </c>
      <c r="E463" s="4">
        <v>3.9368690848350527E-2</v>
      </c>
      <c r="F463" s="4">
        <v>348006.88698105613</v>
      </c>
      <c r="G463" s="4">
        <v>348006.92634974699</v>
      </c>
      <c r="H463" s="5">
        <f t="shared" si="4"/>
        <v>0</v>
      </c>
      <c r="I463" t="s">
        <v>124</v>
      </c>
      <c r="J463" t="s">
        <v>110</v>
      </c>
      <c r="K463" s="5">
        <f>60 / 86400</f>
        <v>6.9444444444444447E-4</v>
      </c>
      <c r="L463" s="5">
        <f>40 / 86400</f>
        <v>4.6296296296296298E-4</v>
      </c>
    </row>
    <row r="464" spans="1:12" x14ac:dyDescent="0.25">
      <c r="A464" s="3">
        <v>45701.733958333338</v>
      </c>
      <c r="B464" t="s">
        <v>72</v>
      </c>
      <c r="C464" s="3">
        <v>45701.734189814815</v>
      </c>
      <c r="D464" t="s">
        <v>72</v>
      </c>
      <c r="E464" s="4">
        <v>7.4882299900054933E-3</v>
      </c>
      <c r="F464" s="4">
        <v>348006.9432500134</v>
      </c>
      <c r="G464" s="4">
        <v>348006.95073824341</v>
      </c>
      <c r="H464" s="5">
        <f t="shared" si="4"/>
        <v>0</v>
      </c>
      <c r="I464" t="s">
        <v>37</v>
      </c>
      <c r="J464" t="s">
        <v>125</v>
      </c>
      <c r="K464" s="5">
        <f>20 / 86400</f>
        <v>2.3148148148148149E-4</v>
      </c>
      <c r="L464" s="5">
        <f>20 / 86400</f>
        <v>2.3148148148148149E-4</v>
      </c>
    </row>
    <row r="465" spans="1:12" x14ac:dyDescent="0.25">
      <c r="A465" s="3">
        <v>45701.734421296293</v>
      </c>
      <c r="B465" t="s">
        <v>72</v>
      </c>
      <c r="C465" s="3">
        <v>45701.736921296295</v>
      </c>
      <c r="D465" t="s">
        <v>72</v>
      </c>
      <c r="E465" s="4">
        <v>0.66549969673156739</v>
      </c>
      <c r="F465" s="4">
        <v>348006.96625907422</v>
      </c>
      <c r="G465" s="4">
        <v>348007.63175877096</v>
      </c>
      <c r="H465" s="5">
        <f t="shared" si="4"/>
        <v>0</v>
      </c>
      <c r="I465" t="s">
        <v>207</v>
      </c>
      <c r="J465" t="s">
        <v>149</v>
      </c>
      <c r="K465" s="5">
        <f>216 / 86400</f>
        <v>2.5000000000000001E-3</v>
      </c>
      <c r="L465" s="5">
        <f>33 / 86400</f>
        <v>3.8194444444444446E-4</v>
      </c>
    </row>
    <row r="466" spans="1:12" x14ac:dyDescent="0.25">
      <c r="A466" s="3">
        <v>45701.737303240741</v>
      </c>
      <c r="B466" t="s">
        <v>72</v>
      </c>
      <c r="C466" s="3">
        <v>45701.737997685181</v>
      </c>
      <c r="D466" t="s">
        <v>72</v>
      </c>
      <c r="E466" s="4">
        <v>0.18686128848791123</v>
      </c>
      <c r="F466" s="4">
        <v>348007.64763389691</v>
      </c>
      <c r="G466" s="4">
        <v>348007.83449518535</v>
      </c>
      <c r="H466" s="5">
        <f t="shared" ref="H466:H495" si="5">0 / 86400</f>
        <v>0</v>
      </c>
      <c r="I466" t="s">
        <v>29</v>
      </c>
      <c r="J466" t="s">
        <v>149</v>
      </c>
      <c r="K466" s="5">
        <f>60 / 86400</f>
        <v>6.9444444444444447E-4</v>
      </c>
      <c r="L466" s="5">
        <f>20 / 86400</f>
        <v>2.3148148148148149E-4</v>
      </c>
    </row>
    <row r="467" spans="1:12" x14ac:dyDescent="0.25">
      <c r="A467" s="3">
        <v>45701.738229166665</v>
      </c>
      <c r="B467" t="s">
        <v>361</v>
      </c>
      <c r="C467" s="3">
        <v>45701.73846064815</v>
      </c>
      <c r="D467" t="s">
        <v>361</v>
      </c>
      <c r="E467" s="4">
        <v>5.5359385311603546E-2</v>
      </c>
      <c r="F467" s="4">
        <v>348007.89905320999</v>
      </c>
      <c r="G467" s="4">
        <v>348007.95441259525</v>
      </c>
      <c r="H467" s="5">
        <f t="shared" si="5"/>
        <v>0</v>
      </c>
      <c r="I467" t="s">
        <v>20</v>
      </c>
      <c r="J467" t="s">
        <v>128</v>
      </c>
      <c r="K467" s="5">
        <f>20 / 86400</f>
        <v>2.3148148148148149E-4</v>
      </c>
      <c r="L467" s="5">
        <f>20 / 86400</f>
        <v>2.3148148148148149E-4</v>
      </c>
    </row>
    <row r="468" spans="1:12" x14ac:dyDescent="0.25">
      <c r="A468" s="3">
        <v>45701.738692129627</v>
      </c>
      <c r="B468" t="s">
        <v>361</v>
      </c>
      <c r="C468" s="3">
        <v>45701.739618055552</v>
      </c>
      <c r="D468" t="s">
        <v>72</v>
      </c>
      <c r="E468" s="4">
        <v>0.12300218331813813</v>
      </c>
      <c r="F468" s="4">
        <v>348007.99382113654</v>
      </c>
      <c r="G468" s="4">
        <v>348008.11682331987</v>
      </c>
      <c r="H468" s="5">
        <f t="shared" si="5"/>
        <v>0</v>
      </c>
      <c r="I468" t="s">
        <v>34</v>
      </c>
      <c r="J468" t="s">
        <v>156</v>
      </c>
      <c r="K468" s="5">
        <f>80 / 86400</f>
        <v>9.2592592592592596E-4</v>
      </c>
      <c r="L468" s="5">
        <f>72 / 86400</f>
        <v>8.3333333333333339E-4</v>
      </c>
    </row>
    <row r="469" spans="1:12" x14ac:dyDescent="0.25">
      <c r="A469" s="3">
        <v>45701.740451388891</v>
      </c>
      <c r="B469" t="s">
        <v>72</v>
      </c>
      <c r="C469" s="3">
        <v>45701.743217592593</v>
      </c>
      <c r="D469" t="s">
        <v>112</v>
      </c>
      <c r="E469" s="4">
        <v>1.7865006403326988</v>
      </c>
      <c r="F469" s="4">
        <v>348008.16253113613</v>
      </c>
      <c r="G469" s="4">
        <v>348009.94903177652</v>
      </c>
      <c r="H469" s="5">
        <f t="shared" si="5"/>
        <v>0</v>
      </c>
      <c r="I469" t="s">
        <v>195</v>
      </c>
      <c r="J469" t="s">
        <v>294</v>
      </c>
      <c r="K469" s="5">
        <f>239 / 86400</f>
        <v>2.7662037037037039E-3</v>
      </c>
      <c r="L469" s="5">
        <f>20 / 86400</f>
        <v>2.3148148148148149E-4</v>
      </c>
    </row>
    <row r="470" spans="1:12" x14ac:dyDescent="0.25">
      <c r="A470" s="3">
        <v>45701.743449074071</v>
      </c>
      <c r="B470" t="s">
        <v>72</v>
      </c>
      <c r="C470" s="3">
        <v>45701.744374999995</v>
      </c>
      <c r="D470" t="s">
        <v>72</v>
      </c>
      <c r="E470" s="4">
        <v>0.49743716013431549</v>
      </c>
      <c r="F470" s="4">
        <v>348009.96966110403</v>
      </c>
      <c r="G470" s="4">
        <v>348010.46709826414</v>
      </c>
      <c r="H470" s="5">
        <f t="shared" si="5"/>
        <v>0</v>
      </c>
      <c r="I470" t="s">
        <v>71</v>
      </c>
      <c r="J470" t="s">
        <v>132</v>
      </c>
      <c r="K470" s="5">
        <f>80 / 86400</f>
        <v>9.2592592592592596E-4</v>
      </c>
      <c r="L470" s="5">
        <f>20 / 86400</f>
        <v>2.3148148148148149E-4</v>
      </c>
    </row>
    <row r="471" spans="1:12" x14ac:dyDescent="0.25">
      <c r="A471" s="3">
        <v>45701.744606481487</v>
      </c>
      <c r="B471" t="s">
        <v>72</v>
      </c>
      <c r="C471" s="3">
        <v>45701.746921296297</v>
      </c>
      <c r="D471" t="s">
        <v>362</v>
      </c>
      <c r="E471" s="4">
        <v>1.3661597374081611</v>
      </c>
      <c r="F471" s="4">
        <v>348010.47327537037</v>
      </c>
      <c r="G471" s="4">
        <v>348011.83943510777</v>
      </c>
      <c r="H471" s="5">
        <f t="shared" si="5"/>
        <v>0</v>
      </c>
      <c r="I471" t="s">
        <v>291</v>
      </c>
      <c r="J471" t="s">
        <v>135</v>
      </c>
      <c r="K471" s="5">
        <f>200 / 86400</f>
        <v>2.3148148148148147E-3</v>
      </c>
      <c r="L471" s="5">
        <f>20 / 86400</f>
        <v>2.3148148148148149E-4</v>
      </c>
    </row>
    <row r="472" spans="1:12" x14ac:dyDescent="0.25">
      <c r="A472" s="3">
        <v>45701.747152777782</v>
      </c>
      <c r="B472" t="s">
        <v>199</v>
      </c>
      <c r="C472" s="3">
        <v>45701.748541666668</v>
      </c>
      <c r="D472" t="s">
        <v>88</v>
      </c>
      <c r="E472" s="4">
        <v>0.88983967477083203</v>
      </c>
      <c r="F472" s="4">
        <v>348011.85381761024</v>
      </c>
      <c r="G472" s="4">
        <v>348012.74365728506</v>
      </c>
      <c r="H472" s="5">
        <f t="shared" si="5"/>
        <v>0</v>
      </c>
      <c r="I472" t="s">
        <v>319</v>
      </c>
      <c r="J472" t="s">
        <v>294</v>
      </c>
      <c r="K472" s="5">
        <f>120 / 86400</f>
        <v>1.3888888888888889E-3</v>
      </c>
      <c r="L472" s="5">
        <f>14 / 86400</f>
        <v>1.6203703703703703E-4</v>
      </c>
    </row>
    <row r="473" spans="1:12" x14ac:dyDescent="0.25">
      <c r="A473" s="3">
        <v>45701.748703703706</v>
      </c>
      <c r="B473" t="s">
        <v>88</v>
      </c>
      <c r="C473" s="3">
        <v>45701.748935185184</v>
      </c>
      <c r="D473" t="s">
        <v>88</v>
      </c>
      <c r="E473" s="4">
        <v>2.4270107746124266E-3</v>
      </c>
      <c r="F473" s="4">
        <v>348012.74480941263</v>
      </c>
      <c r="G473" s="4">
        <v>348012.74723642343</v>
      </c>
      <c r="H473" s="5">
        <f t="shared" si="5"/>
        <v>0</v>
      </c>
      <c r="I473" t="s">
        <v>37</v>
      </c>
      <c r="J473" t="s">
        <v>91</v>
      </c>
      <c r="K473" s="5">
        <f>20 / 86400</f>
        <v>2.3148148148148149E-4</v>
      </c>
      <c r="L473" s="5">
        <f>20 / 86400</f>
        <v>2.3148148148148149E-4</v>
      </c>
    </row>
    <row r="474" spans="1:12" x14ac:dyDescent="0.25">
      <c r="A474" s="3">
        <v>45701.749166666668</v>
      </c>
      <c r="B474" t="s">
        <v>287</v>
      </c>
      <c r="C474" s="3">
        <v>45701.74962962963</v>
      </c>
      <c r="D474" t="s">
        <v>363</v>
      </c>
      <c r="E474" s="4">
        <v>1.7189945936203002E-2</v>
      </c>
      <c r="F474" s="4">
        <v>348012.77304115106</v>
      </c>
      <c r="G474" s="4">
        <v>348012.79023109697</v>
      </c>
      <c r="H474" s="5">
        <f t="shared" si="5"/>
        <v>0</v>
      </c>
      <c r="I474" t="s">
        <v>110</v>
      </c>
      <c r="J474" t="s">
        <v>110</v>
      </c>
      <c r="K474" s="5">
        <f>40 / 86400</f>
        <v>4.6296296296296298E-4</v>
      </c>
      <c r="L474" s="5">
        <f>40 / 86400</f>
        <v>4.6296296296296298E-4</v>
      </c>
    </row>
    <row r="475" spans="1:12" x14ac:dyDescent="0.25">
      <c r="A475" s="3">
        <v>45701.750092592592</v>
      </c>
      <c r="B475" t="s">
        <v>364</v>
      </c>
      <c r="C475" s="3">
        <v>45701.751331018517</v>
      </c>
      <c r="D475" t="s">
        <v>365</v>
      </c>
      <c r="E475" s="4">
        <v>0.85865517687797543</v>
      </c>
      <c r="F475" s="4">
        <v>348012.79386703233</v>
      </c>
      <c r="G475" s="4">
        <v>348013.65252220922</v>
      </c>
      <c r="H475" s="5">
        <f t="shared" si="5"/>
        <v>0</v>
      </c>
      <c r="I475" t="s">
        <v>189</v>
      </c>
      <c r="J475" t="s">
        <v>159</v>
      </c>
      <c r="K475" s="5">
        <f>107 / 86400</f>
        <v>1.238425925925926E-3</v>
      </c>
      <c r="L475" s="5">
        <f>20 / 86400</f>
        <v>2.3148148148148149E-4</v>
      </c>
    </row>
    <row r="476" spans="1:12" x14ac:dyDescent="0.25">
      <c r="A476" s="3">
        <v>45701.751562500001</v>
      </c>
      <c r="B476" t="s">
        <v>199</v>
      </c>
      <c r="C476" s="3">
        <v>45701.754803240736</v>
      </c>
      <c r="D476" t="s">
        <v>171</v>
      </c>
      <c r="E476" s="4">
        <v>2.339852794110775</v>
      </c>
      <c r="F476" s="4">
        <v>348013.74151094625</v>
      </c>
      <c r="G476" s="4">
        <v>348016.08136374038</v>
      </c>
      <c r="H476" s="5">
        <f t="shared" si="5"/>
        <v>0</v>
      </c>
      <c r="I476" t="s">
        <v>95</v>
      </c>
      <c r="J476" t="s">
        <v>71</v>
      </c>
      <c r="K476" s="5">
        <f>280 / 86400</f>
        <v>3.2407407407407406E-3</v>
      </c>
      <c r="L476" s="5">
        <f>20 / 86400</f>
        <v>2.3148148148148149E-4</v>
      </c>
    </row>
    <row r="477" spans="1:12" x14ac:dyDescent="0.25">
      <c r="A477" s="3">
        <v>45701.75503472222</v>
      </c>
      <c r="B477" t="s">
        <v>197</v>
      </c>
      <c r="C477" s="3">
        <v>45701.755266203705</v>
      </c>
      <c r="D477" t="s">
        <v>197</v>
      </c>
      <c r="E477" s="4">
        <v>1.4004819571971893E-2</v>
      </c>
      <c r="F477" s="4">
        <v>348016.12744099606</v>
      </c>
      <c r="G477" s="4">
        <v>348016.14144581562</v>
      </c>
      <c r="H477" s="5">
        <f t="shared" si="5"/>
        <v>0</v>
      </c>
      <c r="I477" t="s">
        <v>90</v>
      </c>
      <c r="J477" t="s">
        <v>124</v>
      </c>
      <c r="K477" s="5">
        <f>20 / 86400</f>
        <v>2.3148148148148149E-4</v>
      </c>
      <c r="L477" s="5">
        <f>40 / 86400</f>
        <v>4.6296296296296298E-4</v>
      </c>
    </row>
    <row r="478" spans="1:12" x14ac:dyDescent="0.25">
      <c r="A478" s="3">
        <v>45701.755729166667</v>
      </c>
      <c r="B478" t="s">
        <v>197</v>
      </c>
      <c r="C478" s="3">
        <v>45701.758738425924</v>
      </c>
      <c r="D478" t="s">
        <v>35</v>
      </c>
      <c r="E478" s="4">
        <v>2.4452937697768213</v>
      </c>
      <c r="F478" s="4">
        <v>348016.17479736317</v>
      </c>
      <c r="G478" s="4">
        <v>348018.62009113294</v>
      </c>
      <c r="H478" s="5">
        <f t="shared" si="5"/>
        <v>0</v>
      </c>
      <c r="I478" t="s">
        <v>68</v>
      </c>
      <c r="J478" t="s">
        <v>233</v>
      </c>
      <c r="K478" s="5">
        <f>260 / 86400</f>
        <v>3.0092592592592593E-3</v>
      </c>
      <c r="L478" s="5">
        <f>20 / 86400</f>
        <v>2.3148148148148149E-4</v>
      </c>
    </row>
    <row r="479" spans="1:12" x14ac:dyDescent="0.25">
      <c r="A479" s="3">
        <v>45701.758969907409</v>
      </c>
      <c r="B479" t="s">
        <v>35</v>
      </c>
      <c r="C479" s="3">
        <v>45701.763599537036</v>
      </c>
      <c r="D479" t="s">
        <v>142</v>
      </c>
      <c r="E479" s="4">
        <v>3.3929099958539011</v>
      </c>
      <c r="F479" s="4">
        <v>348018.66896944062</v>
      </c>
      <c r="G479" s="4">
        <v>348022.06187943649</v>
      </c>
      <c r="H479" s="5">
        <f t="shared" si="5"/>
        <v>0</v>
      </c>
      <c r="I479" t="s">
        <v>55</v>
      </c>
      <c r="J479" t="s">
        <v>169</v>
      </c>
      <c r="K479" s="5">
        <f>400 / 86400</f>
        <v>4.6296296296296294E-3</v>
      </c>
      <c r="L479" s="5">
        <f>40 / 86400</f>
        <v>4.6296296296296298E-4</v>
      </c>
    </row>
    <row r="480" spans="1:12" x14ac:dyDescent="0.25">
      <c r="A480" s="3">
        <v>45701.764062499999</v>
      </c>
      <c r="B480" t="s">
        <v>142</v>
      </c>
      <c r="C480" s="3">
        <v>45701.764606481476</v>
      </c>
      <c r="D480" t="s">
        <v>190</v>
      </c>
      <c r="E480" s="4">
        <v>0.17739361649751664</v>
      </c>
      <c r="F480" s="4">
        <v>348022.0841027507</v>
      </c>
      <c r="G480" s="4">
        <v>348022.26149636722</v>
      </c>
      <c r="H480" s="5">
        <f t="shared" si="5"/>
        <v>0</v>
      </c>
      <c r="I480" t="s">
        <v>74</v>
      </c>
      <c r="J480" t="s">
        <v>43</v>
      </c>
      <c r="K480" s="5">
        <f>47 / 86400</f>
        <v>5.4398148148148144E-4</v>
      </c>
      <c r="L480" s="5">
        <f>165 / 86400</f>
        <v>1.9097222222222222E-3</v>
      </c>
    </row>
    <row r="481" spans="1:12" x14ac:dyDescent="0.25">
      <c r="A481" s="3">
        <v>45701.766516203701</v>
      </c>
      <c r="B481" t="s">
        <v>190</v>
      </c>
      <c r="C481" s="3">
        <v>45701.772199074076</v>
      </c>
      <c r="D481" t="s">
        <v>190</v>
      </c>
      <c r="E481" s="4">
        <v>0.10464111292362213</v>
      </c>
      <c r="F481" s="4">
        <v>348022.26499687409</v>
      </c>
      <c r="G481" s="4">
        <v>348022.36963798699</v>
      </c>
      <c r="H481" s="5">
        <f t="shared" si="5"/>
        <v>0</v>
      </c>
      <c r="I481" t="s">
        <v>156</v>
      </c>
      <c r="J481" t="s">
        <v>125</v>
      </c>
      <c r="K481" s="5">
        <f>491 / 86400</f>
        <v>5.6828703703703702E-3</v>
      </c>
      <c r="L481" s="5">
        <f>9 / 86400</f>
        <v>1.0416666666666667E-4</v>
      </c>
    </row>
    <row r="482" spans="1:12" x14ac:dyDescent="0.25">
      <c r="A482" s="3">
        <v>45701.772303240738</v>
      </c>
      <c r="B482" t="s">
        <v>190</v>
      </c>
      <c r="C482" s="3">
        <v>45701.774224537032</v>
      </c>
      <c r="D482" t="s">
        <v>366</v>
      </c>
      <c r="E482" s="4">
        <v>0.4662721014022827</v>
      </c>
      <c r="F482" s="4">
        <v>348022.37320104934</v>
      </c>
      <c r="G482" s="4">
        <v>348022.83947315073</v>
      </c>
      <c r="H482" s="5">
        <f t="shared" si="5"/>
        <v>0</v>
      </c>
      <c r="I482" t="s">
        <v>20</v>
      </c>
      <c r="J482" t="s">
        <v>128</v>
      </c>
      <c r="K482" s="5">
        <f>166 / 86400</f>
        <v>1.9212962962962964E-3</v>
      </c>
      <c r="L482" s="5">
        <f>20 / 86400</f>
        <v>2.3148148148148149E-4</v>
      </c>
    </row>
    <row r="483" spans="1:12" x14ac:dyDescent="0.25">
      <c r="A483" s="3">
        <v>45701.774456018524</v>
      </c>
      <c r="B483" t="s">
        <v>366</v>
      </c>
      <c r="C483" s="3">
        <v>45701.779780092591</v>
      </c>
      <c r="D483" t="s">
        <v>171</v>
      </c>
      <c r="E483" s="4">
        <v>5.8496887708902356</v>
      </c>
      <c r="F483" s="4">
        <v>348022.94889213546</v>
      </c>
      <c r="G483" s="4">
        <v>348028.79858090635</v>
      </c>
      <c r="H483" s="5">
        <f t="shared" si="5"/>
        <v>0</v>
      </c>
      <c r="I483" t="s">
        <v>57</v>
      </c>
      <c r="J483" t="s">
        <v>36</v>
      </c>
      <c r="K483" s="5">
        <f>460 / 86400</f>
        <v>5.324074074074074E-3</v>
      </c>
      <c r="L483" s="5">
        <f>60 / 86400</f>
        <v>6.9444444444444447E-4</v>
      </c>
    </row>
    <row r="484" spans="1:12" x14ac:dyDescent="0.25">
      <c r="A484" s="3">
        <v>45701.780474537038</v>
      </c>
      <c r="B484" t="s">
        <v>171</v>
      </c>
      <c r="C484" s="3">
        <v>45701.783946759257</v>
      </c>
      <c r="D484" t="s">
        <v>199</v>
      </c>
      <c r="E484" s="4">
        <v>3.2550823481082918</v>
      </c>
      <c r="F484" s="4">
        <v>348028.83922582289</v>
      </c>
      <c r="G484" s="4">
        <v>348032.09430817096</v>
      </c>
      <c r="H484" s="5">
        <f t="shared" si="5"/>
        <v>0</v>
      </c>
      <c r="I484" t="s">
        <v>195</v>
      </c>
      <c r="J484" t="s">
        <v>284</v>
      </c>
      <c r="K484" s="5">
        <f>300 / 86400</f>
        <v>3.472222222222222E-3</v>
      </c>
      <c r="L484" s="5">
        <f>40 / 86400</f>
        <v>4.6296296296296298E-4</v>
      </c>
    </row>
    <row r="485" spans="1:12" x14ac:dyDescent="0.25">
      <c r="A485" s="3">
        <v>45701.784409722226</v>
      </c>
      <c r="B485" t="s">
        <v>199</v>
      </c>
      <c r="C485" s="3">
        <v>45701.784641203703</v>
      </c>
      <c r="D485" t="s">
        <v>199</v>
      </c>
      <c r="E485" s="4">
        <v>4.3220995724201204E-2</v>
      </c>
      <c r="F485" s="4">
        <v>348032.11680982681</v>
      </c>
      <c r="G485" s="4">
        <v>348032.1600308225</v>
      </c>
      <c r="H485" s="5">
        <f t="shared" si="5"/>
        <v>0</v>
      </c>
      <c r="I485" t="s">
        <v>156</v>
      </c>
      <c r="J485" t="s">
        <v>90</v>
      </c>
      <c r="K485" s="5">
        <f>20 / 86400</f>
        <v>2.3148148148148149E-4</v>
      </c>
      <c r="L485" s="5">
        <f>60 / 86400</f>
        <v>6.9444444444444447E-4</v>
      </c>
    </row>
    <row r="486" spans="1:12" x14ac:dyDescent="0.25">
      <c r="A486" s="3">
        <v>45701.78533564815</v>
      </c>
      <c r="B486" t="s">
        <v>201</v>
      </c>
      <c r="C486" s="3">
        <v>45701.786493055552</v>
      </c>
      <c r="D486" t="s">
        <v>199</v>
      </c>
      <c r="E486" s="4">
        <v>1.0074001177549363</v>
      </c>
      <c r="F486" s="4">
        <v>348032.17741083214</v>
      </c>
      <c r="G486" s="4">
        <v>348033.1848109499</v>
      </c>
      <c r="H486" s="5">
        <f t="shared" si="5"/>
        <v>0</v>
      </c>
      <c r="I486" t="s">
        <v>184</v>
      </c>
      <c r="J486" t="s">
        <v>148</v>
      </c>
      <c r="K486" s="5">
        <f>100 / 86400</f>
        <v>1.1574074074074073E-3</v>
      </c>
      <c r="L486" s="5">
        <f>55 / 86400</f>
        <v>6.3657407407407413E-4</v>
      </c>
    </row>
    <row r="487" spans="1:12" x14ac:dyDescent="0.25">
      <c r="A487" s="3">
        <v>45701.787129629629</v>
      </c>
      <c r="B487" t="s">
        <v>199</v>
      </c>
      <c r="C487" s="3">
        <v>45701.789861111116</v>
      </c>
      <c r="D487" t="s">
        <v>27</v>
      </c>
      <c r="E487" s="4">
        <v>0.88953834080696104</v>
      </c>
      <c r="F487" s="4">
        <v>348033.19488994934</v>
      </c>
      <c r="G487" s="4">
        <v>348034.08442829014</v>
      </c>
      <c r="H487" s="5">
        <f t="shared" si="5"/>
        <v>0</v>
      </c>
      <c r="I487" t="s">
        <v>74</v>
      </c>
      <c r="J487" t="s">
        <v>43</v>
      </c>
      <c r="K487" s="5">
        <f>236 / 86400</f>
        <v>2.7314814814814814E-3</v>
      </c>
      <c r="L487" s="5">
        <f>7821 / 86400</f>
        <v>9.0520833333333328E-2</v>
      </c>
    </row>
    <row r="488" spans="1:12" x14ac:dyDescent="0.25">
      <c r="A488" s="3">
        <v>45701.880381944444</v>
      </c>
      <c r="B488" t="s">
        <v>27</v>
      </c>
      <c r="C488" s="3">
        <v>45701.887511574074</v>
      </c>
      <c r="D488" t="s">
        <v>367</v>
      </c>
      <c r="E488" s="4">
        <v>3.8459986102581025</v>
      </c>
      <c r="F488" s="4">
        <v>348034.10257093067</v>
      </c>
      <c r="G488" s="4">
        <v>348037.94856954092</v>
      </c>
      <c r="H488" s="5">
        <f t="shared" si="5"/>
        <v>0</v>
      </c>
      <c r="I488" t="s">
        <v>186</v>
      </c>
      <c r="J488" t="s">
        <v>132</v>
      </c>
      <c r="K488" s="5">
        <f>616 / 86400</f>
        <v>7.1296296296296299E-3</v>
      </c>
      <c r="L488" s="5">
        <f>1993 / 86400</f>
        <v>2.3067129629629628E-2</v>
      </c>
    </row>
    <row r="489" spans="1:12" x14ac:dyDescent="0.25">
      <c r="A489" s="3">
        <v>45701.910578703704</v>
      </c>
      <c r="B489" t="s">
        <v>367</v>
      </c>
      <c r="C489" s="3">
        <v>45701.910810185189</v>
      </c>
      <c r="D489" t="s">
        <v>367</v>
      </c>
      <c r="E489" s="4">
        <v>3.6989347338676451E-3</v>
      </c>
      <c r="F489" s="4">
        <v>348037.95813697035</v>
      </c>
      <c r="G489" s="4">
        <v>348037.96183590509</v>
      </c>
      <c r="H489" s="5">
        <f t="shared" si="5"/>
        <v>0</v>
      </c>
      <c r="I489" t="s">
        <v>161</v>
      </c>
      <c r="J489" t="s">
        <v>125</v>
      </c>
      <c r="K489" s="5">
        <f>20 / 86400</f>
        <v>2.3148148148148149E-4</v>
      </c>
      <c r="L489" s="5">
        <f>20 / 86400</f>
        <v>2.3148148148148149E-4</v>
      </c>
    </row>
    <row r="490" spans="1:12" x14ac:dyDescent="0.25">
      <c r="A490" s="3">
        <v>45701.911041666666</v>
      </c>
      <c r="B490" t="s">
        <v>367</v>
      </c>
      <c r="C490" s="3">
        <v>45701.913819444446</v>
      </c>
      <c r="D490" t="s">
        <v>199</v>
      </c>
      <c r="E490" s="4">
        <v>2.9780308247804643</v>
      </c>
      <c r="F490" s="4">
        <v>348037.96224152105</v>
      </c>
      <c r="G490" s="4">
        <v>348040.94027234585</v>
      </c>
      <c r="H490" s="5">
        <f t="shared" si="5"/>
        <v>0</v>
      </c>
      <c r="I490" t="s">
        <v>42</v>
      </c>
      <c r="J490" t="s">
        <v>143</v>
      </c>
      <c r="K490" s="5">
        <f>240 / 86400</f>
        <v>2.7777777777777779E-3</v>
      </c>
      <c r="L490" s="5">
        <f>20 / 86400</f>
        <v>2.3148148148148149E-4</v>
      </c>
    </row>
    <row r="491" spans="1:12" x14ac:dyDescent="0.25">
      <c r="A491" s="3">
        <v>45701.91405092593</v>
      </c>
      <c r="B491" t="s">
        <v>72</v>
      </c>
      <c r="C491" s="3">
        <v>45701.916365740741</v>
      </c>
      <c r="D491" t="s">
        <v>72</v>
      </c>
      <c r="E491" s="4">
        <v>2.6098626269698144</v>
      </c>
      <c r="F491" s="4">
        <v>348041.07393262995</v>
      </c>
      <c r="G491" s="4">
        <v>348043.68379525689</v>
      </c>
      <c r="H491" s="5">
        <f t="shared" si="5"/>
        <v>0</v>
      </c>
      <c r="I491" t="s">
        <v>26</v>
      </c>
      <c r="J491" t="s">
        <v>286</v>
      </c>
      <c r="K491" s="5">
        <f>200 / 86400</f>
        <v>2.3148148148148147E-3</v>
      </c>
      <c r="L491" s="5">
        <f>40 / 86400</f>
        <v>4.6296296296296298E-4</v>
      </c>
    </row>
    <row r="492" spans="1:12" x14ac:dyDescent="0.25">
      <c r="A492" s="3">
        <v>45701.916828703703</v>
      </c>
      <c r="B492" t="s">
        <v>72</v>
      </c>
      <c r="C492" s="3">
        <v>45701.917650462958</v>
      </c>
      <c r="D492" t="s">
        <v>72</v>
      </c>
      <c r="E492" s="4">
        <v>0.31985028940439225</v>
      </c>
      <c r="F492" s="4">
        <v>348043.7766821367</v>
      </c>
      <c r="G492" s="4">
        <v>348044.09653242613</v>
      </c>
      <c r="H492" s="5">
        <f t="shared" si="5"/>
        <v>0</v>
      </c>
      <c r="I492" t="s">
        <v>291</v>
      </c>
      <c r="J492" t="s">
        <v>51</v>
      </c>
      <c r="K492" s="5">
        <f>71 / 86400</f>
        <v>8.2175925925925927E-4</v>
      </c>
      <c r="L492" s="5">
        <f>2338 / 86400</f>
        <v>2.7060185185185184E-2</v>
      </c>
    </row>
    <row r="493" spans="1:12" x14ac:dyDescent="0.25">
      <c r="A493" s="3">
        <v>45701.944710648153</v>
      </c>
      <c r="B493" t="s">
        <v>72</v>
      </c>
      <c r="C493" s="3">
        <v>45701.947025462963</v>
      </c>
      <c r="D493" t="s">
        <v>72</v>
      </c>
      <c r="E493" s="4">
        <v>1.6337965139150619</v>
      </c>
      <c r="F493" s="4">
        <v>348044.21993015171</v>
      </c>
      <c r="G493" s="4">
        <v>348045.85372666561</v>
      </c>
      <c r="H493" s="5">
        <f t="shared" si="5"/>
        <v>0</v>
      </c>
      <c r="I493" t="s">
        <v>203</v>
      </c>
      <c r="J493" t="s">
        <v>159</v>
      </c>
      <c r="K493" s="5">
        <f>200 / 86400</f>
        <v>2.3148148148148147E-3</v>
      </c>
      <c r="L493" s="5">
        <f>13 / 86400</f>
        <v>1.5046296296296297E-4</v>
      </c>
    </row>
    <row r="494" spans="1:12" x14ac:dyDescent="0.25">
      <c r="A494" s="3">
        <v>45701.947175925925</v>
      </c>
      <c r="B494" t="s">
        <v>72</v>
      </c>
      <c r="C494" s="3">
        <v>45701.948333333334</v>
      </c>
      <c r="D494" t="s">
        <v>72</v>
      </c>
      <c r="E494" s="4">
        <v>1.2148962678313255</v>
      </c>
      <c r="F494" s="4">
        <v>348045.85835964698</v>
      </c>
      <c r="G494" s="4">
        <v>348047.07325591479</v>
      </c>
      <c r="H494" s="5">
        <f t="shared" si="5"/>
        <v>0</v>
      </c>
      <c r="I494" t="s">
        <v>55</v>
      </c>
      <c r="J494" t="s">
        <v>268</v>
      </c>
      <c r="K494" s="5">
        <f>100 / 86400</f>
        <v>1.1574074074074073E-3</v>
      </c>
      <c r="L494" s="5">
        <f>20 / 86400</f>
        <v>2.3148148148148149E-4</v>
      </c>
    </row>
    <row r="495" spans="1:12" x14ac:dyDescent="0.25">
      <c r="A495" s="3">
        <v>45701.948564814811</v>
      </c>
      <c r="B495" t="s">
        <v>72</v>
      </c>
      <c r="C495" s="3">
        <v>45701.951388888891</v>
      </c>
      <c r="D495" t="s">
        <v>27</v>
      </c>
      <c r="E495" s="4">
        <v>0.89404888057708742</v>
      </c>
      <c r="F495" s="4">
        <v>348047.11185340933</v>
      </c>
      <c r="G495" s="4">
        <v>348048.00590228994</v>
      </c>
      <c r="H495" s="5">
        <f t="shared" si="5"/>
        <v>0</v>
      </c>
      <c r="I495" t="s">
        <v>152</v>
      </c>
      <c r="J495" t="s">
        <v>58</v>
      </c>
      <c r="K495" s="5">
        <f>244 / 86400</f>
        <v>2.8240740740740739E-3</v>
      </c>
      <c r="L495" s="5">
        <f>4199 / 86400</f>
        <v>4.8599537037037038E-2</v>
      </c>
    </row>
    <row r="496" spans="1:12" x14ac:dyDescent="0.25">
      <c r="A496" s="11"/>
      <c r="B496" s="11"/>
      <c r="C496" s="11"/>
      <c r="D496" s="11"/>
      <c r="E496" s="11"/>
      <c r="F496" s="11"/>
      <c r="G496" s="11"/>
      <c r="H496" s="11"/>
      <c r="I496" s="11"/>
      <c r="J496" s="11"/>
    </row>
    <row r="497" spans="1:12" x14ac:dyDescent="0.25">
      <c r="A497" s="11"/>
      <c r="B497" s="11"/>
      <c r="C497" s="11"/>
      <c r="D497" s="11"/>
      <c r="E497" s="11"/>
      <c r="F497" s="11"/>
      <c r="G497" s="11"/>
      <c r="H497" s="11"/>
      <c r="I497" s="11"/>
      <c r="J497" s="11"/>
    </row>
    <row r="498" spans="1:12" s="10" customFormat="1" ht="20.100000000000001" customHeight="1" x14ac:dyDescent="0.35">
      <c r="A498" s="12" t="s">
        <v>433</v>
      </c>
      <c r="B498" s="12"/>
      <c r="C498" s="12"/>
      <c r="D498" s="12"/>
      <c r="E498" s="12"/>
      <c r="F498" s="12"/>
      <c r="G498" s="12"/>
      <c r="H498" s="12"/>
      <c r="I498" s="12"/>
      <c r="J498" s="12"/>
    </row>
    <row r="499" spans="1:12" x14ac:dyDescent="0.25">
      <c r="A499" s="11"/>
      <c r="B499" s="11"/>
      <c r="C499" s="11"/>
      <c r="D499" s="11"/>
      <c r="E499" s="11"/>
      <c r="F499" s="11"/>
      <c r="G499" s="11"/>
      <c r="H499" s="11"/>
      <c r="I499" s="11"/>
      <c r="J499" s="11"/>
    </row>
    <row r="500" spans="1:12" ht="30" x14ac:dyDescent="0.25">
      <c r="A500" s="2" t="s">
        <v>5</v>
      </c>
      <c r="B500" s="2" t="s">
        <v>6</v>
      </c>
      <c r="C500" s="2" t="s">
        <v>7</v>
      </c>
      <c r="D500" s="2" t="s">
        <v>8</v>
      </c>
      <c r="E500" s="2" t="s">
        <v>9</v>
      </c>
      <c r="F500" s="2" t="s">
        <v>10</v>
      </c>
      <c r="G500" s="2" t="s">
        <v>11</v>
      </c>
      <c r="H500" s="2" t="s">
        <v>12</v>
      </c>
      <c r="I500" s="2" t="s">
        <v>13</v>
      </c>
      <c r="J500" s="2" t="s">
        <v>14</v>
      </c>
      <c r="K500" s="2" t="s">
        <v>15</v>
      </c>
      <c r="L500" s="2" t="s">
        <v>16</v>
      </c>
    </row>
    <row r="501" spans="1:12" x14ac:dyDescent="0.25">
      <c r="A501" s="3">
        <v>45701.310717592598</v>
      </c>
      <c r="B501" t="s">
        <v>35</v>
      </c>
      <c r="C501" s="3">
        <v>45701.32612268519</v>
      </c>
      <c r="D501" t="s">
        <v>368</v>
      </c>
      <c r="E501" s="4">
        <v>3.5960000000000001</v>
      </c>
      <c r="F501" s="4">
        <v>484190.908</v>
      </c>
      <c r="G501" s="4">
        <v>484194.50400000002</v>
      </c>
      <c r="H501" s="5">
        <f>719 / 86400</f>
        <v>8.3217592592592596E-3</v>
      </c>
      <c r="I501" t="s">
        <v>36</v>
      </c>
      <c r="J501" t="s">
        <v>128</v>
      </c>
      <c r="K501" s="5">
        <f>1330 / 86400</f>
        <v>1.5393518518518518E-2</v>
      </c>
      <c r="L501" s="5">
        <f>32739 / 86400</f>
        <v>0.37892361111111111</v>
      </c>
    </row>
    <row r="502" spans="1:12" x14ac:dyDescent="0.25">
      <c r="A502" s="3">
        <v>45701.394328703704</v>
      </c>
      <c r="B502" t="s">
        <v>368</v>
      </c>
      <c r="C502" s="3">
        <v>45701.394976851851</v>
      </c>
      <c r="D502" t="s">
        <v>368</v>
      </c>
      <c r="E502" s="4">
        <v>5.0000000000000001E-3</v>
      </c>
      <c r="F502" s="4">
        <v>484194.50400000002</v>
      </c>
      <c r="G502" s="4">
        <v>484194.50900000002</v>
      </c>
      <c r="H502" s="5">
        <f>39 / 86400</f>
        <v>4.5138888888888887E-4</v>
      </c>
      <c r="I502" t="s">
        <v>91</v>
      </c>
      <c r="J502" t="s">
        <v>91</v>
      </c>
      <c r="K502" s="5">
        <f>56 / 86400</f>
        <v>6.4814814814814813E-4</v>
      </c>
      <c r="L502" s="5">
        <f>35090 / 86400</f>
        <v>0.40613425925925928</v>
      </c>
    </row>
    <row r="503" spans="1:12" x14ac:dyDescent="0.25">
      <c r="A503" s="3">
        <v>45701.801111111112</v>
      </c>
      <c r="B503" t="s">
        <v>368</v>
      </c>
      <c r="C503" s="3">
        <v>45701.843564814815</v>
      </c>
      <c r="D503" t="s">
        <v>35</v>
      </c>
      <c r="E503" s="4">
        <v>3.262</v>
      </c>
      <c r="F503" s="4">
        <v>484194.50900000002</v>
      </c>
      <c r="G503" s="4">
        <v>484197.77100000001</v>
      </c>
      <c r="H503" s="5">
        <f>3099 / 86400</f>
        <v>3.5868055555555556E-2</v>
      </c>
      <c r="I503" t="s">
        <v>162</v>
      </c>
      <c r="J503" t="s">
        <v>124</v>
      </c>
      <c r="K503" s="5">
        <f>3668 / 86400</f>
        <v>4.2453703703703702E-2</v>
      </c>
      <c r="L503" s="5">
        <f>13515 / 86400</f>
        <v>0.15642361111111111</v>
      </c>
    </row>
    <row r="504" spans="1:12" x14ac:dyDescent="0.25">
      <c r="A504" s="11"/>
      <c r="B504" s="11"/>
      <c r="C504" s="11"/>
      <c r="D504" s="11"/>
      <c r="E504" s="11"/>
      <c r="F504" s="11"/>
      <c r="G504" s="11"/>
      <c r="H504" s="11"/>
      <c r="I504" s="11"/>
      <c r="J504" s="11"/>
    </row>
    <row r="505" spans="1:12" x14ac:dyDescent="0.25">
      <c r="A505" s="11"/>
      <c r="B505" s="11"/>
      <c r="C505" s="11"/>
      <c r="D505" s="11"/>
      <c r="E505" s="11"/>
      <c r="F505" s="11"/>
      <c r="G505" s="11"/>
      <c r="H505" s="11"/>
      <c r="I505" s="11"/>
      <c r="J505" s="11"/>
    </row>
    <row r="506" spans="1:12" s="10" customFormat="1" ht="20.100000000000001" customHeight="1" x14ac:dyDescent="0.35">
      <c r="A506" s="12" t="s">
        <v>434</v>
      </c>
      <c r="B506" s="12"/>
      <c r="C506" s="12"/>
      <c r="D506" s="12"/>
      <c r="E506" s="12"/>
      <c r="F506" s="12"/>
      <c r="G506" s="12"/>
      <c r="H506" s="12"/>
      <c r="I506" s="12"/>
      <c r="J506" s="12"/>
    </row>
    <row r="507" spans="1:12" x14ac:dyDescent="0.25">
      <c r="A507" s="11"/>
      <c r="B507" s="11"/>
      <c r="C507" s="11"/>
      <c r="D507" s="11"/>
      <c r="E507" s="11"/>
      <c r="F507" s="11"/>
      <c r="G507" s="11"/>
      <c r="H507" s="11"/>
      <c r="I507" s="11"/>
      <c r="J507" s="11"/>
    </row>
    <row r="508" spans="1:12" ht="30" x14ac:dyDescent="0.25">
      <c r="A508" s="2" t="s">
        <v>5</v>
      </c>
      <c r="B508" s="2" t="s">
        <v>6</v>
      </c>
      <c r="C508" s="2" t="s">
        <v>7</v>
      </c>
      <c r="D508" s="2" t="s">
        <v>8</v>
      </c>
      <c r="E508" s="2" t="s">
        <v>9</v>
      </c>
      <c r="F508" s="2" t="s">
        <v>10</v>
      </c>
      <c r="G508" s="2" t="s">
        <v>11</v>
      </c>
      <c r="H508" s="2" t="s">
        <v>12</v>
      </c>
      <c r="I508" s="2" t="s">
        <v>13</v>
      </c>
      <c r="J508" s="2" t="s">
        <v>14</v>
      </c>
      <c r="K508" s="2" t="s">
        <v>15</v>
      </c>
      <c r="L508" s="2" t="s">
        <v>16</v>
      </c>
    </row>
    <row r="509" spans="1:12" x14ac:dyDescent="0.25">
      <c r="A509" s="3">
        <v>45701.270775462966</v>
      </c>
      <c r="B509" t="s">
        <v>38</v>
      </c>
      <c r="C509" s="3">
        <v>45701.277870370366</v>
      </c>
      <c r="D509" t="s">
        <v>131</v>
      </c>
      <c r="E509" s="4">
        <v>1.4790000000000001</v>
      </c>
      <c r="F509" s="4">
        <v>508123.63500000001</v>
      </c>
      <c r="G509" s="4">
        <v>508125.114</v>
      </c>
      <c r="H509" s="5">
        <f>139 / 86400</f>
        <v>1.6087962962962963E-3</v>
      </c>
      <c r="I509" t="s">
        <v>34</v>
      </c>
      <c r="J509" t="s">
        <v>140</v>
      </c>
      <c r="K509" s="5">
        <f>612 / 86400</f>
        <v>7.083333333333333E-3</v>
      </c>
      <c r="L509" s="5">
        <f>24708 / 86400</f>
        <v>0.28597222222222224</v>
      </c>
    </row>
    <row r="510" spans="1:12" x14ac:dyDescent="0.25">
      <c r="A510" s="3">
        <v>45701.293067129634</v>
      </c>
      <c r="B510" t="s">
        <v>131</v>
      </c>
      <c r="C510" s="3">
        <v>45701.417800925927</v>
      </c>
      <c r="D510" t="s">
        <v>369</v>
      </c>
      <c r="E510" s="4">
        <v>50.597000000000001</v>
      </c>
      <c r="F510" s="4">
        <v>508125.114</v>
      </c>
      <c r="G510" s="4">
        <v>508175.71100000001</v>
      </c>
      <c r="H510" s="5">
        <f>3540 / 86400</f>
        <v>4.0972222222222222E-2</v>
      </c>
      <c r="I510" t="s">
        <v>75</v>
      </c>
      <c r="J510" t="s">
        <v>20</v>
      </c>
      <c r="K510" s="5">
        <f>10777 / 86400</f>
        <v>0.1247337962962963</v>
      </c>
      <c r="L510" s="5">
        <f>195 / 86400</f>
        <v>2.2569444444444442E-3</v>
      </c>
    </row>
    <row r="511" spans="1:12" x14ac:dyDescent="0.25">
      <c r="A511" s="3">
        <v>45701.420057870375</v>
      </c>
      <c r="B511" t="s">
        <v>369</v>
      </c>
      <c r="C511" s="3">
        <v>45701.565717592588</v>
      </c>
      <c r="D511" t="s">
        <v>370</v>
      </c>
      <c r="E511" s="4">
        <v>50.768999999999998</v>
      </c>
      <c r="F511" s="4">
        <v>508175.71100000001</v>
      </c>
      <c r="G511" s="4">
        <v>508226.48</v>
      </c>
      <c r="H511" s="5">
        <f>4359 / 86400</f>
        <v>5.0451388888888886E-2</v>
      </c>
      <c r="I511" t="s">
        <v>195</v>
      </c>
      <c r="J511" t="s">
        <v>29</v>
      </c>
      <c r="K511" s="5">
        <f>12584 / 86400</f>
        <v>0.14564814814814814</v>
      </c>
      <c r="L511" s="5">
        <f>1541 / 86400</f>
        <v>1.7835648148148149E-2</v>
      </c>
    </row>
    <row r="512" spans="1:12" x14ac:dyDescent="0.25">
      <c r="A512" s="3">
        <v>45701.583553240736</v>
      </c>
      <c r="B512" t="s">
        <v>370</v>
      </c>
      <c r="C512" s="3">
        <v>45701.83694444444</v>
      </c>
      <c r="D512" t="s">
        <v>158</v>
      </c>
      <c r="E512" s="4">
        <v>94.378</v>
      </c>
      <c r="F512" s="4">
        <v>508226.48</v>
      </c>
      <c r="G512" s="4">
        <v>508320.85800000001</v>
      </c>
      <c r="H512" s="5">
        <f>6840 / 86400</f>
        <v>7.9166666666666663E-2</v>
      </c>
      <c r="I512" t="s">
        <v>40</v>
      </c>
      <c r="J512" t="s">
        <v>51</v>
      </c>
      <c r="K512" s="5">
        <f>21893 / 86400</f>
        <v>0.25339120370370372</v>
      </c>
      <c r="L512" s="5">
        <f>490 / 86400</f>
        <v>5.6712962962962967E-3</v>
      </c>
    </row>
    <row r="513" spans="1:12" x14ac:dyDescent="0.25">
      <c r="A513" s="3">
        <v>45701.842615740738</v>
      </c>
      <c r="B513" t="s">
        <v>158</v>
      </c>
      <c r="C513" s="3">
        <v>45701.843206018515</v>
      </c>
      <c r="D513" t="s">
        <v>158</v>
      </c>
      <c r="E513" s="4">
        <v>8.9999999999999993E-3</v>
      </c>
      <c r="F513" s="4">
        <v>508320.85800000001</v>
      </c>
      <c r="G513" s="4">
        <v>508320.86700000003</v>
      </c>
      <c r="H513" s="5">
        <f>39 / 86400</f>
        <v>4.5138888888888887E-4</v>
      </c>
      <c r="I513" t="s">
        <v>91</v>
      </c>
      <c r="J513" t="s">
        <v>125</v>
      </c>
      <c r="K513" s="5">
        <f>51 / 86400</f>
        <v>5.9027777777777778E-4</v>
      </c>
      <c r="L513" s="5">
        <f>219 / 86400</f>
        <v>2.5347222222222221E-3</v>
      </c>
    </row>
    <row r="514" spans="1:12" x14ac:dyDescent="0.25">
      <c r="A514" s="3">
        <v>45701.84574074074</v>
      </c>
      <c r="B514" t="s">
        <v>158</v>
      </c>
      <c r="C514" s="3">
        <v>45701.846655092595</v>
      </c>
      <c r="D514" t="s">
        <v>153</v>
      </c>
      <c r="E514" s="4">
        <v>0.20499999999999999</v>
      </c>
      <c r="F514" s="4">
        <v>508320.86700000003</v>
      </c>
      <c r="G514" s="4">
        <v>508321.07199999999</v>
      </c>
      <c r="H514" s="5">
        <f>0 / 86400</f>
        <v>0</v>
      </c>
      <c r="I514" t="s">
        <v>58</v>
      </c>
      <c r="J514" t="s">
        <v>140</v>
      </c>
      <c r="K514" s="5">
        <f>79 / 86400</f>
        <v>9.1435185185185185E-4</v>
      </c>
      <c r="L514" s="5">
        <f>387 / 86400</f>
        <v>4.4791666666666669E-3</v>
      </c>
    </row>
    <row r="515" spans="1:12" x14ac:dyDescent="0.25">
      <c r="A515" s="3">
        <v>45701.851134259261</v>
      </c>
      <c r="B515" t="s">
        <v>153</v>
      </c>
      <c r="C515" s="3">
        <v>45701.86010416667</v>
      </c>
      <c r="D515" t="s">
        <v>39</v>
      </c>
      <c r="E515" s="4">
        <v>3.2629999999999999</v>
      </c>
      <c r="F515" s="4">
        <v>508321.07199999999</v>
      </c>
      <c r="G515" s="4">
        <v>508324.33500000002</v>
      </c>
      <c r="H515" s="5">
        <f>60 / 86400</f>
        <v>6.9444444444444447E-4</v>
      </c>
      <c r="I515" t="s">
        <v>138</v>
      </c>
      <c r="J515" t="s">
        <v>29</v>
      </c>
      <c r="K515" s="5">
        <f>775 / 86400</f>
        <v>8.9699074074074073E-3</v>
      </c>
      <c r="L515" s="5">
        <f>12086 / 86400</f>
        <v>0.13988425925925926</v>
      </c>
    </row>
    <row r="516" spans="1:12" x14ac:dyDescent="0.25">
      <c r="A516" s="11"/>
      <c r="B516" s="11"/>
      <c r="C516" s="11"/>
      <c r="D516" s="11"/>
      <c r="E516" s="11"/>
      <c r="F516" s="11"/>
      <c r="G516" s="11"/>
      <c r="H516" s="11"/>
      <c r="I516" s="11"/>
      <c r="J516" s="11"/>
    </row>
    <row r="517" spans="1:12" x14ac:dyDescent="0.25">
      <c r="A517" s="11"/>
      <c r="B517" s="11"/>
      <c r="C517" s="11"/>
      <c r="D517" s="11"/>
      <c r="E517" s="11"/>
      <c r="F517" s="11"/>
      <c r="G517" s="11"/>
      <c r="H517" s="11"/>
      <c r="I517" s="11"/>
      <c r="J517" s="11"/>
    </row>
    <row r="518" spans="1:12" s="10" customFormat="1" ht="20.100000000000001" customHeight="1" x14ac:dyDescent="0.35">
      <c r="A518" s="12" t="s">
        <v>435</v>
      </c>
      <c r="B518" s="12"/>
      <c r="C518" s="12"/>
      <c r="D518" s="12"/>
      <c r="E518" s="12"/>
      <c r="F518" s="12"/>
      <c r="G518" s="12"/>
      <c r="H518" s="12"/>
      <c r="I518" s="12"/>
      <c r="J518" s="12"/>
    </row>
    <row r="519" spans="1:12" x14ac:dyDescent="0.25">
      <c r="A519" s="11"/>
      <c r="B519" s="11"/>
      <c r="C519" s="11"/>
      <c r="D519" s="11"/>
      <c r="E519" s="11"/>
      <c r="F519" s="11"/>
      <c r="G519" s="11"/>
      <c r="H519" s="11"/>
      <c r="I519" s="11"/>
      <c r="J519" s="11"/>
    </row>
    <row r="520" spans="1:12" ht="30" x14ac:dyDescent="0.25">
      <c r="A520" s="2" t="s">
        <v>5</v>
      </c>
      <c r="B520" s="2" t="s">
        <v>6</v>
      </c>
      <c r="C520" s="2" t="s">
        <v>7</v>
      </c>
      <c r="D520" s="2" t="s">
        <v>8</v>
      </c>
      <c r="E520" s="2" t="s">
        <v>9</v>
      </c>
      <c r="F520" s="2" t="s">
        <v>10</v>
      </c>
      <c r="G520" s="2" t="s">
        <v>11</v>
      </c>
      <c r="H520" s="2" t="s">
        <v>12</v>
      </c>
      <c r="I520" s="2" t="s">
        <v>13</v>
      </c>
      <c r="J520" s="2" t="s">
        <v>14</v>
      </c>
      <c r="K520" s="2" t="s">
        <v>15</v>
      </c>
      <c r="L520" s="2" t="s">
        <v>16</v>
      </c>
    </row>
    <row r="521" spans="1:12" x14ac:dyDescent="0.25">
      <c r="A521" s="3">
        <v>45701.236770833333</v>
      </c>
      <c r="B521" t="s">
        <v>41</v>
      </c>
      <c r="C521" s="3">
        <v>45701.246342592596</v>
      </c>
      <c r="D521" t="s">
        <v>131</v>
      </c>
      <c r="E521" s="4">
        <v>1.643</v>
      </c>
      <c r="F521" s="4">
        <v>407788.87699999998</v>
      </c>
      <c r="G521" s="4">
        <v>407790.52</v>
      </c>
      <c r="H521" s="5">
        <f>379 / 86400</f>
        <v>4.386574074074074E-3</v>
      </c>
      <c r="I521" t="s">
        <v>162</v>
      </c>
      <c r="J521" t="s">
        <v>161</v>
      </c>
      <c r="K521" s="5">
        <f>827 / 86400</f>
        <v>9.571759259259259E-3</v>
      </c>
      <c r="L521" s="5">
        <f>21253 / 86400</f>
        <v>0.2459837962962963</v>
      </c>
    </row>
    <row r="522" spans="1:12" x14ac:dyDescent="0.25">
      <c r="A522" s="3">
        <v>45701.255555555559</v>
      </c>
      <c r="B522" t="s">
        <v>131</v>
      </c>
      <c r="C522" s="3">
        <v>45701.259467592594</v>
      </c>
      <c r="D522" t="s">
        <v>371</v>
      </c>
      <c r="E522" s="4">
        <v>0.68799999999999994</v>
      </c>
      <c r="F522" s="4">
        <v>407790.52</v>
      </c>
      <c r="G522" s="4">
        <v>407791.20799999998</v>
      </c>
      <c r="H522" s="5">
        <f>179 / 86400</f>
        <v>2.0717592592592593E-3</v>
      </c>
      <c r="I522" t="s">
        <v>135</v>
      </c>
      <c r="J522" t="s">
        <v>161</v>
      </c>
      <c r="K522" s="5">
        <f>338 / 86400</f>
        <v>3.9120370370370368E-3</v>
      </c>
      <c r="L522" s="5">
        <f>219 / 86400</f>
        <v>2.5347222222222221E-3</v>
      </c>
    </row>
    <row r="523" spans="1:12" x14ac:dyDescent="0.25">
      <c r="A523" s="3">
        <v>45701.262002314819</v>
      </c>
      <c r="B523" t="s">
        <v>371</v>
      </c>
      <c r="C523" s="3">
        <v>45701.412476851852</v>
      </c>
      <c r="D523" t="s">
        <v>372</v>
      </c>
      <c r="E523" s="4">
        <v>51.185000000000002</v>
      </c>
      <c r="F523" s="4">
        <v>407791.20799999998</v>
      </c>
      <c r="G523" s="4">
        <v>407842.39299999998</v>
      </c>
      <c r="H523" s="5">
        <f>5179 / 86400</f>
        <v>5.994212962962963E-2</v>
      </c>
      <c r="I523" t="s">
        <v>42</v>
      </c>
      <c r="J523" t="s">
        <v>43</v>
      </c>
      <c r="K523" s="5">
        <f>13001 / 86400</f>
        <v>0.15047453703703703</v>
      </c>
      <c r="L523" s="5">
        <f>588 / 86400</f>
        <v>6.8055555555555551E-3</v>
      </c>
    </row>
    <row r="524" spans="1:12" x14ac:dyDescent="0.25">
      <c r="A524" s="3">
        <v>45701.419282407413</v>
      </c>
      <c r="B524" t="s">
        <v>372</v>
      </c>
      <c r="C524" s="3">
        <v>45701.419421296298</v>
      </c>
      <c r="D524" t="s">
        <v>372</v>
      </c>
      <c r="E524" s="4">
        <v>4.0000000000000001E-3</v>
      </c>
      <c r="F524" s="4">
        <v>407842.39299999998</v>
      </c>
      <c r="G524" s="4">
        <v>407842.397</v>
      </c>
      <c r="H524" s="5">
        <f>0 / 86400</f>
        <v>0</v>
      </c>
      <c r="I524" t="s">
        <v>91</v>
      </c>
      <c r="J524" t="s">
        <v>125</v>
      </c>
      <c r="K524" s="5">
        <f>11 / 86400</f>
        <v>1.273148148148148E-4</v>
      </c>
      <c r="L524" s="5">
        <f>3274 / 86400</f>
        <v>3.7893518518518521E-2</v>
      </c>
    </row>
    <row r="525" spans="1:12" x14ac:dyDescent="0.25">
      <c r="A525" s="3">
        <v>45701.457314814819</v>
      </c>
      <c r="B525" t="s">
        <v>372</v>
      </c>
      <c r="C525" s="3">
        <v>45701.601770833338</v>
      </c>
      <c r="D525" t="s">
        <v>371</v>
      </c>
      <c r="E525" s="4">
        <v>49.965000000000003</v>
      </c>
      <c r="F525" s="4">
        <v>407842.397</v>
      </c>
      <c r="G525" s="4">
        <v>407892.36200000002</v>
      </c>
      <c r="H525" s="5">
        <f>4739 / 86400</f>
        <v>5.4849537037037037E-2</v>
      </c>
      <c r="I525" t="s">
        <v>203</v>
      </c>
      <c r="J525" t="s">
        <v>43</v>
      </c>
      <c r="K525" s="5">
        <f>12481 / 86400</f>
        <v>0.14445601851851853</v>
      </c>
      <c r="L525" s="5">
        <f>2203 / 86400</f>
        <v>2.5497685185185186E-2</v>
      </c>
    </row>
    <row r="526" spans="1:12" x14ac:dyDescent="0.25">
      <c r="A526" s="3">
        <v>45701.627268518518</v>
      </c>
      <c r="B526" t="s">
        <v>371</v>
      </c>
      <c r="C526" s="3">
        <v>45701.630868055552</v>
      </c>
      <c r="D526" t="s">
        <v>118</v>
      </c>
      <c r="E526" s="4">
        <v>0.82599999999999996</v>
      </c>
      <c r="F526" s="4">
        <v>407892.36200000002</v>
      </c>
      <c r="G526" s="4">
        <v>407893.18800000002</v>
      </c>
      <c r="H526" s="5">
        <f>59 / 86400</f>
        <v>6.8287037037037036E-4</v>
      </c>
      <c r="I526" t="s">
        <v>132</v>
      </c>
      <c r="J526" t="s">
        <v>128</v>
      </c>
      <c r="K526" s="5">
        <f>311 / 86400</f>
        <v>3.5995370370370369E-3</v>
      </c>
      <c r="L526" s="5">
        <f>345 / 86400</f>
        <v>3.9930555555555552E-3</v>
      </c>
    </row>
    <row r="527" spans="1:12" x14ac:dyDescent="0.25">
      <c r="A527" s="3">
        <v>45701.63486111111</v>
      </c>
      <c r="B527" t="s">
        <v>118</v>
      </c>
      <c r="C527" s="3">
        <v>45701.635300925926</v>
      </c>
      <c r="D527" t="s">
        <v>118</v>
      </c>
      <c r="E527" s="4">
        <v>9.2999999999999999E-2</v>
      </c>
      <c r="F527" s="4">
        <v>407893.18900000001</v>
      </c>
      <c r="G527" s="4">
        <v>407893.28200000001</v>
      </c>
      <c r="H527" s="5">
        <f>0 / 86400</f>
        <v>0</v>
      </c>
      <c r="I527" t="s">
        <v>161</v>
      </c>
      <c r="J527" t="s">
        <v>140</v>
      </c>
      <c r="K527" s="5">
        <f>38 / 86400</f>
        <v>4.3981481481481481E-4</v>
      </c>
      <c r="L527" s="5">
        <f>1985 / 86400</f>
        <v>2.2974537037037036E-2</v>
      </c>
    </row>
    <row r="528" spans="1:12" x14ac:dyDescent="0.25">
      <c r="A528" s="3">
        <v>45701.658275462964</v>
      </c>
      <c r="B528" t="s">
        <v>118</v>
      </c>
      <c r="C528" s="3">
        <v>45701.663518518515</v>
      </c>
      <c r="D528" t="s">
        <v>104</v>
      </c>
      <c r="E528" s="4">
        <v>0.73799999999999999</v>
      </c>
      <c r="F528" s="4">
        <v>407893.28200000001</v>
      </c>
      <c r="G528" s="4">
        <v>407894.02</v>
      </c>
      <c r="H528" s="5">
        <f>239 / 86400</f>
        <v>2.7662037037037039E-3</v>
      </c>
      <c r="I528" t="s">
        <v>138</v>
      </c>
      <c r="J528" t="s">
        <v>156</v>
      </c>
      <c r="K528" s="5">
        <f>453 / 86400</f>
        <v>5.2430555555555555E-3</v>
      </c>
      <c r="L528" s="5">
        <f>420 / 86400</f>
        <v>4.8611111111111112E-3</v>
      </c>
    </row>
    <row r="529" spans="1:12" x14ac:dyDescent="0.25">
      <c r="A529" s="3">
        <v>45701.668379629627</v>
      </c>
      <c r="B529" t="s">
        <v>104</v>
      </c>
      <c r="C529" s="3">
        <v>45701.787685185191</v>
      </c>
      <c r="D529" t="s">
        <v>373</v>
      </c>
      <c r="E529" s="4">
        <v>45.567</v>
      </c>
      <c r="F529" s="4">
        <v>407894.02</v>
      </c>
      <c r="G529" s="4">
        <v>407939.587</v>
      </c>
      <c r="H529" s="5">
        <f>3779 / 86400</f>
        <v>4.3738425925925924E-2</v>
      </c>
      <c r="I529" t="s">
        <v>28</v>
      </c>
      <c r="J529" t="s">
        <v>51</v>
      </c>
      <c r="K529" s="5">
        <f>10308 / 86400</f>
        <v>0.11930555555555555</v>
      </c>
      <c r="L529" s="5">
        <f>9 / 86400</f>
        <v>1.0416666666666667E-4</v>
      </c>
    </row>
    <row r="530" spans="1:12" x14ac:dyDescent="0.25">
      <c r="A530" s="3">
        <v>45701.787789351853</v>
      </c>
      <c r="B530" t="s">
        <v>373</v>
      </c>
      <c r="C530" s="3">
        <v>45701.834803240738</v>
      </c>
      <c r="D530" t="s">
        <v>281</v>
      </c>
      <c r="E530" s="4">
        <v>11.45</v>
      </c>
      <c r="F530" s="4">
        <v>407939.587</v>
      </c>
      <c r="G530" s="4">
        <v>407951.03700000001</v>
      </c>
      <c r="H530" s="5">
        <f>1488 / 86400</f>
        <v>1.7222222222222222E-2</v>
      </c>
      <c r="I530" t="s">
        <v>268</v>
      </c>
      <c r="J530" t="s">
        <v>128</v>
      </c>
      <c r="K530" s="5">
        <f>4062 / 86400</f>
        <v>4.701388888888889E-2</v>
      </c>
      <c r="L530" s="5">
        <f>2701 / 86400</f>
        <v>3.1261574074074074E-2</v>
      </c>
    </row>
    <row r="531" spans="1:12" x14ac:dyDescent="0.25">
      <c r="A531" s="3">
        <v>45701.866064814814</v>
      </c>
      <c r="B531" t="s">
        <v>72</v>
      </c>
      <c r="C531" s="3">
        <v>45701.867615740739</v>
      </c>
      <c r="D531" t="s">
        <v>72</v>
      </c>
      <c r="E531" s="4">
        <v>0.21099999999999999</v>
      </c>
      <c r="F531" s="4">
        <v>407951.06900000002</v>
      </c>
      <c r="G531" s="4">
        <v>407951.28</v>
      </c>
      <c r="H531" s="5">
        <f>40 / 86400</f>
        <v>4.6296296296296298E-4</v>
      </c>
      <c r="I531" t="s">
        <v>51</v>
      </c>
      <c r="J531" t="s">
        <v>156</v>
      </c>
      <c r="K531" s="5">
        <f>134 / 86400</f>
        <v>1.5509259259259259E-3</v>
      </c>
      <c r="L531" s="5">
        <f>12 / 86400</f>
        <v>1.3888888888888889E-4</v>
      </c>
    </row>
    <row r="532" spans="1:12" x14ac:dyDescent="0.25">
      <c r="A532" s="3">
        <v>45701.867754629631</v>
      </c>
      <c r="B532" t="s">
        <v>72</v>
      </c>
      <c r="C532" s="3">
        <v>45701.867812500001</v>
      </c>
      <c r="D532" t="s">
        <v>72</v>
      </c>
      <c r="E532" s="4">
        <v>5.0000000000000001E-3</v>
      </c>
      <c r="F532" s="4">
        <v>407951.29700000002</v>
      </c>
      <c r="G532" s="4">
        <v>407951.30200000003</v>
      </c>
      <c r="H532" s="5">
        <f>0 / 86400</f>
        <v>0</v>
      </c>
      <c r="I532" t="s">
        <v>23</v>
      </c>
      <c r="J532" t="s">
        <v>177</v>
      </c>
      <c r="K532" s="5">
        <f>5 / 86400</f>
        <v>5.7870370370370373E-5</v>
      </c>
      <c r="L532" s="5">
        <f>60 / 86400</f>
        <v>6.9444444444444447E-4</v>
      </c>
    </row>
    <row r="533" spans="1:12" x14ac:dyDescent="0.25">
      <c r="A533" s="3">
        <v>45701.868506944447</v>
      </c>
      <c r="B533" t="s">
        <v>361</v>
      </c>
      <c r="C533" s="3">
        <v>45701.868587962963</v>
      </c>
      <c r="D533" t="s">
        <v>361</v>
      </c>
      <c r="E533" s="4">
        <v>6.0000000000000001E-3</v>
      </c>
      <c r="F533" s="4">
        <v>407951.31800000003</v>
      </c>
      <c r="G533" s="4">
        <v>407951.32400000002</v>
      </c>
      <c r="H533" s="5">
        <f>0 / 86400</f>
        <v>0</v>
      </c>
      <c r="I533" t="s">
        <v>156</v>
      </c>
      <c r="J533" t="s">
        <v>124</v>
      </c>
      <c r="K533" s="5">
        <f>7 / 86400</f>
        <v>8.1018518518518516E-5</v>
      </c>
      <c r="L533" s="5">
        <f>224 / 86400</f>
        <v>2.5925925925925925E-3</v>
      </c>
    </row>
    <row r="534" spans="1:12" x14ac:dyDescent="0.25">
      <c r="A534" s="3">
        <v>45701.87118055555</v>
      </c>
      <c r="B534" t="s">
        <v>72</v>
      </c>
      <c r="C534" s="3">
        <v>45701.871493055558</v>
      </c>
      <c r="D534" t="s">
        <v>72</v>
      </c>
      <c r="E534" s="4">
        <v>0.115</v>
      </c>
      <c r="F534" s="4">
        <v>407951.36900000001</v>
      </c>
      <c r="G534" s="4">
        <v>407951.484</v>
      </c>
      <c r="H534" s="5">
        <f>0 / 86400</f>
        <v>0</v>
      </c>
      <c r="I534" t="s">
        <v>132</v>
      </c>
      <c r="J534" t="s">
        <v>51</v>
      </c>
      <c r="K534" s="5">
        <f>26 / 86400</f>
        <v>3.0092592592592595E-4</v>
      </c>
      <c r="L534" s="5">
        <f>7 / 86400</f>
        <v>8.1018518518518516E-5</v>
      </c>
    </row>
    <row r="535" spans="1:12" x14ac:dyDescent="0.25">
      <c r="A535" s="3">
        <v>45701.871574074074</v>
      </c>
      <c r="B535" t="s">
        <v>72</v>
      </c>
      <c r="C535" s="3">
        <v>45701.873287037037</v>
      </c>
      <c r="D535" t="s">
        <v>72</v>
      </c>
      <c r="E535" s="4">
        <v>1.224</v>
      </c>
      <c r="F535" s="4">
        <v>407951.49200000003</v>
      </c>
      <c r="G535" s="4">
        <v>407952.71600000001</v>
      </c>
      <c r="H535" s="5">
        <f>0 / 86400</f>
        <v>0</v>
      </c>
      <c r="I535" t="s">
        <v>36</v>
      </c>
      <c r="J535" t="s">
        <v>71</v>
      </c>
      <c r="K535" s="5">
        <f>148 / 86400</f>
        <v>1.712962962962963E-3</v>
      </c>
      <c r="L535" s="5">
        <f>1653 / 86400</f>
        <v>1.9131944444444444E-2</v>
      </c>
    </row>
    <row r="536" spans="1:12" x14ac:dyDescent="0.25">
      <c r="A536" s="3">
        <v>45701.892418981486</v>
      </c>
      <c r="B536" t="s">
        <v>295</v>
      </c>
      <c r="C536" s="3">
        <v>45701.892476851848</v>
      </c>
      <c r="D536" t="s">
        <v>295</v>
      </c>
      <c r="E536" s="4">
        <v>2.7E-2</v>
      </c>
      <c r="F536" s="4">
        <v>407952.84700000001</v>
      </c>
      <c r="G536" s="4">
        <v>407952.87400000001</v>
      </c>
      <c r="H536" s="5">
        <f>0 / 86400</f>
        <v>0</v>
      </c>
      <c r="I536" t="s">
        <v>155</v>
      </c>
      <c r="J536" t="s">
        <v>23</v>
      </c>
      <c r="K536" s="5">
        <f>5 / 86400</f>
        <v>5.7870370370370373E-5</v>
      </c>
      <c r="L536" s="5">
        <f>89 / 86400</f>
        <v>1.0300925925925926E-3</v>
      </c>
    </row>
    <row r="537" spans="1:12" x14ac:dyDescent="0.25">
      <c r="A537" s="3">
        <v>45701.893506944441</v>
      </c>
      <c r="B537" t="s">
        <v>295</v>
      </c>
      <c r="C537" s="3">
        <v>45701.923032407409</v>
      </c>
      <c r="D537" t="s">
        <v>158</v>
      </c>
      <c r="E537" s="4">
        <v>14.499000000000001</v>
      </c>
      <c r="F537" s="4">
        <v>407952.94099999999</v>
      </c>
      <c r="G537" s="4">
        <v>407967.44</v>
      </c>
      <c r="H537" s="5">
        <f>580 / 86400</f>
        <v>6.7129629629629631E-3</v>
      </c>
      <c r="I537" t="s">
        <v>282</v>
      </c>
      <c r="J537" t="s">
        <v>34</v>
      </c>
      <c r="K537" s="5">
        <f>2550 / 86400</f>
        <v>2.9513888888888888E-2</v>
      </c>
      <c r="L537" s="5">
        <f>23 / 86400</f>
        <v>2.6620370370370372E-4</v>
      </c>
    </row>
    <row r="538" spans="1:12" x14ac:dyDescent="0.25">
      <c r="A538" s="3">
        <v>45701.923298611116</v>
      </c>
      <c r="B538" t="s">
        <v>158</v>
      </c>
      <c r="C538" s="3">
        <v>45701.929988425924</v>
      </c>
      <c r="D538" t="s">
        <v>153</v>
      </c>
      <c r="E538" s="4">
        <v>0.20100000000000001</v>
      </c>
      <c r="F538" s="4">
        <v>407967.44</v>
      </c>
      <c r="G538" s="4">
        <v>407967.641</v>
      </c>
      <c r="H538" s="5">
        <f>479 / 86400</f>
        <v>5.5439814814814813E-3</v>
      </c>
      <c r="I538" t="s">
        <v>74</v>
      </c>
      <c r="J538" t="s">
        <v>125</v>
      </c>
      <c r="K538" s="5">
        <f>577 / 86400</f>
        <v>6.6782407407407407E-3</v>
      </c>
      <c r="L538" s="5">
        <f>305 / 86400</f>
        <v>3.5300925925925925E-3</v>
      </c>
    </row>
    <row r="539" spans="1:12" x14ac:dyDescent="0.25">
      <c r="A539" s="3">
        <v>45701.933518518519</v>
      </c>
      <c r="B539" t="s">
        <v>153</v>
      </c>
      <c r="C539" s="3">
        <v>45701.934537037036</v>
      </c>
      <c r="D539" t="s">
        <v>153</v>
      </c>
      <c r="E539" s="4">
        <v>6.3E-2</v>
      </c>
      <c r="F539" s="4">
        <v>407967.641</v>
      </c>
      <c r="G539" s="4">
        <v>407967.70400000003</v>
      </c>
      <c r="H539" s="5">
        <f>0 / 86400</f>
        <v>0</v>
      </c>
      <c r="I539" t="s">
        <v>90</v>
      </c>
      <c r="J539" t="s">
        <v>124</v>
      </c>
      <c r="K539" s="5">
        <f>87 / 86400</f>
        <v>1.0069444444444444E-3</v>
      </c>
      <c r="L539" s="5">
        <f>158 / 86400</f>
        <v>1.8287037037037037E-3</v>
      </c>
    </row>
    <row r="540" spans="1:12" x14ac:dyDescent="0.25">
      <c r="A540" s="3">
        <v>45701.936365740738</v>
      </c>
      <c r="B540" t="s">
        <v>153</v>
      </c>
      <c r="C540" s="3">
        <v>45701.937881944439</v>
      </c>
      <c r="D540" t="s">
        <v>157</v>
      </c>
      <c r="E540" s="4">
        <v>0.52</v>
      </c>
      <c r="F540" s="4">
        <v>407967.70400000003</v>
      </c>
      <c r="G540" s="4">
        <v>407968.22399999999</v>
      </c>
      <c r="H540" s="5">
        <f>0 / 86400</f>
        <v>0</v>
      </c>
      <c r="I540" t="s">
        <v>135</v>
      </c>
      <c r="J540" t="s">
        <v>43</v>
      </c>
      <c r="K540" s="5">
        <f>131 / 86400</f>
        <v>1.5162037037037036E-3</v>
      </c>
      <c r="L540" s="5">
        <f>526 / 86400</f>
        <v>6.0879629629629626E-3</v>
      </c>
    </row>
    <row r="541" spans="1:12" x14ac:dyDescent="0.25">
      <c r="A541" s="3">
        <v>45701.943969907406</v>
      </c>
      <c r="B541" t="s">
        <v>157</v>
      </c>
      <c r="C541" s="3">
        <v>45701.94804398148</v>
      </c>
      <c r="D541" t="s">
        <v>41</v>
      </c>
      <c r="E541" s="4">
        <v>0.75</v>
      </c>
      <c r="F541" s="4">
        <v>407968.22399999999</v>
      </c>
      <c r="G541" s="4">
        <v>407968.97399999999</v>
      </c>
      <c r="H541" s="5">
        <f>99 / 86400</f>
        <v>1.1458333333333333E-3</v>
      </c>
      <c r="I541" t="s">
        <v>20</v>
      </c>
      <c r="J541" t="s">
        <v>90</v>
      </c>
      <c r="K541" s="5">
        <f>351 / 86400</f>
        <v>4.0625000000000001E-3</v>
      </c>
      <c r="L541" s="5">
        <f>4488 / 86400</f>
        <v>5.1944444444444446E-2</v>
      </c>
    </row>
    <row r="542" spans="1:12" x14ac:dyDescent="0.25">
      <c r="A542" s="11"/>
      <c r="B542" s="11"/>
      <c r="C542" s="11"/>
      <c r="D542" s="11"/>
      <c r="E542" s="11"/>
      <c r="F542" s="11"/>
      <c r="G542" s="11"/>
      <c r="H542" s="11"/>
      <c r="I542" s="11"/>
      <c r="J542" s="11"/>
    </row>
    <row r="543" spans="1:12" x14ac:dyDescent="0.25">
      <c r="A543" s="11"/>
      <c r="B543" s="11"/>
      <c r="C543" s="11"/>
      <c r="D543" s="11"/>
      <c r="E543" s="11"/>
      <c r="F543" s="11"/>
      <c r="G543" s="11"/>
      <c r="H543" s="11"/>
      <c r="I543" s="11"/>
      <c r="J543" s="11"/>
    </row>
    <row r="544" spans="1:12" s="10" customFormat="1" ht="20.100000000000001" customHeight="1" x14ac:dyDescent="0.35">
      <c r="A544" s="12" t="s">
        <v>436</v>
      </c>
      <c r="B544" s="12"/>
      <c r="C544" s="12"/>
      <c r="D544" s="12"/>
      <c r="E544" s="12"/>
      <c r="F544" s="12"/>
      <c r="G544" s="12"/>
      <c r="H544" s="12"/>
      <c r="I544" s="12"/>
      <c r="J544" s="12"/>
    </row>
    <row r="545" spans="1:12" x14ac:dyDescent="0.25">
      <c r="A545" s="11"/>
      <c r="B545" s="11"/>
      <c r="C545" s="11"/>
      <c r="D545" s="11"/>
      <c r="E545" s="11"/>
      <c r="F545" s="11"/>
      <c r="G545" s="11"/>
      <c r="H545" s="11"/>
      <c r="I545" s="11"/>
      <c r="J545" s="11"/>
    </row>
    <row r="546" spans="1:12" ht="30" x14ac:dyDescent="0.25">
      <c r="A546" s="2" t="s">
        <v>5</v>
      </c>
      <c r="B546" s="2" t="s">
        <v>6</v>
      </c>
      <c r="C546" s="2" t="s">
        <v>7</v>
      </c>
      <c r="D546" s="2" t="s">
        <v>8</v>
      </c>
      <c r="E546" s="2" t="s">
        <v>9</v>
      </c>
      <c r="F546" s="2" t="s">
        <v>10</v>
      </c>
      <c r="G546" s="2" t="s">
        <v>11</v>
      </c>
      <c r="H546" s="2" t="s">
        <v>12</v>
      </c>
      <c r="I546" s="2" t="s">
        <v>13</v>
      </c>
      <c r="J546" s="2" t="s">
        <v>14</v>
      </c>
      <c r="K546" s="2" t="s">
        <v>15</v>
      </c>
      <c r="L546" s="2" t="s">
        <v>16</v>
      </c>
    </row>
    <row r="547" spans="1:12" x14ac:dyDescent="0.25">
      <c r="A547" s="3">
        <v>45701.224652777775</v>
      </c>
      <c r="B547" t="s">
        <v>44</v>
      </c>
      <c r="C547" s="3">
        <v>45701.23165509259</v>
      </c>
      <c r="D547" t="s">
        <v>131</v>
      </c>
      <c r="E547" s="4">
        <v>0.45400000000000001</v>
      </c>
      <c r="F547" s="4">
        <v>437504.95600000001</v>
      </c>
      <c r="G547" s="4">
        <v>437505.41</v>
      </c>
      <c r="H547" s="5">
        <f>479 / 86400</f>
        <v>5.5439814814814813E-3</v>
      </c>
      <c r="I547" t="s">
        <v>152</v>
      </c>
      <c r="J547" t="s">
        <v>124</v>
      </c>
      <c r="K547" s="5">
        <f>605 / 86400</f>
        <v>7.0023148148148145E-3</v>
      </c>
      <c r="L547" s="5">
        <f>22521 / 86400</f>
        <v>0.26065972222222222</v>
      </c>
    </row>
    <row r="548" spans="1:12" x14ac:dyDescent="0.25">
      <c r="A548" s="3">
        <v>45701.267662037033</v>
      </c>
      <c r="B548" t="s">
        <v>131</v>
      </c>
      <c r="C548" s="3">
        <v>45701.269432870366</v>
      </c>
      <c r="D548" t="s">
        <v>134</v>
      </c>
      <c r="E548" s="4">
        <v>0.40100000000000002</v>
      </c>
      <c r="F548" s="4">
        <v>437505.41</v>
      </c>
      <c r="G548" s="4">
        <v>437505.81099999999</v>
      </c>
      <c r="H548" s="5">
        <f>59 / 86400</f>
        <v>6.8287037037037036E-4</v>
      </c>
      <c r="I548" t="s">
        <v>152</v>
      </c>
      <c r="J548" t="s">
        <v>140</v>
      </c>
      <c r="K548" s="5">
        <f>153 / 86400</f>
        <v>1.7708333333333332E-3</v>
      </c>
      <c r="L548" s="5">
        <f>8164 / 86400</f>
        <v>9.4490740740740736E-2</v>
      </c>
    </row>
    <row r="549" spans="1:12" x14ac:dyDescent="0.25">
      <c r="A549" s="3">
        <v>45701.363923611112</v>
      </c>
      <c r="B549" t="s">
        <v>134</v>
      </c>
      <c r="C549" s="3">
        <v>45701.371446759258</v>
      </c>
      <c r="D549" t="s">
        <v>89</v>
      </c>
      <c r="E549" s="4">
        <v>0.91700000000000004</v>
      </c>
      <c r="F549" s="4">
        <v>437505.81099999999</v>
      </c>
      <c r="G549" s="4">
        <v>437506.728</v>
      </c>
      <c r="H549" s="5">
        <f>439 / 86400</f>
        <v>5.0810185185185186E-3</v>
      </c>
      <c r="I549" t="s">
        <v>162</v>
      </c>
      <c r="J549" t="s">
        <v>37</v>
      </c>
      <c r="K549" s="5">
        <f>649 / 86400</f>
        <v>7.5115740740740742E-3</v>
      </c>
      <c r="L549" s="5">
        <f>20368 / 86400</f>
        <v>0.23574074074074075</v>
      </c>
    </row>
    <row r="550" spans="1:12" x14ac:dyDescent="0.25">
      <c r="A550" s="3">
        <v>45701.607187500005</v>
      </c>
      <c r="B550" t="s">
        <v>89</v>
      </c>
      <c r="C550" s="3">
        <v>45701.608657407407</v>
      </c>
      <c r="D550" t="s">
        <v>89</v>
      </c>
      <c r="E550" s="4">
        <v>0</v>
      </c>
      <c r="F550" s="4">
        <v>437506.728</v>
      </c>
      <c r="G550" s="4">
        <v>437506.728</v>
      </c>
      <c r="H550" s="5">
        <f>119 / 86400</f>
        <v>1.3773148148148147E-3</v>
      </c>
      <c r="I550" t="s">
        <v>91</v>
      </c>
      <c r="J550" t="s">
        <v>91</v>
      </c>
      <c r="K550" s="5">
        <f>126 / 86400</f>
        <v>1.4583333333333334E-3</v>
      </c>
      <c r="L550" s="5">
        <f>64 / 86400</f>
        <v>7.407407407407407E-4</v>
      </c>
    </row>
    <row r="551" spans="1:12" x14ac:dyDescent="0.25">
      <c r="A551" s="3">
        <v>45701.609398148154</v>
      </c>
      <c r="B551" t="s">
        <v>89</v>
      </c>
      <c r="C551" s="3">
        <v>45701.609583333338</v>
      </c>
      <c r="D551" t="s">
        <v>89</v>
      </c>
      <c r="E551" s="4">
        <v>0</v>
      </c>
      <c r="F551" s="4">
        <v>437506.728</v>
      </c>
      <c r="G551" s="4">
        <v>437506.728</v>
      </c>
      <c r="H551" s="5">
        <f>0 / 86400</f>
        <v>0</v>
      </c>
      <c r="I551" t="s">
        <v>91</v>
      </c>
      <c r="J551" t="s">
        <v>91</v>
      </c>
      <c r="K551" s="5">
        <f>15 / 86400</f>
        <v>1.7361111111111112E-4</v>
      </c>
      <c r="L551" s="5">
        <f>158 / 86400</f>
        <v>1.8287037037037037E-3</v>
      </c>
    </row>
    <row r="552" spans="1:12" x14ac:dyDescent="0.25">
      <c r="A552" s="3">
        <v>45701.611412037033</v>
      </c>
      <c r="B552" t="s">
        <v>89</v>
      </c>
      <c r="C552" s="3">
        <v>45701.611620370371</v>
      </c>
      <c r="D552" t="s">
        <v>89</v>
      </c>
      <c r="E552" s="4">
        <v>0</v>
      </c>
      <c r="F552" s="4">
        <v>437506.728</v>
      </c>
      <c r="G552" s="4">
        <v>437506.728</v>
      </c>
      <c r="H552" s="5">
        <f>0 / 86400</f>
        <v>0</v>
      </c>
      <c r="I552" t="s">
        <v>91</v>
      </c>
      <c r="J552" t="s">
        <v>91</v>
      </c>
      <c r="K552" s="5">
        <f>17 / 86400</f>
        <v>1.9675925925925926E-4</v>
      </c>
      <c r="L552" s="5">
        <f>317 / 86400</f>
        <v>3.6689814814814814E-3</v>
      </c>
    </row>
    <row r="553" spans="1:12" x14ac:dyDescent="0.25">
      <c r="A553" s="3">
        <v>45701.615289351852</v>
      </c>
      <c r="B553" t="s">
        <v>89</v>
      </c>
      <c r="C553" s="3">
        <v>45701.615648148145</v>
      </c>
      <c r="D553" t="s">
        <v>89</v>
      </c>
      <c r="E553" s="4">
        <v>0</v>
      </c>
      <c r="F553" s="4">
        <v>437506.728</v>
      </c>
      <c r="G553" s="4">
        <v>437506.728</v>
      </c>
      <c r="H553" s="5">
        <f>19 / 86400</f>
        <v>2.199074074074074E-4</v>
      </c>
      <c r="I553" t="s">
        <v>91</v>
      </c>
      <c r="J553" t="s">
        <v>91</v>
      </c>
      <c r="K553" s="5">
        <f>30 / 86400</f>
        <v>3.4722222222222224E-4</v>
      </c>
      <c r="L553" s="5">
        <f>1017 / 86400</f>
        <v>1.1770833333333333E-2</v>
      </c>
    </row>
    <row r="554" spans="1:12" x14ac:dyDescent="0.25">
      <c r="A554" s="3">
        <v>45701.627418981487</v>
      </c>
      <c r="B554" t="s">
        <v>89</v>
      </c>
      <c r="C554" s="3">
        <v>45701.627962962964</v>
      </c>
      <c r="D554" t="s">
        <v>89</v>
      </c>
      <c r="E554" s="4">
        <v>0</v>
      </c>
      <c r="F554" s="4">
        <v>437506.728</v>
      </c>
      <c r="G554" s="4">
        <v>437506.728</v>
      </c>
      <c r="H554" s="5">
        <f>39 / 86400</f>
        <v>4.5138888888888887E-4</v>
      </c>
      <c r="I554" t="s">
        <v>91</v>
      </c>
      <c r="J554" t="s">
        <v>91</v>
      </c>
      <c r="K554" s="5">
        <f>47 / 86400</f>
        <v>5.4398148148148144E-4</v>
      </c>
      <c r="L554" s="5">
        <f>430 / 86400</f>
        <v>4.9768518518518521E-3</v>
      </c>
    </row>
    <row r="555" spans="1:12" x14ac:dyDescent="0.25">
      <c r="A555" s="3">
        <v>45701.632939814815</v>
      </c>
      <c r="B555" t="s">
        <v>89</v>
      </c>
      <c r="C555" s="3">
        <v>45701.634976851856</v>
      </c>
      <c r="D555" t="s">
        <v>89</v>
      </c>
      <c r="E555" s="4">
        <v>0</v>
      </c>
      <c r="F555" s="4">
        <v>437506.728</v>
      </c>
      <c r="G555" s="4">
        <v>437506.728</v>
      </c>
      <c r="H555" s="5">
        <f>159 / 86400</f>
        <v>1.8402777777777777E-3</v>
      </c>
      <c r="I555" t="s">
        <v>91</v>
      </c>
      <c r="J555" t="s">
        <v>91</v>
      </c>
      <c r="K555" s="5">
        <f>175 / 86400</f>
        <v>2.0254629629629629E-3</v>
      </c>
      <c r="L555" s="5">
        <f>2488 / 86400</f>
        <v>2.8796296296296296E-2</v>
      </c>
    </row>
    <row r="556" spans="1:12" x14ac:dyDescent="0.25">
      <c r="A556" s="3">
        <v>45701.663773148146</v>
      </c>
      <c r="B556" t="s">
        <v>89</v>
      </c>
      <c r="C556" s="3">
        <v>45701.772627314815</v>
      </c>
      <c r="D556" t="s">
        <v>113</v>
      </c>
      <c r="E556" s="4">
        <v>44.338999999999999</v>
      </c>
      <c r="F556" s="4">
        <v>437506.728</v>
      </c>
      <c r="G556" s="4">
        <v>437551.06699999998</v>
      </c>
      <c r="H556" s="5">
        <f>3499 / 86400</f>
        <v>4.0497685185185185E-2</v>
      </c>
      <c r="I556" t="s">
        <v>45</v>
      </c>
      <c r="J556" t="s">
        <v>20</v>
      </c>
      <c r="K556" s="5">
        <f>9404 / 86400</f>
        <v>0.10884259259259259</v>
      </c>
      <c r="L556" s="5">
        <f>186 / 86400</f>
        <v>2.1527777777777778E-3</v>
      </c>
    </row>
    <row r="557" spans="1:12" x14ac:dyDescent="0.25">
      <c r="A557" s="3">
        <v>45701.774780092594</v>
      </c>
      <c r="B557" t="s">
        <v>113</v>
      </c>
      <c r="C557" s="3">
        <v>45701.912002314813</v>
      </c>
      <c r="D557" t="s">
        <v>158</v>
      </c>
      <c r="E557" s="4">
        <v>49.198</v>
      </c>
      <c r="F557" s="4">
        <v>437551.06699999998</v>
      </c>
      <c r="G557" s="4">
        <v>437600.26500000001</v>
      </c>
      <c r="H557" s="5">
        <f>3900 / 86400</f>
        <v>4.5138888888888888E-2</v>
      </c>
      <c r="I557" t="s">
        <v>28</v>
      </c>
      <c r="J557" t="s">
        <v>29</v>
      </c>
      <c r="K557" s="5">
        <f>11856 / 86400</f>
        <v>0.13722222222222222</v>
      </c>
      <c r="L557" s="5">
        <f>517 / 86400</f>
        <v>5.9837962962962961E-3</v>
      </c>
    </row>
    <row r="558" spans="1:12" x14ac:dyDescent="0.25">
      <c r="A558" s="3">
        <v>45701.917986111112</v>
      </c>
      <c r="B558" t="s">
        <v>158</v>
      </c>
      <c r="C558" s="3">
        <v>45701.921111111107</v>
      </c>
      <c r="D558" t="s">
        <v>44</v>
      </c>
      <c r="E558" s="4">
        <v>0.95499999999999996</v>
      </c>
      <c r="F558" s="4">
        <v>437600.26500000001</v>
      </c>
      <c r="G558" s="4">
        <v>437601.22</v>
      </c>
      <c r="H558" s="5">
        <f>0 / 86400</f>
        <v>0</v>
      </c>
      <c r="I558" t="s">
        <v>145</v>
      </c>
      <c r="J558" t="s">
        <v>58</v>
      </c>
      <c r="K558" s="5">
        <f>269 / 86400</f>
        <v>3.1134259259259257E-3</v>
      </c>
      <c r="L558" s="5">
        <f>21 / 86400</f>
        <v>2.4305555555555555E-4</v>
      </c>
    </row>
    <row r="559" spans="1:12" x14ac:dyDescent="0.25">
      <c r="A559" s="3">
        <v>45701.921354166669</v>
      </c>
      <c r="B559" t="s">
        <v>44</v>
      </c>
      <c r="C559" s="3">
        <v>45701.921446759261</v>
      </c>
      <c r="D559" t="s">
        <v>44</v>
      </c>
      <c r="E559" s="4">
        <v>1E-3</v>
      </c>
      <c r="F559" s="4">
        <v>437601.22</v>
      </c>
      <c r="G559" s="4">
        <v>437601.22100000002</v>
      </c>
      <c r="H559" s="5">
        <f>0 / 86400</f>
        <v>0</v>
      </c>
      <c r="I559" t="s">
        <v>91</v>
      </c>
      <c r="J559" t="s">
        <v>125</v>
      </c>
      <c r="K559" s="5">
        <f>7 / 86400</f>
        <v>8.1018518518518516E-5</v>
      </c>
      <c r="L559" s="5">
        <f>170 / 86400</f>
        <v>1.9675925925925924E-3</v>
      </c>
    </row>
    <row r="560" spans="1:12" x14ac:dyDescent="0.25">
      <c r="A560" s="3">
        <v>45701.923414351855</v>
      </c>
      <c r="B560" t="s">
        <v>44</v>
      </c>
      <c r="C560" s="3">
        <v>45701.923495370371</v>
      </c>
      <c r="D560" t="s">
        <v>44</v>
      </c>
      <c r="E560" s="4">
        <v>0</v>
      </c>
      <c r="F560" s="4">
        <v>437601.22100000002</v>
      </c>
      <c r="G560" s="4">
        <v>437601.22100000002</v>
      </c>
      <c r="H560" s="5">
        <f>0 / 86400</f>
        <v>0</v>
      </c>
      <c r="I560" t="s">
        <v>91</v>
      </c>
      <c r="J560" t="s">
        <v>91</v>
      </c>
      <c r="K560" s="5">
        <f>7 / 86400</f>
        <v>8.1018518518518516E-5</v>
      </c>
      <c r="L560" s="5">
        <f>6609 / 86400</f>
        <v>7.649305555555555E-2</v>
      </c>
    </row>
    <row r="561" spans="1:12" x14ac:dyDescent="0.25">
      <c r="A561" s="11"/>
      <c r="B561" s="11"/>
      <c r="C561" s="11"/>
      <c r="D561" s="11"/>
      <c r="E561" s="11"/>
      <c r="F561" s="11"/>
      <c r="G561" s="11"/>
      <c r="H561" s="11"/>
      <c r="I561" s="11"/>
      <c r="J561" s="11"/>
    </row>
    <row r="562" spans="1:12" x14ac:dyDescent="0.25">
      <c r="A562" s="11"/>
      <c r="B562" s="11"/>
      <c r="C562" s="11"/>
      <c r="D562" s="11"/>
      <c r="E562" s="11"/>
      <c r="F562" s="11"/>
      <c r="G562" s="11"/>
      <c r="H562" s="11"/>
      <c r="I562" s="11"/>
      <c r="J562" s="11"/>
    </row>
    <row r="563" spans="1:12" s="10" customFormat="1" ht="20.100000000000001" customHeight="1" x14ac:dyDescent="0.35">
      <c r="A563" s="12" t="s">
        <v>437</v>
      </c>
      <c r="B563" s="12"/>
      <c r="C563" s="12"/>
      <c r="D563" s="12"/>
      <c r="E563" s="12"/>
      <c r="F563" s="12"/>
      <c r="G563" s="12"/>
      <c r="H563" s="12"/>
      <c r="I563" s="12"/>
      <c r="J563" s="12"/>
    </row>
    <row r="564" spans="1:12" x14ac:dyDescent="0.25">
      <c r="A564" s="11"/>
      <c r="B564" s="11"/>
      <c r="C564" s="11"/>
      <c r="D564" s="11"/>
      <c r="E564" s="11"/>
      <c r="F564" s="11"/>
      <c r="G564" s="11"/>
      <c r="H564" s="11"/>
      <c r="I564" s="11"/>
      <c r="J564" s="11"/>
    </row>
    <row r="565" spans="1:12" ht="30" x14ac:dyDescent="0.25">
      <c r="A565" s="2" t="s">
        <v>5</v>
      </c>
      <c r="B565" s="2" t="s">
        <v>6</v>
      </c>
      <c r="C565" s="2" t="s">
        <v>7</v>
      </c>
      <c r="D565" s="2" t="s">
        <v>8</v>
      </c>
      <c r="E565" s="2" t="s">
        <v>9</v>
      </c>
      <c r="F565" s="2" t="s">
        <v>10</v>
      </c>
      <c r="G565" s="2" t="s">
        <v>11</v>
      </c>
      <c r="H565" s="2" t="s">
        <v>12</v>
      </c>
      <c r="I565" s="2" t="s">
        <v>13</v>
      </c>
      <c r="J565" s="2" t="s">
        <v>14</v>
      </c>
      <c r="K565" s="2" t="s">
        <v>15</v>
      </c>
      <c r="L565" s="2" t="s">
        <v>16</v>
      </c>
    </row>
    <row r="566" spans="1:12" x14ac:dyDescent="0.25">
      <c r="A566" s="3">
        <v>45701.131643518514</v>
      </c>
      <c r="B566" t="s">
        <v>21</v>
      </c>
      <c r="C566" s="3">
        <v>45701.137824074074</v>
      </c>
      <c r="D566" t="s">
        <v>374</v>
      </c>
      <c r="E566" s="4">
        <v>1.0569999999999999</v>
      </c>
      <c r="F566" s="4">
        <v>54097.949000000001</v>
      </c>
      <c r="G566" s="4">
        <v>54099.006000000001</v>
      </c>
      <c r="H566" s="5">
        <f>280 / 86400</f>
        <v>3.2407407407407406E-3</v>
      </c>
      <c r="I566" t="s">
        <v>159</v>
      </c>
      <c r="J566" t="s">
        <v>161</v>
      </c>
      <c r="K566" s="5">
        <f>533 / 86400</f>
        <v>6.1689814814814819E-3</v>
      </c>
      <c r="L566" s="5">
        <f>18991 / 86400</f>
        <v>0.21980324074074073</v>
      </c>
    </row>
    <row r="567" spans="1:12" x14ac:dyDescent="0.25">
      <c r="A567" s="3">
        <v>45701.225983796292</v>
      </c>
      <c r="B567" t="s">
        <v>374</v>
      </c>
      <c r="C567" s="3">
        <v>45701.334340277783</v>
      </c>
      <c r="D567" t="s">
        <v>372</v>
      </c>
      <c r="E567" s="4">
        <v>51.506999999999998</v>
      </c>
      <c r="F567" s="4">
        <v>54099.006000000001</v>
      </c>
      <c r="G567" s="4">
        <v>54150.512999999999</v>
      </c>
      <c r="H567" s="5">
        <f>2719 / 86400</f>
        <v>3.1469907407407405E-2</v>
      </c>
      <c r="I567" t="s">
        <v>115</v>
      </c>
      <c r="J567" t="s">
        <v>34</v>
      </c>
      <c r="K567" s="5">
        <f>9362 / 86400</f>
        <v>0.10835648148148148</v>
      </c>
      <c r="L567" s="5">
        <f>274 / 86400</f>
        <v>3.1712962962962962E-3</v>
      </c>
    </row>
    <row r="568" spans="1:12" x14ac:dyDescent="0.25">
      <c r="A568" s="3">
        <v>45701.337511574078</v>
      </c>
      <c r="B568" t="s">
        <v>372</v>
      </c>
      <c r="C568" s="3">
        <v>45701.453726851847</v>
      </c>
      <c r="D568" t="s">
        <v>131</v>
      </c>
      <c r="E568" s="4">
        <v>51.682000000000002</v>
      </c>
      <c r="F568" s="4">
        <v>54150.512999999999</v>
      </c>
      <c r="G568" s="4">
        <v>54202.195</v>
      </c>
      <c r="H568" s="5">
        <f>2561 / 86400</f>
        <v>2.9641203703703704E-2</v>
      </c>
      <c r="I568" t="s">
        <v>40</v>
      </c>
      <c r="J568" t="s">
        <v>23</v>
      </c>
      <c r="K568" s="5">
        <f>10040 / 86400</f>
        <v>0.1162037037037037</v>
      </c>
      <c r="L568" s="5">
        <f>190 / 86400</f>
        <v>2.1990740740740742E-3</v>
      </c>
    </row>
    <row r="569" spans="1:12" x14ac:dyDescent="0.25">
      <c r="A569" s="3">
        <v>45701.455925925926</v>
      </c>
      <c r="B569" t="s">
        <v>131</v>
      </c>
      <c r="C569" s="3">
        <v>45701.456388888888</v>
      </c>
      <c r="D569" t="s">
        <v>131</v>
      </c>
      <c r="E569" s="4">
        <v>0.05</v>
      </c>
      <c r="F569" s="4">
        <v>54202.195</v>
      </c>
      <c r="G569" s="4">
        <v>54202.245000000003</v>
      </c>
      <c r="H569" s="5">
        <f>0 / 86400</f>
        <v>0</v>
      </c>
      <c r="I569" t="s">
        <v>161</v>
      </c>
      <c r="J569" t="s">
        <v>37</v>
      </c>
      <c r="K569" s="5">
        <f>40 / 86400</f>
        <v>4.6296296296296298E-4</v>
      </c>
      <c r="L569" s="5">
        <f>80 / 86400</f>
        <v>9.2592592592592596E-4</v>
      </c>
    </row>
    <row r="570" spans="1:12" x14ac:dyDescent="0.25">
      <c r="A570" s="3">
        <v>45701.457314814819</v>
      </c>
      <c r="B570" t="s">
        <v>131</v>
      </c>
      <c r="C570" s="3">
        <v>45701.460173611107</v>
      </c>
      <c r="D570" t="s">
        <v>118</v>
      </c>
      <c r="E570" s="4">
        <v>1.151</v>
      </c>
      <c r="F570" s="4">
        <v>54202.245000000003</v>
      </c>
      <c r="G570" s="4">
        <v>54203.396000000001</v>
      </c>
      <c r="H570" s="5">
        <f>20 / 86400</f>
        <v>2.3148148148148149E-4</v>
      </c>
      <c r="I570" t="s">
        <v>202</v>
      </c>
      <c r="J570" t="s">
        <v>20</v>
      </c>
      <c r="K570" s="5">
        <f>246 / 86400</f>
        <v>2.8472222222222223E-3</v>
      </c>
      <c r="L570" s="5">
        <f>1556 / 86400</f>
        <v>1.800925925925926E-2</v>
      </c>
    </row>
    <row r="571" spans="1:12" x14ac:dyDescent="0.25">
      <c r="A571" s="3">
        <v>45701.478182870371</v>
      </c>
      <c r="B571" t="s">
        <v>118</v>
      </c>
      <c r="C571" s="3">
        <v>45701.556134259255</v>
      </c>
      <c r="D571" t="s">
        <v>119</v>
      </c>
      <c r="E571" s="4">
        <v>40.454000000000001</v>
      </c>
      <c r="F571" s="4">
        <v>54203.396000000001</v>
      </c>
      <c r="G571" s="4">
        <v>54243.85</v>
      </c>
      <c r="H571" s="5">
        <f>1800 / 86400</f>
        <v>2.0833333333333332E-2</v>
      </c>
      <c r="I571" t="s">
        <v>46</v>
      </c>
      <c r="J571" t="s">
        <v>132</v>
      </c>
      <c r="K571" s="5">
        <f>6735 / 86400</f>
        <v>7.795138888888889E-2</v>
      </c>
      <c r="L571" s="5">
        <f>1013 / 86400</f>
        <v>1.1724537037037037E-2</v>
      </c>
    </row>
    <row r="572" spans="1:12" x14ac:dyDescent="0.25">
      <c r="A572" s="3">
        <v>45701.567858796298</v>
      </c>
      <c r="B572" t="s">
        <v>119</v>
      </c>
      <c r="C572" s="3">
        <v>45701.643229166672</v>
      </c>
      <c r="D572" t="s">
        <v>153</v>
      </c>
      <c r="E572" s="4">
        <v>38.884999999999998</v>
      </c>
      <c r="F572" s="4">
        <v>54243.85</v>
      </c>
      <c r="G572" s="4">
        <v>54282.735000000001</v>
      </c>
      <c r="H572" s="5">
        <f>1600 / 86400</f>
        <v>1.8518518518518517E-2</v>
      </c>
      <c r="I572" t="s">
        <v>28</v>
      </c>
      <c r="J572" t="s">
        <v>74</v>
      </c>
      <c r="K572" s="5">
        <f>6512 / 86400</f>
        <v>7.5370370370370365E-2</v>
      </c>
      <c r="L572" s="5">
        <f>689 / 86400</f>
        <v>7.9745370370370369E-3</v>
      </c>
    </row>
    <row r="573" spans="1:12" x14ac:dyDescent="0.25">
      <c r="A573" s="3">
        <v>45701.651203703703</v>
      </c>
      <c r="B573" t="s">
        <v>153</v>
      </c>
      <c r="C573" s="3">
        <v>45701.652627314819</v>
      </c>
      <c r="D573" t="s">
        <v>104</v>
      </c>
      <c r="E573" s="4">
        <v>0.20200000000000001</v>
      </c>
      <c r="F573" s="4">
        <v>54282.735000000001</v>
      </c>
      <c r="G573" s="4">
        <v>54282.936999999998</v>
      </c>
      <c r="H573" s="5">
        <f>19 / 86400</f>
        <v>2.199074074074074E-4</v>
      </c>
      <c r="I573" t="s">
        <v>120</v>
      </c>
      <c r="J573" t="s">
        <v>156</v>
      </c>
      <c r="K573" s="5">
        <f>123 / 86400</f>
        <v>1.4236111111111112E-3</v>
      </c>
      <c r="L573" s="5">
        <f>70 / 86400</f>
        <v>8.1018518518518516E-4</v>
      </c>
    </row>
    <row r="574" spans="1:12" x14ac:dyDescent="0.25">
      <c r="A574" s="3">
        <v>45701.653437500005</v>
      </c>
      <c r="B574" t="s">
        <v>104</v>
      </c>
      <c r="C574" s="3">
        <v>45701.653622685189</v>
      </c>
      <c r="D574" t="s">
        <v>104</v>
      </c>
      <c r="E574" s="4">
        <v>2E-3</v>
      </c>
      <c r="F574" s="4">
        <v>54282.936999999998</v>
      </c>
      <c r="G574" s="4">
        <v>54282.938999999998</v>
      </c>
      <c r="H574" s="5">
        <f>0 / 86400</f>
        <v>0</v>
      </c>
      <c r="I574" t="s">
        <v>124</v>
      </c>
      <c r="J574" t="s">
        <v>91</v>
      </c>
      <c r="K574" s="5">
        <f>16 / 86400</f>
        <v>1.8518518518518518E-4</v>
      </c>
      <c r="L574" s="5">
        <f>69 / 86400</f>
        <v>7.9861111111111116E-4</v>
      </c>
    </row>
    <row r="575" spans="1:12" x14ac:dyDescent="0.25">
      <c r="A575" s="3">
        <v>45701.654421296298</v>
      </c>
      <c r="B575" t="s">
        <v>104</v>
      </c>
      <c r="C575" s="3">
        <v>45701.656388888892</v>
      </c>
      <c r="D575" t="s">
        <v>104</v>
      </c>
      <c r="E575" s="4">
        <v>0.39</v>
      </c>
      <c r="F575" s="4">
        <v>54282.938999999998</v>
      </c>
      <c r="G575" s="4">
        <v>54283.328999999998</v>
      </c>
      <c r="H575" s="5">
        <f>20 / 86400</f>
        <v>2.3148148148148149E-4</v>
      </c>
      <c r="I575" t="s">
        <v>51</v>
      </c>
      <c r="J575" t="s">
        <v>90</v>
      </c>
      <c r="K575" s="5">
        <f>170 / 86400</f>
        <v>1.9675925925925924E-3</v>
      </c>
      <c r="L575" s="5">
        <f>209 / 86400</f>
        <v>2.4189814814814816E-3</v>
      </c>
    </row>
    <row r="576" spans="1:12" x14ac:dyDescent="0.25">
      <c r="A576" s="3">
        <v>45701.658807870372</v>
      </c>
      <c r="B576" t="s">
        <v>104</v>
      </c>
      <c r="C576" s="3">
        <v>45701.659386574072</v>
      </c>
      <c r="D576" t="s">
        <v>104</v>
      </c>
      <c r="E576" s="4">
        <v>2.1999999999999999E-2</v>
      </c>
      <c r="F576" s="4">
        <v>54283.328999999998</v>
      </c>
      <c r="G576" s="4">
        <v>54283.351000000002</v>
      </c>
      <c r="H576" s="5">
        <f>20 / 86400</f>
        <v>2.3148148148148149E-4</v>
      </c>
      <c r="I576" t="s">
        <v>110</v>
      </c>
      <c r="J576" t="s">
        <v>110</v>
      </c>
      <c r="K576" s="5">
        <f>49 / 86400</f>
        <v>5.6712962962962967E-4</v>
      </c>
      <c r="L576" s="5">
        <f>30 / 86400</f>
        <v>3.4722222222222224E-4</v>
      </c>
    </row>
    <row r="577" spans="1:12" x14ac:dyDescent="0.25">
      <c r="A577" s="3">
        <v>45701.659733796296</v>
      </c>
      <c r="B577" t="s">
        <v>104</v>
      </c>
      <c r="C577" s="3">
        <v>45701.663981481484</v>
      </c>
      <c r="D577" t="s">
        <v>104</v>
      </c>
      <c r="E577" s="4">
        <v>0.40400000000000003</v>
      </c>
      <c r="F577" s="4">
        <v>54283.351000000002</v>
      </c>
      <c r="G577" s="4">
        <v>54283.754999999997</v>
      </c>
      <c r="H577" s="5">
        <f>219 / 86400</f>
        <v>2.5347222222222221E-3</v>
      </c>
      <c r="I577" t="s">
        <v>23</v>
      </c>
      <c r="J577" t="s">
        <v>177</v>
      </c>
      <c r="K577" s="5">
        <f>366 / 86400</f>
        <v>4.2361111111111115E-3</v>
      </c>
      <c r="L577" s="5">
        <f>191 / 86400</f>
        <v>2.2106481481481482E-3</v>
      </c>
    </row>
    <row r="578" spans="1:12" x14ac:dyDescent="0.25">
      <c r="A578" s="3">
        <v>45701.666192129633</v>
      </c>
      <c r="B578" t="s">
        <v>104</v>
      </c>
      <c r="C578" s="3">
        <v>45701.668472222227</v>
      </c>
      <c r="D578" t="s">
        <v>21</v>
      </c>
      <c r="E578" s="4">
        <v>0.501</v>
      </c>
      <c r="F578" s="4">
        <v>54283.754999999997</v>
      </c>
      <c r="G578" s="4">
        <v>54284.256000000001</v>
      </c>
      <c r="H578" s="5">
        <f>60 / 86400</f>
        <v>6.9444444444444447E-4</v>
      </c>
      <c r="I578" t="s">
        <v>135</v>
      </c>
      <c r="J578" t="s">
        <v>140</v>
      </c>
      <c r="K578" s="5">
        <f>196 / 86400</f>
        <v>2.2685185185185187E-3</v>
      </c>
      <c r="L578" s="5">
        <f>18724 / 86400</f>
        <v>0.21671296296296297</v>
      </c>
    </row>
    <row r="579" spans="1:12" x14ac:dyDescent="0.25">
      <c r="A579" s="3">
        <v>45701.885185185187</v>
      </c>
      <c r="B579" t="s">
        <v>21</v>
      </c>
      <c r="C579" s="3">
        <v>45701.885972222226</v>
      </c>
      <c r="D579" t="s">
        <v>21</v>
      </c>
      <c r="E579" s="4">
        <v>1.9E-2</v>
      </c>
      <c r="F579" s="4">
        <v>54284.256000000001</v>
      </c>
      <c r="G579" s="4">
        <v>54284.275000000001</v>
      </c>
      <c r="H579" s="5">
        <f>20 / 86400</f>
        <v>2.3148148148148149E-4</v>
      </c>
      <c r="I579" t="s">
        <v>37</v>
      </c>
      <c r="J579" t="s">
        <v>125</v>
      </c>
      <c r="K579" s="5">
        <f>68 / 86400</f>
        <v>7.8703703703703705E-4</v>
      </c>
      <c r="L579" s="5">
        <f>9851 / 86400</f>
        <v>0.1140162037037037</v>
      </c>
    </row>
    <row r="580" spans="1:12" x14ac:dyDescent="0.25">
      <c r="A580" s="11"/>
      <c r="B580" s="11"/>
      <c r="C580" s="11"/>
      <c r="D580" s="11"/>
      <c r="E580" s="11"/>
      <c r="F580" s="11"/>
      <c r="G580" s="11"/>
      <c r="H580" s="11"/>
      <c r="I580" s="11"/>
      <c r="J580" s="11"/>
    </row>
    <row r="581" spans="1:12" x14ac:dyDescent="0.25">
      <c r="A581" s="11"/>
      <c r="B581" s="11"/>
      <c r="C581" s="11"/>
      <c r="D581" s="11"/>
      <c r="E581" s="11"/>
      <c r="F581" s="11"/>
      <c r="G581" s="11"/>
      <c r="H581" s="11"/>
      <c r="I581" s="11"/>
      <c r="J581" s="11"/>
    </row>
    <row r="582" spans="1:12" s="10" customFormat="1" ht="20.100000000000001" customHeight="1" x14ac:dyDescent="0.35">
      <c r="A582" s="12" t="s">
        <v>438</v>
      </c>
      <c r="B582" s="12"/>
      <c r="C582" s="12"/>
      <c r="D582" s="12"/>
      <c r="E582" s="12"/>
      <c r="F582" s="12"/>
      <c r="G582" s="12"/>
      <c r="H582" s="12"/>
      <c r="I582" s="12"/>
      <c r="J582" s="12"/>
    </row>
    <row r="583" spans="1:12" x14ac:dyDescent="0.25">
      <c r="A583" s="11"/>
      <c r="B583" s="11"/>
      <c r="C583" s="11"/>
      <c r="D583" s="11"/>
      <c r="E583" s="11"/>
      <c r="F583" s="11"/>
      <c r="G583" s="11"/>
      <c r="H583" s="11"/>
      <c r="I583" s="11"/>
      <c r="J583" s="11"/>
    </row>
    <row r="584" spans="1:12" ht="30" x14ac:dyDescent="0.25">
      <c r="A584" s="2" t="s">
        <v>5</v>
      </c>
      <c r="B584" s="2" t="s">
        <v>6</v>
      </c>
      <c r="C584" s="2" t="s">
        <v>7</v>
      </c>
      <c r="D584" s="2" t="s">
        <v>8</v>
      </c>
      <c r="E584" s="2" t="s">
        <v>9</v>
      </c>
      <c r="F584" s="2" t="s">
        <v>10</v>
      </c>
      <c r="G584" s="2" t="s">
        <v>11</v>
      </c>
      <c r="H584" s="2" t="s">
        <v>12</v>
      </c>
      <c r="I584" s="2" t="s">
        <v>13</v>
      </c>
      <c r="J584" s="2" t="s">
        <v>14</v>
      </c>
      <c r="K584" s="2" t="s">
        <v>15</v>
      </c>
      <c r="L584" s="2" t="s">
        <v>16</v>
      </c>
    </row>
    <row r="585" spans="1:12" x14ac:dyDescent="0.25">
      <c r="A585" s="3">
        <v>45701.315555555557</v>
      </c>
      <c r="B585" t="s">
        <v>47</v>
      </c>
      <c r="C585" s="3">
        <v>45701.31658564815</v>
      </c>
      <c r="D585" t="s">
        <v>47</v>
      </c>
      <c r="E585" s="4">
        <v>5.8999999999999997E-2</v>
      </c>
      <c r="F585" s="4">
        <v>215978.39600000001</v>
      </c>
      <c r="G585" s="4">
        <v>215978.45499999999</v>
      </c>
      <c r="H585" s="5">
        <f>19 / 86400</f>
        <v>2.199074074074074E-4</v>
      </c>
      <c r="I585" t="s">
        <v>156</v>
      </c>
      <c r="J585" t="s">
        <v>110</v>
      </c>
      <c r="K585" s="5">
        <f>89 / 86400</f>
        <v>1.0300925925925926E-3</v>
      </c>
      <c r="L585" s="5">
        <f>27494 / 86400</f>
        <v>0.31821759259259258</v>
      </c>
    </row>
    <row r="586" spans="1:12" x14ac:dyDescent="0.25">
      <c r="A586" s="3">
        <v>45701.319247685184</v>
      </c>
      <c r="B586" t="s">
        <v>375</v>
      </c>
      <c r="C586" s="3">
        <v>45701.321261574078</v>
      </c>
      <c r="D586" t="s">
        <v>376</v>
      </c>
      <c r="E586" s="4">
        <v>0.44400000000000001</v>
      </c>
      <c r="F586" s="4">
        <v>215978.45499999999</v>
      </c>
      <c r="G586" s="4">
        <v>215978.899</v>
      </c>
      <c r="H586" s="5">
        <f>39 / 86400</f>
        <v>4.5138888888888887E-4</v>
      </c>
      <c r="I586" t="s">
        <v>23</v>
      </c>
      <c r="J586" t="s">
        <v>140</v>
      </c>
      <c r="K586" s="5">
        <f>173 / 86400</f>
        <v>2.0023148148148148E-3</v>
      </c>
      <c r="L586" s="5">
        <f>523 / 86400</f>
        <v>6.053240740740741E-3</v>
      </c>
    </row>
    <row r="587" spans="1:12" x14ac:dyDescent="0.25">
      <c r="A587" s="3">
        <v>45701.327314814815</v>
      </c>
      <c r="B587" t="s">
        <v>376</v>
      </c>
      <c r="C587" s="3">
        <v>45701.337384259255</v>
      </c>
      <c r="D587" t="s">
        <v>131</v>
      </c>
      <c r="E587" s="4">
        <v>1.9770000000000001</v>
      </c>
      <c r="F587" s="4">
        <v>215978.899</v>
      </c>
      <c r="G587" s="4">
        <v>215980.87599999999</v>
      </c>
      <c r="H587" s="5">
        <f>200 / 86400</f>
        <v>2.3148148148148147E-3</v>
      </c>
      <c r="I587" t="s">
        <v>76</v>
      </c>
      <c r="J587" t="s">
        <v>90</v>
      </c>
      <c r="K587" s="5">
        <f>870 / 86400</f>
        <v>1.0069444444444445E-2</v>
      </c>
      <c r="L587" s="5">
        <f>378 / 86400</f>
        <v>4.3750000000000004E-3</v>
      </c>
    </row>
    <row r="588" spans="1:12" x14ac:dyDescent="0.25">
      <c r="A588" s="3">
        <v>45701.34175925926</v>
      </c>
      <c r="B588" t="s">
        <v>131</v>
      </c>
      <c r="C588" s="3">
        <v>45701.346458333333</v>
      </c>
      <c r="D588" t="s">
        <v>118</v>
      </c>
      <c r="E588" s="4">
        <v>1.18</v>
      </c>
      <c r="F588" s="4">
        <v>215980.87599999999</v>
      </c>
      <c r="G588" s="4">
        <v>215982.05600000001</v>
      </c>
      <c r="H588" s="5">
        <f>60 / 86400</f>
        <v>6.9444444444444447E-4</v>
      </c>
      <c r="I588" t="s">
        <v>34</v>
      </c>
      <c r="J588" t="s">
        <v>128</v>
      </c>
      <c r="K588" s="5">
        <f>405 / 86400</f>
        <v>4.6874999999999998E-3</v>
      </c>
      <c r="L588" s="5">
        <f>2578 / 86400</f>
        <v>2.9837962962962962E-2</v>
      </c>
    </row>
    <row r="589" spans="1:12" x14ac:dyDescent="0.25">
      <c r="A589" s="3">
        <v>45701.376296296294</v>
      </c>
      <c r="B589" t="s">
        <v>118</v>
      </c>
      <c r="C589" s="3">
        <v>45701.379976851851</v>
      </c>
      <c r="D589" t="s">
        <v>104</v>
      </c>
      <c r="E589" s="4">
        <v>0.85299999999999998</v>
      </c>
      <c r="F589" s="4">
        <v>215982.05600000001</v>
      </c>
      <c r="G589" s="4">
        <v>215982.90900000001</v>
      </c>
      <c r="H589" s="5">
        <f>140 / 86400</f>
        <v>1.6203703703703703E-3</v>
      </c>
      <c r="I589" t="s">
        <v>155</v>
      </c>
      <c r="J589" t="s">
        <v>128</v>
      </c>
      <c r="K589" s="5">
        <f>317 / 86400</f>
        <v>3.6689814814814814E-3</v>
      </c>
      <c r="L589" s="5">
        <f>403 / 86400</f>
        <v>4.6643518518518518E-3</v>
      </c>
    </row>
    <row r="590" spans="1:12" x14ac:dyDescent="0.25">
      <c r="A590" s="3">
        <v>45701.384641203702</v>
      </c>
      <c r="B590" t="s">
        <v>104</v>
      </c>
      <c r="C590" s="3">
        <v>45701.38517361111</v>
      </c>
      <c r="D590" t="s">
        <v>104</v>
      </c>
      <c r="E590" s="4">
        <v>2.1999999999999999E-2</v>
      </c>
      <c r="F590" s="4">
        <v>215982.90900000001</v>
      </c>
      <c r="G590" s="4">
        <v>215982.93100000001</v>
      </c>
      <c r="H590" s="5">
        <f>19 / 86400</f>
        <v>2.199074074074074E-4</v>
      </c>
      <c r="I590" t="s">
        <v>156</v>
      </c>
      <c r="J590" t="s">
        <v>110</v>
      </c>
      <c r="K590" s="5">
        <f>45 / 86400</f>
        <v>5.2083333333333333E-4</v>
      </c>
      <c r="L590" s="5">
        <f>9 / 86400</f>
        <v>1.0416666666666667E-4</v>
      </c>
    </row>
    <row r="591" spans="1:12" x14ac:dyDescent="0.25">
      <c r="A591" s="3">
        <v>45701.385277777779</v>
      </c>
      <c r="B591" t="s">
        <v>104</v>
      </c>
      <c r="C591" s="3">
        <v>45701.385844907403</v>
      </c>
      <c r="D591" t="s">
        <v>104</v>
      </c>
      <c r="E591" s="4">
        <v>0</v>
      </c>
      <c r="F591" s="4">
        <v>215982.93100000001</v>
      </c>
      <c r="G591" s="4">
        <v>215982.93100000001</v>
      </c>
      <c r="H591" s="5">
        <f>39 / 86400</f>
        <v>4.5138888888888887E-4</v>
      </c>
      <c r="I591" t="s">
        <v>91</v>
      </c>
      <c r="J591" t="s">
        <v>91</v>
      </c>
      <c r="K591" s="5">
        <f>49 / 86400</f>
        <v>5.6712962962962967E-4</v>
      </c>
      <c r="L591" s="5">
        <f>1849 / 86400</f>
        <v>2.1400462962962961E-2</v>
      </c>
    </row>
    <row r="592" spans="1:12" x14ac:dyDescent="0.25">
      <c r="A592" s="3">
        <v>45701.40724537037</v>
      </c>
      <c r="B592" t="s">
        <v>104</v>
      </c>
      <c r="C592" s="3">
        <v>45701.657395833332</v>
      </c>
      <c r="D592" t="s">
        <v>158</v>
      </c>
      <c r="E592" s="4">
        <v>102.331</v>
      </c>
      <c r="F592" s="4">
        <v>215982.93100000001</v>
      </c>
      <c r="G592" s="4">
        <v>216085.26199999999</v>
      </c>
      <c r="H592" s="5">
        <f>6559 / 86400</f>
        <v>7.5914351851851858E-2</v>
      </c>
      <c r="I592" t="s">
        <v>26</v>
      </c>
      <c r="J592" t="s">
        <v>20</v>
      </c>
      <c r="K592" s="5">
        <f>21613 / 86400</f>
        <v>0.25015046296296295</v>
      </c>
      <c r="L592" s="5">
        <f>438 / 86400</f>
        <v>5.0694444444444441E-3</v>
      </c>
    </row>
    <row r="593" spans="1:12" x14ac:dyDescent="0.25">
      <c r="A593" s="3">
        <v>45701.662465277783</v>
      </c>
      <c r="B593" t="s">
        <v>158</v>
      </c>
      <c r="C593" s="3">
        <v>45701.664571759262</v>
      </c>
      <c r="D593" t="s">
        <v>371</v>
      </c>
      <c r="E593" s="4">
        <v>0.61099999999999999</v>
      </c>
      <c r="F593" s="4">
        <v>216085.26199999999</v>
      </c>
      <c r="G593" s="4">
        <v>216085.87299999999</v>
      </c>
      <c r="H593" s="5">
        <f>59 / 86400</f>
        <v>6.8287037037037036E-4</v>
      </c>
      <c r="I593" t="s">
        <v>169</v>
      </c>
      <c r="J593" t="s">
        <v>120</v>
      </c>
      <c r="K593" s="5">
        <f>181 / 86400</f>
        <v>2.0949074074074073E-3</v>
      </c>
      <c r="L593" s="5">
        <f>2209 / 86400</f>
        <v>2.5567129629629631E-2</v>
      </c>
    </row>
    <row r="594" spans="1:12" x14ac:dyDescent="0.25">
      <c r="A594" s="3">
        <v>45701.690138888887</v>
      </c>
      <c r="B594" t="s">
        <v>371</v>
      </c>
      <c r="C594" s="3">
        <v>45701.770925925928</v>
      </c>
      <c r="D594" t="s">
        <v>215</v>
      </c>
      <c r="E594" s="4">
        <v>35.655000000000001</v>
      </c>
      <c r="F594" s="4">
        <v>216085.87299999999</v>
      </c>
      <c r="G594" s="4">
        <v>216121.52799999999</v>
      </c>
      <c r="H594" s="5">
        <f>2519 / 86400</f>
        <v>2.9155092592592594E-2</v>
      </c>
      <c r="I594" t="s">
        <v>75</v>
      </c>
      <c r="J594" t="s">
        <v>76</v>
      </c>
      <c r="K594" s="5">
        <f>6980 / 86400</f>
        <v>8.0787037037037032E-2</v>
      </c>
      <c r="L594" s="5">
        <f>22 / 86400</f>
        <v>2.5462962962962961E-4</v>
      </c>
    </row>
    <row r="595" spans="1:12" x14ac:dyDescent="0.25">
      <c r="A595" s="3">
        <v>45701.771180555559</v>
      </c>
      <c r="B595" t="s">
        <v>215</v>
      </c>
      <c r="C595" s="3">
        <v>45701.859965277778</v>
      </c>
      <c r="D595" t="s">
        <v>374</v>
      </c>
      <c r="E595" s="4">
        <v>35.726999999999997</v>
      </c>
      <c r="F595" s="4">
        <v>216121.52799999999</v>
      </c>
      <c r="G595" s="4">
        <v>216157.255</v>
      </c>
      <c r="H595" s="5">
        <f>2561 / 86400</f>
        <v>2.9641203703703704E-2</v>
      </c>
      <c r="I595" t="s">
        <v>26</v>
      </c>
      <c r="J595" t="s">
        <v>20</v>
      </c>
      <c r="K595" s="5">
        <f>7670 / 86400</f>
        <v>8.8773148148148143E-2</v>
      </c>
      <c r="L595" s="5">
        <f>449 / 86400</f>
        <v>5.1967592592592595E-3</v>
      </c>
    </row>
    <row r="596" spans="1:12" x14ac:dyDescent="0.25">
      <c r="A596" s="3">
        <v>45701.865162037036</v>
      </c>
      <c r="B596" t="s">
        <v>374</v>
      </c>
      <c r="C596" s="3">
        <v>45701.973912037036</v>
      </c>
      <c r="D596" t="s">
        <v>101</v>
      </c>
      <c r="E596" s="4">
        <v>48.69</v>
      </c>
      <c r="F596" s="4">
        <v>216157.255</v>
      </c>
      <c r="G596" s="4">
        <v>216205.94500000001</v>
      </c>
      <c r="H596" s="5">
        <f>3160 / 86400</f>
        <v>3.6574074074074071E-2</v>
      </c>
      <c r="I596" t="s">
        <v>40</v>
      </c>
      <c r="J596" t="s">
        <v>23</v>
      </c>
      <c r="K596" s="5">
        <f>9395 / 86400</f>
        <v>0.10873842592592593</v>
      </c>
      <c r="L596" s="5">
        <f>201 / 86400</f>
        <v>2.3263888888888887E-3</v>
      </c>
    </row>
    <row r="597" spans="1:12" x14ac:dyDescent="0.25">
      <c r="A597" s="3">
        <v>45701.976238425923</v>
      </c>
      <c r="B597" t="s">
        <v>101</v>
      </c>
      <c r="C597" s="3">
        <v>45701.976365740746</v>
      </c>
      <c r="D597" t="s">
        <v>101</v>
      </c>
      <c r="E597" s="4">
        <v>2E-3</v>
      </c>
      <c r="F597" s="4">
        <v>216205.94500000001</v>
      </c>
      <c r="G597" s="4">
        <v>216205.94699999999</v>
      </c>
      <c r="H597" s="5">
        <f>0 / 86400</f>
        <v>0</v>
      </c>
      <c r="I597" t="s">
        <v>91</v>
      </c>
      <c r="J597" t="s">
        <v>125</v>
      </c>
      <c r="K597" s="5">
        <f>11 / 86400</f>
        <v>1.273148148148148E-4</v>
      </c>
      <c r="L597" s="5">
        <f>808 / 86400</f>
        <v>9.3518518518518525E-3</v>
      </c>
    </row>
    <row r="598" spans="1:12" x14ac:dyDescent="0.25">
      <c r="A598" s="3">
        <v>45701.985717592594</v>
      </c>
      <c r="B598" t="s">
        <v>101</v>
      </c>
      <c r="C598" s="3">
        <v>45701.985937500001</v>
      </c>
      <c r="D598" t="s">
        <v>48</v>
      </c>
      <c r="E598" s="4">
        <v>5.0000000000000001E-3</v>
      </c>
      <c r="F598" s="4">
        <v>216205.94699999999</v>
      </c>
      <c r="G598" s="4">
        <v>216205.95199999999</v>
      </c>
      <c r="H598" s="5">
        <f>0 / 86400</f>
        <v>0</v>
      </c>
      <c r="I598" t="s">
        <v>37</v>
      </c>
      <c r="J598" t="s">
        <v>125</v>
      </c>
      <c r="K598" s="5">
        <f>19 / 86400</f>
        <v>2.199074074074074E-4</v>
      </c>
      <c r="L598" s="5">
        <f>394 / 86400</f>
        <v>4.5601851851851853E-3</v>
      </c>
    </row>
    <row r="599" spans="1:12" x14ac:dyDescent="0.25">
      <c r="A599" s="3">
        <v>45701.990497685183</v>
      </c>
      <c r="B599" t="s">
        <v>48</v>
      </c>
      <c r="C599" s="3">
        <v>45701.990671296298</v>
      </c>
      <c r="D599" t="s">
        <v>48</v>
      </c>
      <c r="E599" s="4">
        <v>2E-3</v>
      </c>
      <c r="F599" s="4">
        <v>216205.95199999999</v>
      </c>
      <c r="G599" s="4">
        <v>216205.954</v>
      </c>
      <c r="H599" s="5">
        <f>0 / 86400</f>
        <v>0</v>
      </c>
      <c r="I599" t="s">
        <v>91</v>
      </c>
      <c r="J599" t="s">
        <v>91</v>
      </c>
      <c r="K599" s="5">
        <f>15 / 86400</f>
        <v>1.7361111111111112E-4</v>
      </c>
      <c r="L599" s="5">
        <f>805 / 86400</f>
        <v>9.3171296296296301E-3</v>
      </c>
    </row>
    <row r="600" spans="1:12" x14ac:dyDescent="0.25">
      <c r="A600" s="11"/>
      <c r="B600" s="11"/>
      <c r="C600" s="11"/>
      <c r="D600" s="11"/>
      <c r="E600" s="11"/>
      <c r="F600" s="11"/>
      <c r="G600" s="11"/>
      <c r="H600" s="11"/>
      <c r="I600" s="11"/>
      <c r="J600" s="11"/>
    </row>
    <row r="601" spans="1:12" x14ac:dyDescent="0.25">
      <c r="A601" s="11"/>
      <c r="B601" s="11"/>
      <c r="C601" s="11"/>
      <c r="D601" s="11"/>
      <c r="E601" s="11"/>
      <c r="F601" s="11"/>
      <c r="G601" s="11"/>
      <c r="H601" s="11"/>
      <c r="I601" s="11"/>
      <c r="J601" s="11"/>
    </row>
    <row r="602" spans="1:12" s="10" customFormat="1" ht="20.100000000000001" customHeight="1" x14ac:dyDescent="0.35">
      <c r="A602" s="12" t="s">
        <v>439</v>
      </c>
      <c r="B602" s="12"/>
      <c r="C602" s="12"/>
      <c r="D602" s="12"/>
      <c r="E602" s="12"/>
      <c r="F602" s="12"/>
      <c r="G602" s="12"/>
      <c r="H602" s="12"/>
      <c r="I602" s="12"/>
      <c r="J602" s="12"/>
    </row>
    <row r="603" spans="1:12" x14ac:dyDescent="0.25">
      <c r="A603" s="11"/>
      <c r="B603" s="11"/>
      <c r="C603" s="11"/>
      <c r="D603" s="11"/>
      <c r="E603" s="11"/>
      <c r="F603" s="11"/>
      <c r="G603" s="11"/>
      <c r="H603" s="11"/>
      <c r="I603" s="11"/>
      <c r="J603" s="11"/>
    </row>
    <row r="604" spans="1:12" ht="30" x14ac:dyDescent="0.25">
      <c r="A604" s="2" t="s">
        <v>5</v>
      </c>
      <c r="B604" s="2" t="s">
        <v>6</v>
      </c>
      <c r="C604" s="2" t="s">
        <v>7</v>
      </c>
      <c r="D604" s="2" t="s">
        <v>8</v>
      </c>
      <c r="E604" s="2" t="s">
        <v>9</v>
      </c>
      <c r="F604" s="2" t="s">
        <v>10</v>
      </c>
      <c r="G604" s="2" t="s">
        <v>11</v>
      </c>
      <c r="H604" s="2" t="s">
        <v>12</v>
      </c>
      <c r="I604" s="2" t="s">
        <v>13</v>
      </c>
      <c r="J604" s="2" t="s">
        <v>14</v>
      </c>
      <c r="K604" s="2" t="s">
        <v>15</v>
      </c>
      <c r="L604" s="2" t="s">
        <v>16</v>
      </c>
    </row>
    <row r="605" spans="1:12" x14ac:dyDescent="0.25">
      <c r="A605" s="3">
        <v>45701.262870370367</v>
      </c>
      <c r="B605" t="s">
        <v>49</v>
      </c>
      <c r="C605" s="3">
        <v>45701.265289351853</v>
      </c>
      <c r="D605" t="s">
        <v>377</v>
      </c>
      <c r="E605" s="4">
        <v>0.15300000005960465</v>
      </c>
      <c r="F605" s="4">
        <v>525214.56099999999</v>
      </c>
      <c r="G605" s="4">
        <v>525214.71400000004</v>
      </c>
      <c r="H605" s="5">
        <f>79 / 86400</f>
        <v>9.1435185185185185E-4</v>
      </c>
      <c r="I605" t="s">
        <v>120</v>
      </c>
      <c r="J605" t="s">
        <v>124</v>
      </c>
      <c r="K605" s="5">
        <f>209 / 86400</f>
        <v>2.4189814814814816E-3</v>
      </c>
      <c r="L605" s="5">
        <f>24421 / 86400</f>
        <v>0.28265046296296298</v>
      </c>
    </row>
    <row r="606" spans="1:12" x14ac:dyDescent="0.25">
      <c r="A606" s="3">
        <v>45701.28506944445</v>
      </c>
      <c r="B606" t="s">
        <v>377</v>
      </c>
      <c r="C606" s="3">
        <v>45701.292326388888</v>
      </c>
      <c r="D606" t="s">
        <v>196</v>
      </c>
      <c r="E606" s="4">
        <v>1.4309999999403953</v>
      </c>
      <c r="F606" s="4">
        <v>525214.71400000004</v>
      </c>
      <c r="G606" s="4">
        <v>525216.14500000002</v>
      </c>
      <c r="H606" s="5">
        <f>299 / 86400</f>
        <v>3.460648148148148E-3</v>
      </c>
      <c r="I606" t="s">
        <v>159</v>
      </c>
      <c r="J606" t="s">
        <v>90</v>
      </c>
      <c r="K606" s="5">
        <f>626 / 86400</f>
        <v>7.2453703703703708E-3</v>
      </c>
      <c r="L606" s="5">
        <f>1039 / 86400</f>
        <v>1.2025462962962963E-2</v>
      </c>
    </row>
    <row r="607" spans="1:12" x14ac:dyDescent="0.25">
      <c r="A607" s="3">
        <v>45701.304351851853</v>
      </c>
      <c r="B607" t="s">
        <v>196</v>
      </c>
      <c r="C607" s="3">
        <v>45701.40415509259</v>
      </c>
      <c r="D607" t="s">
        <v>378</v>
      </c>
      <c r="E607" s="4">
        <v>30.799999999940397</v>
      </c>
      <c r="F607" s="4">
        <v>525216.14500000002</v>
      </c>
      <c r="G607" s="4">
        <v>525246.94499999995</v>
      </c>
      <c r="H607" s="5">
        <f>3700 / 86400</f>
        <v>4.2824074074074077E-2</v>
      </c>
      <c r="I607" t="s">
        <v>68</v>
      </c>
      <c r="J607" t="s">
        <v>58</v>
      </c>
      <c r="K607" s="5">
        <f>8622 / 86400</f>
        <v>9.9791666666666667E-2</v>
      </c>
      <c r="L607" s="5">
        <f>397 / 86400</f>
        <v>4.5949074074074078E-3</v>
      </c>
    </row>
    <row r="608" spans="1:12" x14ac:dyDescent="0.25">
      <c r="A608" s="3">
        <v>45701.408750000002</v>
      </c>
      <c r="B608" t="s">
        <v>378</v>
      </c>
      <c r="C608" s="3">
        <v>45701.437280092592</v>
      </c>
      <c r="D608" t="s">
        <v>269</v>
      </c>
      <c r="E608" s="4">
        <v>6.1430000000596046</v>
      </c>
      <c r="F608" s="4">
        <v>525246.94499999995</v>
      </c>
      <c r="G608" s="4">
        <v>525253.08799999999</v>
      </c>
      <c r="H608" s="5">
        <f>1199 / 86400</f>
        <v>1.3877314814814815E-2</v>
      </c>
      <c r="I608" t="s">
        <v>176</v>
      </c>
      <c r="J608" t="s">
        <v>140</v>
      </c>
      <c r="K608" s="5">
        <f>2465 / 86400</f>
        <v>2.8530092592592593E-2</v>
      </c>
      <c r="L608" s="5">
        <f>153 / 86400</f>
        <v>1.7708333333333332E-3</v>
      </c>
    </row>
    <row r="609" spans="1:12" x14ac:dyDescent="0.25">
      <c r="A609" s="3">
        <v>45701.439050925925</v>
      </c>
      <c r="B609" t="s">
        <v>269</v>
      </c>
      <c r="C609" s="3">
        <v>45701.546759259261</v>
      </c>
      <c r="D609" t="s">
        <v>157</v>
      </c>
      <c r="E609" s="4">
        <v>45.722999999999999</v>
      </c>
      <c r="F609" s="4">
        <v>525253.08799999999</v>
      </c>
      <c r="G609" s="4">
        <v>525298.81099999999</v>
      </c>
      <c r="H609" s="5">
        <f>2420 / 86400</f>
        <v>2.8009259259259258E-2</v>
      </c>
      <c r="I609" t="s">
        <v>166</v>
      </c>
      <c r="J609" t="s">
        <v>76</v>
      </c>
      <c r="K609" s="5">
        <f>9306 / 86400</f>
        <v>0.10770833333333334</v>
      </c>
      <c r="L609" s="5">
        <f>1875 / 86400</f>
        <v>2.1701388888888888E-2</v>
      </c>
    </row>
    <row r="610" spans="1:12" x14ac:dyDescent="0.25">
      <c r="A610" s="3">
        <v>45701.568460648152</v>
      </c>
      <c r="B610" t="s">
        <v>157</v>
      </c>
      <c r="C610" s="3">
        <v>45701.57366898148</v>
      </c>
      <c r="D610" t="s">
        <v>158</v>
      </c>
      <c r="E610" s="4">
        <v>1.0230000000596047</v>
      </c>
      <c r="F610" s="4">
        <v>525298.81099999999</v>
      </c>
      <c r="G610" s="4">
        <v>525299.83400000003</v>
      </c>
      <c r="H610" s="5">
        <f>240 / 86400</f>
        <v>2.7777777777777779E-3</v>
      </c>
      <c r="I610" t="s">
        <v>284</v>
      </c>
      <c r="J610" t="s">
        <v>90</v>
      </c>
      <c r="K610" s="5">
        <f>450 / 86400</f>
        <v>5.208333333333333E-3</v>
      </c>
      <c r="L610" s="5">
        <f>164 / 86400</f>
        <v>1.8981481481481482E-3</v>
      </c>
    </row>
    <row r="611" spans="1:12" x14ac:dyDescent="0.25">
      <c r="A611" s="3">
        <v>45701.575567129628</v>
      </c>
      <c r="B611" t="s">
        <v>158</v>
      </c>
      <c r="C611" s="3">
        <v>45701.578958333332</v>
      </c>
      <c r="D611" t="s">
        <v>374</v>
      </c>
      <c r="E611" s="4">
        <v>0.86299999999999999</v>
      </c>
      <c r="F611" s="4">
        <v>525299.83400000003</v>
      </c>
      <c r="G611" s="4">
        <v>525300.69700000004</v>
      </c>
      <c r="H611" s="5">
        <f>119 / 86400</f>
        <v>1.3773148148148147E-3</v>
      </c>
      <c r="I611" t="s">
        <v>202</v>
      </c>
      <c r="J611" t="s">
        <v>149</v>
      </c>
      <c r="K611" s="5">
        <f>293 / 86400</f>
        <v>3.3912037037037036E-3</v>
      </c>
      <c r="L611" s="5">
        <f>558 / 86400</f>
        <v>6.4583333333333333E-3</v>
      </c>
    </row>
    <row r="612" spans="1:12" x14ac:dyDescent="0.25">
      <c r="A612" s="3">
        <v>45701.585416666669</v>
      </c>
      <c r="B612" t="s">
        <v>374</v>
      </c>
      <c r="C612" s="3">
        <v>45701.673344907409</v>
      </c>
      <c r="D612" t="s">
        <v>379</v>
      </c>
      <c r="E612" s="4">
        <v>38.431999999880787</v>
      </c>
      <c r="F612" s="4">
        <v>525300.69700000004</v>
      </c>
      <c r="G612" s="4">
        <v>525339.12899999996</v>
      </c>
      <c r="H612" s="5">
        <f>2539 / 86400</f>
        <v>2.9386574074074075E-2</v>
      </c>
      <c r="I612" t="s">
        <v>200</v>
      </c>
      <c r="J612" t="s">
        <v>76</v>
      </c>
      <c r="K612" s="5">
        <f>7596 / 86400</f>
        <v>8.7916666666666671E-2</v>
      </c>
      <c r="L612" s="5">
        <f>224 / 86400</f>
        <v>2.5925925925925925E-3</v>
      </c>
    </row>
    <row r="613" spans="1:12" x14ac:dyDescent="0.25">
      <c r="A613" s="3">
        <v>45701.675937499997</v>
      </c>
      <c r="B613" t="s">
        <v>379</v>
      </c>
      <c r="C613" s="3">
        <v>45701.677256944444</v>
      </c>
      <c r="D613" t="s">
        <v>380</v>
      </c>
      <c r="E613" s="4">
        <v>3.8000000059604647E-2</v>
      </c>
      <c r="F613" s="4">
        <v>525339.12899999996</v>
      </c>
      <c r="G613" s="4">
        <v>525339.16700000002</v>
      </c>
      <c r="H613" s="5">
        <f>100 / 86400</f>
        <v>1.1574074074074073E-3</v>
      </c>
      <c r="I613" t="s">
        <v>37</v>
      </c>
      <c r="J613" t="s">
        <v>125</v>
      </c>
      <c r="K613" s="5">
        <f>114 / 86400</f>
        <v>1.3194444444444445E-3</v>
      </c>
      <c r="L613" s="5">
        <f>72 / 86400</f>
        <v>8.3333333333333339E-4</v>
      </c>
    </row>
    <row r="614" spans="1:12" x14ac:dyDescent="0.25">
      <c r="A614" s="3">
        <v>45701.678090277783</v>
      </c>
      <c r="B614" t="s">
        <v>380</v>
      </c>
      <c r="C614" s="3">
        <v>45701.769756944443</v>
      </c>
      <c r="D614" t="s">
        <v>214</v>
      </c>
      <c r="E614" s="4">
        <v>39.856000000059602</v>
      </c>
      <c r="F614" s="4">
        <v>525339.16700000002</v>
      </c>
      <c r="G614" s="4">
        <v>525379.02300000004</v>
      </c>
      <c r="H614" s="5">
        <f>2366 / 86400</f>
        <v>2.7384259259259261E-2</v>
      </c>
      <c r="I614" t="s">
        <v>50</v>
      </c>
      <c r="J614" t="s">
        <v>76</v>
      </c>
      <c r="K614" s="5">
        <f>7920 / 86400</f>
        <v>9.166666666666666E-2</v>
      </c>
      <c r="L614" s="5">
        <f>253 / 86400</f>
        <v>2.9282407407407408E-3</v>
      </c>
    </row>
    <row r="615" spans="1:12" x14ac:dyDescent="0.25">
      <c r="A615" s="3">
        <v>45701.772685185184</v>
      </c>
      <c r="B615" t="s">
        <v>214</v>
      </c>
      <c r="C615" s="3">
        <v>45701.773888888885</v>
      </c>
      <c r="D615" t="s">
        <v>214</v>
      </c>
      <c r="E615" s="4">
        <v>0.39499999988079071</v>
      </c>
      <c r="F615" s="4">
        <v>525379.02300000004</v>
      </c>
      <c r="G615" s="4">
        <v>525379.41799999995</v>
      </c>
      <c r="H615" s="5">
        <f>20 / 86400</f>
        <v>2.3148148148148149E-4</v>
      </c>
      <c r="I615" t="s">
        <v>145</v>
      </c>
      <c r="J615" t="s">
        <v>43</v>
      </c>
      <c r="K615" s="5">
        <f>104 / 86400</f>
        <v>1.2037037037037038E-3</v>
      </c>
      <c r="L615" s="5">
        <f>660 / 86400</f>
        <v>7.6388888888888886E-3</v>
      </c>
    </row>
    <row r="616" spans="1:12" x14ac:dyDescent="0.25">
      <c r="A616" s="3">
        <v>45701.781527777777</v>
      </c>
      <c r="B616" t="s">
        <v>214</v>
      </c>
      <c r="C616" s="3">
        <v>45701.830532407403</v>
      </c>
      <c r="D616" t="s">
        <v>49</v>
      </c>
      <c r="E616" s="4">
        <v>15.989000000059605</v>
      </c>
      <c r="F616" s="4">
        <v>525379.41799999995</v>
      </c>
      <c r="G616" s="4">
        <v>525395.40700000001</v>
      </c>
      <c r="H616" s="5">
        <f>1099 / 86400</f>
        <v>1.2719907407407407E-2</v>
      </c>
      <c r="I616" t="s">
        <v>176</v>
      </c>
      <c r="J616" t="s">
        <v>43</v>
      </c>
      <c r="K616" s="5">
        <f>4234 / 86400</f>
        <v>4.9004629629629627E-2</v>
      </c>
      <c r="L616" s="5">
        <f>14641 / 86400</f>
        <v>0.16945601851851852</v>
      </c>
    </row>
    <row r="617" spans="1:12" x14ac:dyDescent="0.25">
      <c r="A617" s="11"/>
      <c r="B617" s="11"/>
      <c r="C617" s="11"/>
      <c r="D617" s="11"/>
      <c r="E617" s="11"/>
      <c r="F617" s="11"/>
      <c r="G617" s="11"/>
      <c r="H617" s="11"/>
      <c r="I617" s="11"/>
      <c r="J617" s="11"/>
    </row>
    <row r="618" spans="1:12" x14ac:dyDescent="0.25">
      <c r="A618" s="11"/>
      <c r="B618" s="11"/>
      <c r="C618" s="11"/>
      <c r="D618" s="11"/>
      <c r="E618" s="11"/>
      <c r="F618" s="11"/>
      <c r="G618" s="11"/>
      <c r="H618" s="11"/>
      <c r="I618" s="11"/>
      <c r="J618" s="11"/>
    </row>
    <row r="619" spans="1:12" s="10" customFormat="1" ht="20.100000000000001" customHeight="1" x14ac:dyDescent="0.35">
      <c r="A619" s="12" t="s">
        <v>440</v>
      </c>
      <c r="B619" s="12"/>
      <c r="C619" s="12"/>
      <c r="D619" s="12"/>
      <c r="E619" s="12"/>
      <c r="F619" s="12"/>
      <c r="G619" s="12"/>
      <c r="H619" s="12"/>
      <c r="I619" s="12"/>
      <c r="J619" s="12"/>
    </row>
    <row r="620" spans="1:12" x14ac:dyDescent="0.25">
      <c r="A620" s="11"/>
      <c r="B620" s="11"/>
      <c r="C620" s="11"/>
      <c r="D620" s="11"/>
      <c r="E620" s="11"/>
      <c r="F620" s="11"/>
      <c r="G620" s="11"/>
      <c r="H620" s="11"/>
      <c r="I620" s="11"/>
      <c r="J620" s="11"/>
    </row>
    <row r="621" spans="1:12" ht="30" x14ac:dyDescent="0.25">
      <c r="A621" s="2" t="s">
        <v>5</v>
      </c>
      <c r="B621" s="2" t="s">
        <v>6</v>
      </c>
      <c r="C621" s="2" t="s">
        <v>7</v>
      </c>
      <c r="D621" s="2" t="s">
        <v>8</v>
      </c>
      <c r="E621" s="2" t="s">
        <v>9</v>
      </c>
      <c r="F621" s="2" t="s">
        <v>10</v>
      </c>
      <c r="G621" s="2" t="s">
        <v>11</v>
      </c>
      <c r="H621" s="2" t="s">
        <v>12</v>
      </c>
      <c r="I621" s="2" t="s">
        <v>13</v>
      </c>
      <c r="J621" s="2" t="s">
        <v>14</v>
      </c>
      <c r="K621" s="2" t="s">
        <v>15</v>
      </c>
      <c r="L621" s="2" t="s">
        <v>16</v>
      </c>
    </row>
    <row r="622" spans="1:12" x14ac:dyDescent="0.25">
      <c r="A622" s="3">
        <v>45701.234756944439</v>
      </c>
      <c r="B622" t="s">
        <v>52</v>
      </c>
      <c r="C622" s="3">
        <v>45701.246678240743</v>
      </c>
      <c r="D622" t="s">
        <v>52</v>
      </c>
      <c r="E622" s="4">
        <v>0.01</v>
      </c>
      <c r="F622" s="4">
        <v>344691.86200000002</v>
      </c>
      <c r="G622" s="4">
        <v>344691.87199999997</v>
      </c>
      <c r="H622" s="5">
        <f>1000 / 86400</f>
        <v>1.1574074074074073E-2</v>
      </c>
      <c r="I622" t="s">
        <v>37</v>
      </c>
      <c r="J622" t="s">
        <v>91</v>
      </c>
      <c r="K622" s="5">
        <f>1030 / 86400</f>
        <v>1.1921296296296296E-2</v>
      </c>
      <c r="L622" s="5">
        <f>21394 / 86400</f>
        <v>0.24761574074074075</v>
      </c>
    </row>
    <row r="623" spans="1:12" x14ac:dyDescent="0.25">
      <c r="A623" s="3">
        <v>45701.25953703704</v>
      </c>
      <c r="B623" t="s">
        <v>52</v>
      </c>
      <c r="C623" s="3">
        <v>45701.373819444445</v>
      </c>
      <c r="D623" t="s">
        <v>381</v>
      </c>
      <c r="E623" s="4">
        <v>49.555999999999997</v>
      </c>
      <c r="F623" s="4">
        <v>344691.87199999997</v>
      </c>
      <c r="G623" s="4">
        <v>344741.42800000001</v>
      </c>
      <c r="H623" s="5">
        <f>2980 / 86400</f>
        <v>3.4490740740740738E-2</v>
      </c>
      <c r="I623" t="s">
        <v>53</v>
      </c>
      <c r="J623" t="s">
        <v>76</v>
      </c>
      <c r="K623" s="5">
        <f>9874 / 86400</f>
        <v>0.1142824074074074</v>
      </c>
      <c r="L623" s="5">
        <f>1177 / 86400</f>
        <v>1.3622685185185186E-2</v>
      </c>
    </row>
    <row r="624" spans="1:12" x14ac:dyDescent="0.25">
      <c r="A624" s="3">
        <v>45701.387442129635</v>
      </c>
      <c r="B624" t="s">
        <v>381</v>
      </c>
      <c r="C624" s="3">
        <v>45701.502476851849</v>
      </c>
      <c r="D624" t="s">
        <v>158</v>
      </c>
      <c r="E624" s="4">
        <v>49.572000000000003</v>
      </c>
      <c r="F624" s="4">
        <v>344741.42800000001</v>
      </c>
      <c r="G624" s="4">
        <v>344791</v>
      </c>
      <c r="H624" s="5">
        <f>2661 / 86400</f>
        <v>3.079861111111111E-2</v>
      </c>
      <c r="I624" t="s">
        <v>68</v>
      </c>
      <c r="J624" t="s">
        <v>76</v>
      </c>
      <c r="K624" s="5">
        <f>9939 / 86400</f>
        <v>0.11503472222222222</v>
      </c>
      <c r="L624" s="5">
        <f>6 / 86400</f>
        <v>6.9444444444444444E-5</v>
      </c>
    </row>
    <row r="625" spans="1:12" x14ac:dyDescent="0.25">
      <c r="A625" s="3">
        <v>45701.502546296295</v>
      </c>
      <c r="B625" t="s">
        <v>158</v>
      </c>
      <c r="C625" s="3">
        <v>45701.503553240742</v>
      </c>
      <c r="D625" t="s">
        <v>158</v>
      </c>
      <c r="E625" s="4">
        <v>4.3999999999999997E-2</v>
      </c>
      <c r="F625" s="4">
        <v>344791</v>
      </c>
      <c r="G625" s="4">
        <v>344791.04399999999</v>
      </c>
      <c r="H625" s="5">
        <f>44 / 86400</f>
        <v>5.0925925925925921E-4</v>
      </c>
      <c r="I625" t="s">
        <v>161</v>
      </c>
      <c r="J625" t="s">
        <v>110</v>
      </c>
      <c r="K625" s="5">
        <f>87 / 86400</f>
        <v>1.0069444444444444E-3</v>
      </c>
      <c r="L625" s="5">
        <f>5 / 86400</f>
        <v>5.7870370370370373E-5</v>
      </c>
    </row>
    <row r="626" spans="1:12" x14ac:dyDescent="0.25">
      <c r="A626" s="3">
        <v>45701.503611111111</v>
      </c>
      <c r="B626" t="s">
        <v>158</v>
      </c>
      <c r="C626" s="3">
        <v>45701.503900462965</v>
      </c>
      <c r="D626" t="s">
        <v>158</v>
      </c>
      <c r="E626" s="4">
        <v>0</v>
      </c>
      <c r="F626" s="4">
        <v>344791.04399999999</v>
      </c>
      <c r="G626" s="4">
        <v>344791.04399999999</v>
      </c>
      <c r="H626" s="5">
        <f>20 / 86400</f>
        <v>2.3148148148148149E-4</v>
      </c>
      <c r="I626" t="s">
        <v>110</v>
      </c>
      <c r="J626" t="s">
        <v>91</v>
      </c>
      <c r="K626" s="5">
        <f>25 / 86400</f>
        <v>2.8935185185185184E-4</v>
      </c>
      <c r="L626" s="5">
        <f>267 / 86400</f>
        <v>3.0902777777777777E-3</v>
      </c>
    </row>
    <row r="627" spans="1:12" x14ac:dyDescent="0.25">
      <c r="A627" s="3">
        <v>45701.506990740745</v>
      </c>
      <c r="B627" t="s">
        <v>158</v>
      </c>
      <c r="C627" s="3">
        <v>45701.508668981478</v>
      </c>
      <c r="D627" t="s">
        <v>158</v>
      </c>
      <c r="E627" s="4">
        <v>0.129</v>
      </c>
      <c r="F627" s="4">
        <v>344791.04399999999</v>
      </c>
      <c r="G627" s="4">
        <v>344791.17300000001</v>
      </c>
      <c r="H627" s="5">
        <f>40 / 86400</f>
        <v>4.6296296296296298E-4</v>
      </c>
      <c r="I627" t="s">
        <v>58</v>
      </c>
      <c r="J627" t="s">
        <v>124</v>
      </c>
      <c r="K627" s="5">
        <f>144 / 86400</f>
        <v>1.6666666666666668E-3</v>
      </c>
      <c r="L627" s="5">
        <f>34 / 86400</f>
        <v>3.9351851851851852E-4</v>
      </c>
    </row>
    <row r="628" spans="1:12" x14ac:dyDescent="0.25">
      <c r="A628" s="3">
        <v>45701.509062500001</v>
      </c>
      <c r="B628" t="s">
        <v>158</v>
      </c>
      <c r="C628" s="3">
        <v>45701.532476851848</v>
      </c>
      <c r="D628" t="s">
        <v>89</v>
      </c>
      <c r="E628" s="4">
        <v>0</v>
      </c>
      <c r="F628" s="4">
        <v>344791.17300000001</v>
      </c>
      <c r="G628" s="4">
        <v>344791.17300000001</v>
      </c>
      <c r="H628" s="5">
        <f>2019 / 86400</f>
        <v>2.3368055555555555E-2</v>
      </c>
      <c r="I628" t="s">
        <v>91</v>
      </c>
      <c r="J628" t="s">
        <v>91</v>
      </c>
      <c r="K628" s="5">
        <f>2022 / 86400</f>
        <v>2.3402777777777779E-2</v>
      </c>
      <c r="L628" s="5">
        <f>1999 / 86400</f>
        <v>2.3136574074074073E-2</v>
      </c>
    </row>
    <row r="629" spans="1:12" x14ac:dyDescent="0.25">
      <c r="A629" s="3">
        <v>45701.555613425924</v>
      </c>
      <c r="B629" t="s">
        <v>89</v>
      </c>
      <c r="C629" s="3">
        <v>45701.557037037041</v>
      </c>
      <c r="D629" t="s">
        <v>158</v>
      </c>
      <c r="E629" s="4">
        <v>0.10299999999999999</v>
      </c>
      <c r="F629" s="4">
        <v>344791.17300000001</v>
      </c>
      <c r="G629" s="4">
        <v>344791.27600000001</v>
      </c>
      <c r="H629" s="5">
        <f>40 / 86400</f>
        <v>4.6296296296296298E-4</v>
      </c>
      <c r="I629" t="s">
        <v>156</v>
      </c>
      <c r="J629" t="s">
        <v>124</v>
      </c>
      <c r="K629" s="5">
        <f>122 / 86400</f>
        <v>1.4120370370370369E-3</v>
      </c>
      <c r="L629" s="5">
        <f>285 / 86400</f>
        <v>3.2986111111111111E-3</v>
      </c>
    </row>
    <row r="630" spans="1:12" x14ac:dyDescent="0.25">
      <c r="A630" s="3">
        <v>45701.560335648144</v>
      </c>
      <c r="B630" t="s">
        <v>158</v>
      </c>
      <c r="C630" s="3">
        <v>45701.564456018517</v>
      </c>
      <c r="D630" t="s">
        <v>118</v>
      </c>
      <c r="E630" s="4">
        <v>0.996</v>
      </c>
      <c r="F630" s="4">
        <v>344791.27600000001</v>
      </c>
      <c r="G630" s="4">
        <v>344792.272</v>
      </c>
      <c r="H630" s="5">
        <f>20 / 86400</f>
        <v>2.3148148148148149E-4</v>
      </c>
      <c r="I630" t="s">
        <v>148</v>
      </c>
      <c r="J630" t="s">
        <v>128</v>
      </c>
      <c r="K630" s="5">
        <f>355 / 86400</f>
        <v>4.1087962962962962E-3</v>
      </c>
      <c r="L630" s="5">
        <f>157 / 86400</f>
        <v>1.8171296296296297E-3</v>
      </c>
    </row>
    <row r="631" spans="1:12" x14ac:dyDescent="0.25">
      <c r="A631" s="3">
        <v>45701.56627314815</v>
      </c>
      <c r="B631" t="s">
        <v>118</v>
      </c>
      <c r="C631" s="3">
        <v>45701.567349537036</v>
      </c>
      <c r="D631" t="s">
        <v>118</v>
      </c>
      <c r="E631" s="4">
        <v>0.11799999999999999</v>
      </c>
      <c r="F631" s="4">
        <v>344792.272</v>
      </c>
      <c r="G631" s="4">
        <v>344792.39</v>
      </c>
      <c r="H631" s="5">
        <f>40 / 86400</f>
        <v>4.6296296296296298E-4</v>
      </c>
      <c r="I631" t="s">
        <v>161</v>
      </c>
      <c r="J631" t="s">
        <v>37</v>
      </c>
      <c r="K631" s="5">
        <f>92 / 86400</f>
        <v>1.0648148148148149E-3</v>
      </c>
      <c r="L631" s="5">
        <f>641 / 86400</f>
        <v>7.4189814814814813E-3</v>
      </c>
    </row>
    <row r="632" spans="1:12" x14ac:dyDescent="0.25">
      <c r="A632" s="3">
        <v>45701.57476851852</v>
      </c>
      <c r="B632" t="s">
        <v>118</v>
      </c>
      <c r="C632" s="3">
        <v>45701.702418981484</v>
      </c>
      <c r="D632" t="s">
        <v>331</v>
      </c>
      <c r="E632" s="4">
        <v>49.841999999999999</v>
      </c>
      <c r="F632" s="4">
        <v>344792.39</v>
      </c>
      <c r="G632" s="4">
        <v>344842.23200000002</v>
      </c>
      <c r="H632" s="5">
        <f>4219 / 86400</f>
        <v>4.8831018518518517E-2</v>
      </c>
      <c r="I632" t="s">
        <v>42</v>
      </c>
      <c r="J632" t="s">
        <v>51</v>
      </c>
      <c r="K632" s="5">
        <f>11029 / 86400</f>
        <v>0.12765046296296295</v>
      </c>
      <c r="L632" s="5">
        <f>115 / 86400</f>
        <v>1.3310185185185185E-3</v>
      </c>
    </row>
    <row r="633" spans="1:12" x14ac:dyDescent="0.25">
      <c r="A633" s="3">
        <v>45701.703750000001</v>
      </c>
      <c r="B633" t="s">
        <v>331</v>
      </c>
      <c r="C633" s="3">
        <v>45701.8512037037</v>
      </c>
      <c r="D633" t="s">
        <v>158</v>
      </c>
      <c r="E633" s="4">
        <v>50.317</v>
      </c>
      <c r="F633" s="4">
        <v>344842.23200000002</v>
      </c>
      <c r="G633" s="4">
        <v>344892.549</v>
      </c>
      <c r="H633" s="5">
        <f>5238 / 86400</f>
        <v>6.0624999999999998E-2</v>
      </c>
      <c r="I633" t="s">
        <v>42</v>
      </c>
      <c r="J633" t="s">
        <v>43</v>
      </c>
      <c r="K633" s="5">
        <f>12739 / 86400</f>
        <v>0.14744212962962963</v>
      </c>
      <c r="L633" s="5">
        <f>397 / 86400</f>
        <v>4.5949074074074078E-3</v>
      </c>
    </row>
    <row r="634" spans="1:12" x14ac:dyDescent="0.25">
      <c r="A634" s="3">
        <v>45701.855798611112</v>
      </c>
      <c r="B634" t="s">
        <v>158</v>
      </c>
      <c r="C634" s="3">
        <v>45701.856736111113</v>
      </c>
      <c r="D634" t="s">
        <v>153</v>
      </c>
      <c r="E634" s="4">
        <v>0.223</v>
      </c>
      <c r="F634" s="4">
        <v>344892.549</v>
      </c>
      <c r="G634" s="4">
        <v>344892.772</v>
      </c>
      <c r="H634" s="5">
        <f>0 / 86400</f>
        <v>0</v>
      </c>
      <c r="I634" t="s">
        <v>76</v>
      </c>
      <c r="J634" t="s">
        <v>128</v>
      </c>
      <c r="K634" s="5">
        <f>80 / 86400</f>
        <v>9.2592592592592596E-4</v>
      </c>
      <c r="L634" s="5">
        <f>884 / 86400</f>
        <v>1.0231481481481482E-2</v>
      </c>
    </row>
    <row r="635" spans="1:12" x14ac:dyDescent="0.25">
      <c r="A635" s="3">
        <v>45701.866967592592</v>
      </c>
      <c r="B635" t="s">
        <v>153</v>
      </c>
      <c r="C635" s="3">
        <v>45701.868217592593</v>
      </c>
      <c r="D635" t="s">
        <v>104</v>
      </c>
      <c r="E635" s="4">
        <v>0.104</v>
      </c>
      <c r="F635" s="4">
        <v>344892.772</v>
      </c>
      <c r="G635" s="4">
        <v>344892.87599999999</v>
      </c>
      <c r="H635" s="5">
        <f>60 / 86400</f>
        <v>6.9444444444444447E-4</v>
      </c>
      <c r="I635" t="s">
        <v>58</v>
      </c>
      <c r="J635" t="s">
        <v>124</v>
      </c>
      <c r="K635" s="5">
        <f>107 / 86400</f>
        <v>1.238425925925926E-3</v>
      </c>
      <c r="L635" s="5">
        <f>2449 / 86400</f>
        <v>2.8344907407407409E-2</v>
      </c>
    </row>
    <row r="636" spans="1:12" x14ac:dyDescent="0.25">
      <c r="A636" s="3">
        <v>45701.896562499998</v>
      </c>
      <c r="B636" t="s">
        <v>104</v>
      </c>
      <c r="C636" s="3">
        <v>45701.901608796295</v>
      </c>
      <c r="D636" t="s">
        <v>52</v>
      </c>
      <c r="E636" s="4">
        <v>0.77300000000000002</v>
      </c>
      <c r="F636" s="4">
        <v>344892.87599999999</v>
      </c>
      <c r="G636" s="4">
        <v>344893.64899999998</v>
      </c>
      <c r="H636" s="5">
        <f>219 / 86400</f>
        <v>2.5347222222222221E-3</v>
      </c>
      <c r="I636" t="s">
        <v>294</v>
      </c>
      <c r="J636" t="s">
        <v>156</v>
      </c>
      <c r="K636" s="5">
        <f>435 / 86400</f>
        <v>5.0347222222222225E-3</v>
      </c>
      <c r="L636" s="5">
        <f>8500 / 86400</f>
        <v>9.8379629629629636E-2</v>
      </c>
    </row>
    <row r="637" spans="1:12" x14ac:dyDescent="0.25">
      <c r="A637" s="11"/>
      <c r="B637" s="11"/>
      <c r="C637" s="11"/>
      <c r="D637" s="11"/>
      <c r="E637" s="11"/>
      <c r="F637" s="11"/>
      <c r="G637" s="11"/>
      <c r="H637" s="11"/>
      <c r="I637" s="11"/>
      <c r="J637" s="11"/>
    </row>
    <row r="638" spans="1:12" x14ac:dyDescent="0.25">
      <c r="A638" s="11"/>
      <c r="B638" s="11"/>
      <c r="C638" s="11"/>
      <c r="D638" s="11"/>
      <c r="E638" s="11"/>
      <c r="F638" s="11"/>
      <c r="G638" s="11"/>
      <c r="H638" s="11"/>
      <c r="I638" s="11"/>
      <c r="J638" s="11"/>
    </row>
    <row r="639" spans="1:12" s="10" customFormat="1" ht="20.100000000000001" customHeight="1" x14ac:dyDescent="0.35">
      <c r="A639" s="12" t="s">
        <v>441</v>
      </c>
      <c r="B639" s="12"/>
      <c r="C639" s="12"/>
      <c r="D639" s="12"/>
      <c r="E639" s="12"/>
      <c r="F639" s="12"/>
      <c r="G639" s="12"/>
      <c r="H639" s="12"/>
      <c r="I639" s="12"/>
      <c r="J639" s="12"/>
    </row>
    <row r="640" spans="1:12" x14ac:dyDescent="0.25">
      <c r="A640" s="11"/>
      <c r="B640" s="11"/>
      <c r="C640" s="11"/>
      <c r="D640" s="11"/>
      <c r="E640" s="11"/>
      <c r="F640" s="11"/>
      <c r="G640" s="11"/>
      <c r="H640" s="11"/>
      <c r="I640" s="11"/>
      <c r="J640" s="11"/>
    </row>
    <row r="641" spans="1:12" ht="30" x14ac:dyDescent="0.25">
      <c r="A641" s="2" t="s">
        <v>5</v>
      </c>
      <c r="B641" s="2" t="s">
        <v>6</v>
      </c>
      <c r="C641" s="2" t="s">
        <v>7</v>
      </c>
      <c r="D641" s="2" t="s">
        <v>8</v>
      </c>
      <c r="E641" s="2" t="s">
        <v>9</v>
      </c>
      <c r="F641" s="2" t="s">
        <v>10</v>
      </c>
      <c r="G641" s="2" t="s">
        <v>11</v>
      </c>
      <c r="H641" s="2" t="s">
        <v>12</v>
      </c>
      <c r="I641" s="2" t="s">
        <v>13</v>
      </c>
      <c r="J641" s="2" t="s">
        <v>14</v>
      </c>
      <c r="K641" s="2" t="s">
        <v>15</v>
      </c>
      <c r="L641" s="2" t="s">
        <v>16</v>
      </c>
    </row>
    <row r="642" spans="1:12" x14ac:dyDescent="0.25">
      <c r="A642" s="3">
        <v>45701.264525462961</v>
      </c>
      <c r="B642" t="s">
        <v>54</v>
      </c>
      <c r="C642" s="3">
        <v>45701.366597222222</v>
      </c>
      <c r="D642" t="s">
        <v>118</v>
      </c>
      <c r="E642" s="4">
        <v>47.655000000000001</v>
      </c>
      <c r="F642" s="4">
        <v>426014.97399999999</v>
      </c>
      <c r="G642" s="4">
        <v>426062.62900000002</v>
      </c>
      <c r="H642" s="5">
        <f>2600 / 86400</f>
        <v>3.0092592592592591E-2</v>
      </c>
      <c r="I642" t="s">
        <v>95</v>
      </c>
      <c r="J642" t="s">
        <v>23</v>
      </c>
      <c r="K642" s="5">
        <f>8819 / 86400</f>
        <v>0.10207175925925926</v>
      </c>
      <c r="L642" s="5">
        <f>25720 / 86400</f>
        <v>0.29768518518518516</v>
      </c>
    </row>
    <row r="643" spans="1:12" x14ac:dyDescent="0.25">
      <c r="A643" s="3">
        <v>45701.399756944447</v>
      </c>
      <c r="B643" t="s">
        <v>118</v>
      </c>
      <c r="C643" s="3">
        <v>45701.524699074071</v>
      </c>
      <c r="D643" t="s">
        <v>378</v>
      </c>
      <c r="E643" s="4">
        <v>50.697000000000003</v>
      </c>
      <c r="F643" s="4">
        <v>426062.62900000002</v>
      </c>
      <c r="G643" s="4">
        <v>426113.326</v>
      </c>
      <c r="H643" s="5">
        <f>3619 / 86400</f>
        <v>4.1886574074074076E-2</v>
      </c>
      <c r="I643" t="s">
        <v>195</v>
      </c>
      <c r="J643" t="s">
        <v>20</v>
      </c>
      <c r="K643" s="5">
        <f>10795 / 86400</f>
        <v>0.12494212962962963</v>
      </c>
      <c r="L643" s="5">
        <f>956 / 86400</f>
        <v>1.1064814814814816E-2</v>
      </c>
    </row>
    <row r="644" spans="1:12" x14ac:dyDescent="0.25">
      <c r="A644" s="3">
        <v>45701.535763888889</v>
      </c>
      <c r="B644" t="s">
        <v>378</v>
      </c>
      <c r="C644" s="3">
        <v>45701.666122685187</v>
      </c>
      <c r="D644" t="s">
        <v>158</v>
      </c>
      <c r="E644" s="4">
        <v>50.369</v>
      </c>
      <c r="F644" s="4">
        <v>426113.326</v>
      </c>
      <c r="G644" s="4">
        <v>426163.69500000001</v>
      </c>
      <c r="H644" s="5">
        <f>3520 / 86400</f>
        <v>4.0740740740740744E-2</v>
      </c>
      <c r="I644" t="s">
        <v>55</v>
      </c>
      <c r="J644" t="s">
        <v>51</v>
      </c>
      <c r="K644" s="5">
        <f>11262 / 86400</f>
        <v>0.13034722222222223</v>
      </c>
      <c r="L644" s="5">
        <f>285 / 86400</f>
        <v>3.2986111111111111E-3</v>
      </c>
    </row>
    <row r="645" spans="1:12" x14ac:dyDescent="0.25">
      <c r="A645" s="3">
        <v>45701.669421296298</v>
      </c>
      <c r="B645" t="s">
        <v>158</v>
      </c>
      <c r="C645" s="3">
        <v>45701.746574074074</v>
      </c>
      <c r="D645" t="s">
        <v>382</v>
      </c>
      <c r="E645" s="4">
        <v>34.438000000000002</v>
      </c>
      <c r="F645" s="4">
        <v>426163.69500000001</v>
      </c>
      <c r="G645" s="4">
        <v>426198.13299999997</v>
      </c>
      <c r="H645" s="5">
        <f>2100 / 86400</f>
        <v>2.4305555555555556E-2</v>
      </c>
      <c r="I645" t="s">
        <v>166</v>
      </c>
      <c r="J645" t="s">
        <v>23</v>
      </c>
      <c r="K645" s="5">
        <f>6665 / 86400</f>
        <v>7.7141203703703698E-2</v>
      </c>
      <c r="L645" s="5">
        <f>249 / 86400</f>
        <v>2.8819444444444444E-3</v>
      </c>
    </row>
    <row r="646" spans="1:12" x14ac:dyDescent="0.25">
      <c r="A646" s="3">
        <v>45701.749456018515</v>
      </c>
      <c r="B646" t="s">
        <v>382</v>
      </c>
      <c r="C646" s="3">
        <v>45701.753194444449</v>
      </c>
      <c r="D646" t="s">
        <v>141</v>
      </c>
      <c r="E646" s="4">
        <v>1.0880000000000001</v>
      </c>
      <c r="F646" s="4">
        <v>426198.13299999997</v>
      </c>
      <c r="G646" s="4">
        <v>426199.22100000002</v>
      </c>
      <c r="H646" s="5">
        <f>99 / 86400</f>
        <v>1.1458333333333333E-3</v>
      </c>
      <c r="I646" t="s">
        <v>159</v>
      </c>
      <c r="J646" t="s">
        <v>120</v>
      </c>
      <c r="K646" s="5">
        <f>323 / 86400</f>
        <v>3.7384259259259259E-3</v>
      </c>
      <c r="L646" s="5">
        <f>1121 / 86400</f>
        <v>1.2974537037037038E-2</v>
      </c>
    </row>
    <row r="647" spans="1:12" x14ac:dyDescent="0.25">
      <c r="A647" s="3">
        <v>45701.766168981485</v>
      </c>
      <c r="B647" t="s">
        <v>141</v>
      </c>
      <c r="C647" s="3">
        <v>45701.768935185188</v>
      </c>
      <c r="D647" t="s">
        <v>54</v>
      </c>
      <c r="E647" s="4">
        <v>0.27900000000000003</v>
      </c>
      <c r="F647" s="4">
        <v>426199.22100000002</v>
      </c>
      <c r="G647" s="4">
        <v>426199.5</v>
      </c>
      <c r="H647" s="5">
        <f>80 / 86400</f>
        <v>9.2592592592592596E-4</v>
      </c>
      <c r="I647" t="s">
        <v>58</v>
      </c>
      <c r="J647" t="s">
        <v>177</v>
      </c>
      <c r="K647" s="5">
        <f>238 / 86400</f>
        <v>2.7546296296296294E-3</v>
      </c>
      <c r="L647" s="5">
        <f>5332 / 86400</f>
        <v>6.1712962962962963E-2</v>
      </c>
    </row>
    <row r="648" spans="1:12" x14ac:dyDescent="0.25">
      <c r="A648" s="3">
        <v>45701.830648148149</v>
      </c>
      <c r="B648" t="s">
        <v>54</v>
      </c>
      <c r="C648" s="3">
        <v>45701.831400462965</v>
      </c>
      <c r="D648" t="s">
        <v>54</v>
      </c>
      <c r="E648" s="4">
        <v>1.4999999999999999E-2</v>
      </c>
      <c r="F648" s="4">
        <v>426199.5</v>
      </c>
      <c r="G648" s="4">
        <v>426199.51500000001</v>
      </c>
      <c r="H648" s="5">
        <f>39 / 86400</f>
        <v>4.5138888888888887E-4</v>
      </c>
      <c r="I648" t="s">
        <v>125</v>
      </c>
      <c r="J648" t="s">
        <v>125</v>
      </c>
      <c r="K648" s="5">
        <f>65 / 86400</f>
        <v>7.5231481481481482E-4</v>
      </c>
      <c r="L648" s="5">
        <f>426 / 86400</f>
        <v>4.9305555555555552E-3</v>
      </c>
    </row>
    <row r="649" spans="1:12" x14ac:dyDescent="0.25">
      <c r="A649" s="3">
        <v>45701.836331018523</v>
      </c>
      <c r="B649" t="s">
        <v>54</v>
      </c>
      <c r="C649" s="3">
        <v>45701.838159722218</v>
      </c>
      <c r="D649" t="s">
        <v>54</v>
      </c>
      <c r="E649" s="4">
        <v>2E-3</v>
      </c>
      <c r="F649" s="4">
        <v>426199.51500000001</v>
      </c>
      <c r="G649" s="4">
        <v>426199.51699999999</v>
      </c>
      <c r="H649" s="5">
        <f>139 / 86400</f>
        <v>1.6087962962962963E-3</v>
      </c>
      <c r="I649" t="s">
        <v>91</v>
      </c>
      <c r="J649" t="s">
        <v>91</v>
      </c>
      <c r="K649" s="5">
        <f>158 / 86400</f>
        <v>1.8287037037037037E-3</v>
      </c>
      <c r="L649" s="5">
        <f>171 / 86400</f>
        <v>1.9791666666666668E-3</v>
      </c>
    </row>
    <row r="650" spans="1:12" x14ac:dyDescent="0.25">
      <c r="A650" s="3">
        <v>45701.840138888889</v>
      </c>
      <c r="B650" t="s">
        <v>54</v>
      </c>
      <c r="C650" s="3">
        <v>45701.840879629628</v>
      </c>
      <c r="D650" t="s">
        <v>54</v>
      </c>
      <c r="E650" s="4">
        <v>0</v>
      </c>
      <c r="F650" s="4">
        <v>426199.51699999999</v>
      </c>
      <c r="G650" s="4">
        <v>426199.51699999999</v>
      </c>
      <c r="H650" s="5">
        <f>59 / 86400</f>
        <v>6.8287037037037036E-4</v>
      </c>
      <c r="I650" t="s">
        <v>91</v>
      </c>
      <c r="J650" t="s">
        <v>91</v>
      </c>
      <c r="K650" s="5">
        <f>64 / 86400</f>
        <v>7.407407407407407E-4</v>
      </c>
      <c r="L650" s="5">
        <f>13747 / 86400</f>
        <v>0.15910879629629629</v>
      </c>
    </row>
    <row r="651" spans="1:12" x14ac:dyDescent="0.25">
      <c r="A651" s="11"/>
      <c r="B651" s="11"/>
      <c r="C651" s="11"/>
      <c r="D651" s="11"/>
      <c r="E651" s="11"/>
      <c r="F651" s="11"/>
      <c r="G651" s="11"/>
      <c r="H651" s="11"/>
      <c r="I651" s="11"/>
      <c r="J651" s="11"/>
    </row>
    <row r="652" spans="1:12" x14ac:dyDescent="0.25">
      <c r="A652" s="11"/>
      <c r="B652" s="11"/>
      <c r="C652" s="11"/>
      <c r="D652" s="11"/>
      <c r="E652" s="11"/>
      <c r="F652" s="11"/>
      <c r="G652" s="11"/>
      <c r="H652" s="11"/>
      <c r="I652" s="11"/>
      <c r="J652" s="11"/>
    </row>
    <row r="653" spans="1:12" s="10" customFormat="1" ht="20.100000000000001" customHeight="1" x14ac:dyDescent="0.35">
      <c r="A653" s="12" t="s">
        <v>442</v>
      </c>
      <c r="B653" s="12"/>
      <c r="C653" s="12"/>
      <c r="D653" s="12"/>
      <c r="E653" s="12"/>
      <c r="F653" s="12"/>
      <c r="G653" s="12"/>
      <c r="H653" s="12"/>
      <c r="I653" s="12"/>
      <c r="J653" s="12"/>
    </row>
    <row r="654" spans="1:12" x14ac:dyDescent="0.25">
      <c r="A654" s="11"/>
      <c r="B654" s="11"/>
      <c r="C654" s="11"/>
      <c r="D654" s="11"/>
      <c r="E654" s="11"/>
      <c r="F654" s="11"/>
      <c r="G654" s="11"/>
      <c r="H654" s="11"/>
      <c r="I654" s="11"/>
      <c r="J654" s="11"/>
    </row>
    <row r="655" spans="1:12" ht="30" x14ac:dyDescent="0.25">
      <c r="A655" s="2" t="s">
        <v>5</v>
      </c>
      <c r="B655" s="2" t="s">
        <v>6</v>
      </c>
      <c r="C655" s="2" t="s">
        <v>7</v>
      </c>
      <c r="D655" s="2" t="s">
        <v>8</v>
      </c>
      <c r="E655" s="2" t="s">
        <v>9</v>
      </c>
      <c r="F655" s="2" t="s">
        <v>10</v>
      </c>
      <c r="G655" s="2" t="s">
        <v>11</v>
      </c>
      <c r="H655" s="2" t="s">
        <v>12</v>
      </c>
      <c r="I655" s="2" t="s">
        <v>13</v>
      </c>
      <c r="J655" s="2" t="s">
        <v>14</v>
      </c>
      <c r="K655" s="2" t="s">
        <v>15</v>
      </c>
      <c r="L655" s="2" t="s">
        <v>16</v>
      </c>
    </row>
    <row r="656" spans="1:12" x14ac:dyDescent="0.25">
      <c r="A656" s="3">
        <v>45701.225023148145</v>
      </c>
      <c r="B656" t="s">
        <v>27</v>
      </c>
      <c r="C656" s="3">
        <v>45701.230011574073</v>
      </c>
      <c r="D656" t="s">
        <v>27</v>
      </c>
      <c r="E656" s="4">
        <v>0</v>
      </c>
      <c r="F656" s="4">
        <v>12648.273999999999</v>
      </c>
      <c r="G656" s="4">
        <v>12648.273999999999</v>
      </c>
      <c r="H656" s="5">
        <f>419 / 86400</f>
        <v>4.8495370370370368E-3</v>
      </c>
      <c r="I656" t="s">
        <v>91</v>
      </c>
      <c r="J656" t="s">
        <v>91</v>
      </c>
      <c r="K656" s="5">
        <f>431 / 86400</f>
        <v>4.9884259259259257E-3</v>
      </c>
      <c r="L656" s="5">
        <f>19474 / 86400</f>
        <v>0.22539351851851852</v>
      </c>
    </row>
    <row r="657" spans="1:12" x14ac:dyDescent="0.25">
      <c r="A657" s="3">
        <v>45701.23038194445</v>
      </c>
      <c r="B657" t="s">
        <v>27</v>
      </c>
      <c r="C657" s="3">
        <v>45701.29283564815</v>
      </c>
      <c r="D657" t="s">
        <v>232</v>
      </c>
      <c r="E657" s="4">
        <v>19.550999999999998</v>
      </c>
      <c r="F657" s="4">
        <v>12648.273999999999</v>
      </c>
      <c r="G657" s="4">
        <v>12667.825000000001</v>
      </c>
      <c r="H657" s="5">
        <f>2318 / 86400</f>
        <v>2.6828703703703705E-2</v>
      </c>
      <c r="I657" t="s">
        <v>186</v>
      </c>
      <c r="J657" t="s">
        <v>58</v>
      </c>
      <c r="K657" s="5">
        <f>5396 / 86400</f>
        <v>6.2453703703703706E-2</v>
      </c>
      <c r="L657" s="5">
        <f>28 / 86400</f>
        <v>3.2407407407407406E-4</v>
      </c>
    </row>
    <row r="658" spans="1:12" x14ac:dyDescent="0.25">
      <c r="A658" s="3">
        <v>45701.29315972222</v>
      </c>
      <c r="B658" t="s">
        <v>232</v>
      </c>
      <c r="C658" s="3">
        <v>45701.308888888889</v>
      </c>
      <c r="D658" t="s">
        <v>113</v>
      </c>
      <c r="E658" s="4">
        <v>4.0819999999999999</v>
      </c>
      <c r="F658" s="4">
        <v>12667.825000000001</v>
      </c>
      <c r="G658" s="4">
        <v>12671.906999999999</v>
      </c>
      <c r="H658" s="5">
        <f>440 / 86400</f>
        <v>5.092592592592593E-3</v>
      </c>
      <c r="I658" t="s">
        <v>148</v>
      </c>
      <c r="J658" t="s">
        <v>149</v>
      </c>
      <c r="K658" s="5">
        <f>1359 / 86400</f>
        <v>1.5729166666666666E-2</v>
      </c>
      <c r="L658" s="5">
        <f>110 / 86400</f>
        <v>1.2731481481481483E-3</v>
      </c>
    </row>
    <row r="659" spans="1:12" x14ac:dyDescent="0.25">
      <c r="A659" s="3">
        <v>45701.310162037036</v>
      </c>
      <c r="B659" t="s">
        <v>113</v>
      </c>
      <c r="C659" s="3">
        <v>45701.356782407413</v>
      </c>
      <c r="D659" t="s">
        <v>113</v>
      </c>
      <c r="E659" s="4">
        <v>12.558</v>
      </c>
      <c r="F659" s="4">
        <v>12671.906999999999</v>
      </c>
      <c r="G659" s="4">
        <v>12684.465</v>
      </c>
      <c r="H659" s="5">
        <f>1740 / 86400</f>
        <v>2.013888888888889E-2</v>
      </c>
      <c r="I659" t="s">
        <v>182</v>
      </c>
      <c r="J659" t="s">
        <v>149</v>
      </c>
      <c r="K659" s="5">
        <f>4027 / 86400</f>
        <v>4.6608796296296294E-2</v>
      </c>
      <c r="L659" s="5">
        <f>12 / 86400</f>
        <v>1.3888888888888889E-4</v>
      </c>
    </row>
    <row r="660" spans="1:12" x14ac:dyDescent="0.25">
      <c r="A660" s="3">
        <v>45701.356921296298</v>
      </c>
      <c r="B660" t="s">
        <v>113</v>
      </c>
      <c r="C660" s="3">
        <v>45701.357777777783</v>
      </c>
      <c r="D660" t="s">
        <v>113</v>
      </c>
      <c r="E660" s="4">
        <v>0</v>
      </c>
      <c r="F660" s="4">
        <v>12684.465</v>
      </c>
      <c r="G660" s="4">
        <v>12684.465</v>
      </c>
      <c r="H660" s="5">
        <f>66 / 86400</f>
        <v>7.6388888888888893E-4</v>
      </c>
      <c r="I660" t="s">
        <v>91</v>
      </c>
      <c r="J660" t="s">
        <v>91</v>
      </c>
      <c r="K660" s="5">
        <f>74 / 86400</f>
        <v>8.564814814814815E-4</v>
      </c>
      <c r="L660" s="5">
        <f>81 / 86400</f>
        <v>9.3749999999999997E-4</v>
      </c>
    </row>
    <row r="661" spans="1:12" x14ac:dyDescent="0.25">
      <c r="A661" s="3">
        <v>45701.358715277776</v>
      </c>
      <c r="B661" t="s">
        <v>113</v>
      </c>
      <c r="C661" s="3">
        <v>45701.359884259262</v>
      </c>
      <c r="D661" t="s">
        <v>236</v>
      </c>
      <c r="E661" s="4">
        <v>1.4999999999999999E-2</v>
      </c>
      <c r="F661" s="4">
        <v>12684.465</v>
      </c>
      <c r="G661" s="4">
        <v>12684.48</v>
      </c>
      <c r="H661" s="5">
        <f>99 / 86400</f>
        <v>1.1458333333333333E-3</v>
      </c>
      <c r="I661" t="s">
        <v>91</v>
      </c>
      <c r="J661" t="s">
        <v>125</v>
      </c>
      <c r="K661" s="5">
        <f>101 / 86400</f>
        <v>1.1689814814814816E-3</v>
      </c>
      <c r="L661" s="5">
        <f>128 / 86400</f>
        <v>1.4814814814814814E-3</v>
      </c>
    </row>
    <row r="662" spans="1:12" x14ac:dyDescent="0.25">
      <c r="A662" s="3">
        <v>45701.36136574074</v>
      </c>
      <c r="B662" t="s">
        <v>236</v>
      </c>
      <c r="C662" s="3">
        <v>45701.490486111114</v>
      </c>
      <c r="D662" t="s">
        <v>47</v>
      </c>
      <c r="E662" s="4">
        <v>49.859000000000002</v>
      </c>
      <c r="F662" s="4">
        <v>12684.48</v>
      </c>
      <c r="G662" s="4">
        <v>12734.339</v>
      </c>
      <c r="H662" s="5">
        <f>4127 / 86400</f>
        <v>4.7766203703703707E-2</v>
      </c>
      <c r="I662" t="s">
        <v>200</v>
      </c>
      <c r="J662" t="s">
        <v>51</v>
      </c>
      <c r="K662" s="5">
        <f>11156 / 86400</f>
        <v>0.12912037037037036</v>
      </c>
      <c r="L662" s="5">
        <f>2067 / 86400</f>
        <v>2.3923611111111111E-2</v>
      </c>
    </row>
    <row r="663" spans="1:12" x14ac:dyDescent="0.25">
      <c r="A663" s="3">
        <v>45701.514409722222</v>
      </c>
      <c r="B663" t="s">
        <v>47</v>
      </c>
      <c r="C663" s="3">
        <v>45701.516585648147</v>
      </c>
      <c r="D663" t="s">
        <v>131</v>
      </c>
      <c r="E663" s="4">
        <v>0.73</v>
      </c>
      <c r="F663" s="4">
        <v>12734.339</v>
      </c>
      <c r="G663" s="4">
        <v>12735.069</v>
      </c>
      <c r="H663" s="5">
        <f>20 / 86400</f>
        <v>2.3148148148148149E-4</v>
      </c>
      <c r="I663" t="s">
        <v>152</v>
      </c>
      <c r="J663" t="s">
        <v>43</v>
      </c>
      <c r="K663" s="5">
        <f>188 / 86400</f>
        <v>2.1759259259259258E-3</v>
      </c>
      <c r="L663" s="5">
        <f>2295 / 86400</f>
        <v>2.6562499999999999E-2</v>
      </c>
    </row>
    <row r="664" spans="1:12" x14ac:dyDescent="0.25">
      <c r="A664" s="3">
        <v>45701.54314814815</v>
      </c>
      <c r="B664" t="s">
        <v>131</v>
      </c>
      <c r="C664" s="3">
        <v>45701.641168981485</v>
      </c>
      <c r="D664" t="s">
        <v>316</v>
      </c>
      <c r="E664" s="4">
        <v>44.433</v>
      </c>
      <c r="F664" s="4">
        <v>12735.069</v>
      </c>
      <c r="G664" s="4">
        <v>12779.502</v>
      </c>
      <c r="H664" s="5">
        <f>2740 / 86400</f>
        <v>3.1712962962962964E-2</v>
      </c>
      <c r="I664" t="s">
        <v>40</v>
      </c>
      <c r="J664" t="s">
        <v>23</v>
      </c>
      <c r="K664" s="5">
        <f>8469 / 86400</f>
        <v>9.8020833333333335E-2</v>
      </c>
      <c r="L664" s="5">
        <f>34 / 86400</f>
        <v>3.9351851851851852E-4</v>
      </c>
    </row>
    <row r="665" spans="1:12" x14ac:dyDescent="0.25">
      <c r="A665" s="3">
        <v>45701.641562500001</v>
      </c>
      <c r="B665" t="s">
        <v>316</v>
      </c>
      <c r="C665" s="3">
        <v>45701.768680555557</v>
      </c>
      <c r="D665" t="s">
        <v>35</v>
      </c>
      <c r="E665" s="4">
        <v>38.856000000000002</v>
      </c>
      <c r="F665" s="4">
        <v>12779.502</v>
      </c>
      <c r="G665" s="4">
        <v>12818.358</v>
      </c>
      <c r="H665" s="5">
        <f>4880 / 86400</f>
        <v>5.648148148148148E-2</v>
      </c>
      <c r="I665" t="s">
        <v>95</v>
      </c>
      <c r="J665" t="s">
        <v>58</v>
      </c>
      <c r="K665" s="5">
        <f>10982 / 86400</f>
        <v>0.12710648148148149</v>
      </c>
      <c r="L665" s="5">
        <f>240 / 86400</f>
        <v>2.7777777777777779E-3</v>
      </c>
    </row>
    <row r="666" spans="1:12" x14ac:dyDescent="0.25">
      <c r="A666" s="3">
        <v>45701.771458333329</v>
      </c>
      <c r="B666" t="s">
        <v>73</v>
      </c>
      <c r="C666" s="3">
        <v>45701.797442129631</v>
      </c>
      <c r="D666" t="s">
        <v>27</v>
      </c>
      <c r="E666" s="4">
        <v>7.8949999999999996</v>
      </c>
      <c r="F666" s="4">
        <v>12818.358</v>
      </c>
      <c r="G666" s="4">
        <v>12826.253000000001</v>
      </c>
      <c r="H666" s="5">
        <f>766 / 86400</f>
        <v>8.86574074074074E-3</v>
      </c>
      <c r="I666" t="s">
        <v>127</v>
      </c>
      <c r="J666" t="s">
        <v>58</v>
      </c>
      <c r="K666" s="5">
        <f>2245 / 86400</f>
        <v>2.5983796296296297E-2</v>
      </c>
      <c r="L666" s="5">
        <f>79 / 86400</f>
        <v>9.1435185185185185E-4</v>
      </c>
    </row>
    <row r="667" spans="1:12" x14ac:dyDescent="0.25">
      <c r="A667" s="3">
        <v>45701.798356481479</v>
      </c>
      <c r="B667" t="s">
        <v>27</v>
      </c>
      <c r="C667" s="3">
        <v>45701.799224537041</v>
      </c>
      <c r="D667" t="s">
        <v>27</v>
      </c>
      <c r="E667" s="4">
        <v>1.4E-2</v>
      </c>
      <c r="F667" s="4">
        <v>12826.253000000001</v>
      </c>
      <c r="G667" s="4">
        <v>12826.267</v>
      </c>
      <c r="H667" s="5">
        <f>59 / 86400</f>
        <v>6.8287037037037036E-4</v>
      </c>
      <c r="I667" t="s">
        <v>91</v>
      </c>
      <c r="J667" t="s">
        <v>125</v>
      </c>
      <c r="K667" s="5">
        <f>74 / 86400</f>
        <v>8.564814814814815E-4</v>
      </c>
      <c r="L667" s="5">
        <f>17346 / 86400</f>
        <v>0.20076388888888888</v>
      </c>
    </row>
    <row r="668" spans="1:12" x14ac:dyDescent="0.25">
      <c r="A668" s="11"/>
      <c r="B668" s="11"/>
      <c r="C668" s="11"/>
      <c r="D668" s="11"/>
      <c r="E668" s="11"/>
      <c r="F668" s="11"/>
      <c r="G668" s="11"/>
      <c r="H668" s="11"/>
      <c r="I668" s="11"/>
      <c r="J668" s="11"/>
    </row>
    <row r="669" spans="1:12" x14ac:dyDescent="0.25">
      <c r="A669" s="11"/>
      <c r="B669" s="11"/>
      <c r="C669" s="11"/>
      <c r="D669" s="11"/>
      <c r="E669" s="11"/>
      <c r="F669" s="11"/>
      <c r="G669" s="11"/>
      <c r="H669" s="11"/>
      <c r="I669" s="11"/>
      <c r="J669" s="11"/>
    </row>
    <row r="670" spans="1:12" s="10" customFormat="1" ht="20.100000000000001" customHeight="1" x14ac:dyDescent="0.35">
      <c r="A670" s="12" t="s">
        <v>443</v>
      </c>
      <c r="B670" s="12"/>
      <c r="C670" s="12"/>
      <c r="D670" s="12"/>
      <c r="E670" s="12"/>
      <c r="F670" s="12"/>
      <c r="G670" s="12"/>
      <c r="H670" s="12"/>
      <c r="I670" s="12"/>
      <c r="J670" s="12"/>
    </row>
    <row r="671" spans="1:12" x14ac:dyDescent="0.25">
      <c r="A671" s="11"/>
      <c r="B671" s="11"/>
      <c r="C671" s="11"/>
      <c r="D671" s="11"/>
      <c r="E671" s="11"/>
      <c r="F671" s="11"/>
      <c r="G671" s="11"/>
      <c r="H671" s="11"/>
      <c r="I671" s="11"/>
      <c r="J671" s="11"/>
    </row>
    <row r="672" spans="1:12" ht="30" x14ac:dyDescent="0.25">
      <c r="A672" s="2" t="s">
        <v>5</v>
      </c>
      <c r="B672" s="2" t="s">
        <v>6</v>
      </c>
      <c r="C672" s="2" t="s">
        <v>7</v>
      </c>
      <c r="D672" s="2" t="s">
        <v>8</v>
      </c>
      <c r="E672" s="2" t="s">
        <v>9</v>
      </c>
      <c r="F672" s="2" t="s">
        <v>10</v>
      </c>
      <c r="G672" s="2" t="s">
        <v>11</v>
      </c>
      <c r="H672" s="2" t="s">
        <v>12</v>
      </c>
      <c r="I672" s="2" t="s">
        <v>13</v>
      </c>
      <c r="J672" s="2" t="s">
        <v>14</v>
      </c>
      <c r="K672" s="2" t="s">
        <v>15</v>
      </c>
      <c r="L672" s="2" t="s">
        <v>16</v>
      </c>
    </row>
    <row r="673" spans="1:12" x14ac:dyDescent="0.25">
      <c r="A673" s="3">
        <v>45701.275474537033</v>
      </c>
      <c r="B673" t="s">
        <v>56</v>
      </c>
      <c r="C673" s="3">
        <v>45701.286736111113</v>
      </c>
      <c r="D673" t="s">
        <v>383</v>
      </c>
      <c r="E673" s="4">
        <v>2.9660000000000002</v>
      </c>
      <c r="F673" s="4">
        <v>138630.864</v>
      </c>
      <c r="G673" s="4">
        <v>138633.82999999999</v>
      </c>
      <c r="H673" s="5">
        <f>419 / 86400</f>
        <v>4.8495370370370368E-3</v>
      </c>
      <c r="I673" t="s">
        <v>176</v>
      </c>
      <c r="J673" t="s">
        <v>149</v>
      </c>
      <c r="K673" s="5">
        <f>972 / 86400</f>
        <v>1.125E-2</v>
      </c>
      <c r="L673" s="5">
        <f>23855 / 86400</f>
        <v>0.27609953703703705</v>
      </c>
    </row>
    <row r="674" spans="1:12" x14ac:dyDescent="0.25">
      <c r="A674" s="3">
        <v>45701.287361111114</v>
      </c>
      <c r="B674" t="s">
        <v>383</v>
      </c>
      <c r="C674" s="3">
        <v>45701.288564814815</v>
      </c>
      <c r="D674" t="s">
        <v>383</v>
      </c>
      <c r="E674" s="4">
        <v>8.9999999999999993E-3</v>
      </c>
      <c r="F674" s="4">
        <v>138633.82999999999</v>
      </c>
      <c r="G674" s="4">
        <v>138633.83900000001</v>
      </c>
      <c r="H674" s="5">
        <f>99 / 86400</f>
        <v>1.1458333333333333E-3</v>
      </c>
      <c r="I674" t="s">
        <v>91</v>
      </c>
      <c r="J674" t="s">
        <v>91</v>
      </c>
      <c r="K674" s="5">
        <f>104 / 86400</f>
        <v>1.2037037037037038E-3</v>
      </c>
      <c r="L674" s="5">
        <f>1139 / 86400</f>
        <v>1.3182870370370371E-2</v>
      </c>
    </row>
    <row r="675" spans="1:12" x14ac:dyDescent="0.25">
      <c r="A675" s="3">
        <v>45701.301747685182</v>
      </c>
      <c r="B675" t="s">
        <v>383</v>
      </c>
      <c r="C675" s="3">
        <v>45701.348761574074</v>
      </c>
      <c r="D675" t="s">
        <v>131</v>
      </c>
      <c r="E675" s="4">
        <v>26.192</v>
      </c>
      <c r="F675" s="4">
        <v>138633.83900000001</v>
      </c>
      <c r="G675" s="4">
        <v>138660.03099999999</v>
      </c>
      <c r="H675" s="5">
        <f>879 / 86400</f>
        <v>1.0173611111111111E-2</v>
      </c>
      <c r="I675" t="s">
        <v>63</v>
      </c>
      <c r="J675" t="s">
        <v>152</v>
      </c>
      <c r="K675" s="5">
        <f>4062 / 86400</f>
        <v>4.701388888888889E-2</v>
      </c>
      <c r="L675" s="5">
        <f>1882 / 86400</f>
        <v>2.1782407407407407E-2</v>
      </c>
    </row>
    <row r="676" spans="1:12" x14ac:dyDescent="0.25">
      <c r="A676" s="3">
        <v>45701.37054398148</v>
      </c>
      <c r="B676" t="s">
        <v>131</v>
      </c>
      <c r="C676" s="3">
        <v>45701.380104166667</v>
      </c>
      <c r="D676" t="s">
        <v>300</v>
      </c>
      <c r="E676" s="4">
        <v>1.175</v>
      </c>
      <c r="F676" s="4">
        <v>138660.03099999999</v>
      </c>
      <c r="G676" s="4">
        <v>138661.20600000001</v>
      </c>
      <c r="H676" s="5">
        <f>480 / 86400</f>
        <v>5.5555555555555558E-3</v>
      </c>
      <c r="I676" t="s">
        <v>34</v>
      </c>
      <c r="J676" t="s">
        <v>37</v>
      </c>
      <c r="K676" s="5">
        <f>826 / 86400</f>
        <v>9.5601851851851855E-3</v>
      </c>
      <c r="L676" s="5">
        <f>1014 / 86400</f>
        <v>1.173611111111111E-2</v>
      </c>
    </row>
    <row r="677" spans="1:12" x14ac:dyDescent="0.25">
      <c r="A677" s="3">
        <v>45701.391840277778</v>
      </c>
      <c r="B677" t="s">
        <v>118</v>
      </c>
      <c r="C677" s="3">
        <v>45701.392546296294</v>
      </c>
      <c r="D677" t="s">
        <v>118</v>
      </c>
      <c r="E677" s="4">
        <v>5.0000000000000001E-3</v>
      </c>
      <c r="F677" s="4">
        <v>138661.20600000001</v>
      </c>
      <c r="G677" s="4">
        <v>138661.21100000001</v>
      </c>
      <c r="H677" s="5">
        <f>59 / 86400</f>
        <v>6.8287037037037036E-4</v>
      </c>
      <c r="I677" t="s">
        <v>91</v>
      </c>
      <c r="J677" t="s">
        <v>91</v>
      </c>
      <c r="K677" s="5">
        <f>61 / 86400</f>
        <v>7.0601851851851847E-4</v>
      </c>
      <c r="L677" s="5">
        <f>28 / 86400</f>
        <v>3.2407407407407406E-4</v>
      </c>
    </row>
    <row r="678" spans="1:12" x14ac:dyDescent="0.25">
      <c r="A678" s="3">
        <v>45701.392870370371</v>
      </c>
      <c r="B678" t="s">
        <v>118</v>
      </c>
      <c r="C678" s="3">
        <v>45701.394687499997</v>
      </c>
      <c r="D678" t="s">
        <v>47</v>
      </c>
      <c r="E678" s="4">
        <v>0.247</v>
      </c>
      <c r="F678" s="4">
        <v>138661.21100000001</v>
      </c>
      <c r="G678" s="4">
        <v>138661.45800000001</v>
      </c>
      <c r="H678" s="5">
        <f>39 / 86400</f>
        <v>4.5138888888888887E-4</v>
      </c>
      <c r="I678" t="s">
        <v>29</v>
      </c>
      <c r="J678" t="s">
        <v>156</v>
      </c>
      <c r="K678" s="5">
        <f>157 / 86400</f>
        <v>1.8171296296296297E-3</v>
      </c>
      <c r="L678" s="5">
        <f>2938 / 86400</f>
        <v>3.4004629629629628E-2</v>
      </c>
    </row>
    <row r="679" spans="1:12" x14ac:dyDescent="0.25">
      <c r="A679" s="3">
        <v>45701.42869212963</v>
      </c>
      <c r="B679" t="s">
        <v>47</v>
      </c>
      <c r="C679" s="3">
        <v>45701.431145833332</v>
      </c>
      <c r="D679" t="s">
        <v>118</v>
      </c>
      <c r="E679" s="4">
        <v>0.30299999999999999</v>
      </c>
      <c r="F679" s="4">
        <v>138661.45800000001</v>
      </c>
      <c r="G679" s="4">
        <v>138661.761</v>
      </c>
      <c r="H679" s="5">
        <f>39 / 86400</f>
        <v>4.5138888888888887E-4</v>
      </c>
      <c r="I679" t="s">
        <v>43</v>
      </c>
      <c r="J679" t="s">
        <v>37</v>
      </c>
      <c r="K679" s="5">
        <f>212 / 86400</f>
        <v>2.4537037037037036E-3</v>
      </c>
      <c r="L679" s="5">
        <f>5306 / 86400</f>
        <v>6.1412037037037036E-2</v>
      </c>
    </row>
    <row r="680" spans="1:12" x14ac:dyDescent="0.25">
      <c r="A680" s="3">
        <v>45701.49255787037</v>
      </c>
      <c r="B680" t="s">
        <v>118</v>
      </c>
      <c r="C680" s="3">
        <v>45701.495266203703</v>
      </c>
      <c r="D680" t="s">
        <v>104</v>
      </c>
      <c r="E680" s="4">
        <v>1.0149999999999999</v>
      </c>
      <c r="F680" s="4">
        <v>138661.761</v>
      </c>
      <c r="G680" s="4">
        <v>138662.77600000001</v>
      </c>
      <c r="H680" s="5">
        <f>0 / 86400</f>
        <v>0</v>
      </c>
      <c r="I680" t="s">
        <v>148</v>
      </c>
      <c r="J680" t="s">
        <v>51</v>
      </c>
      <c r="K680" s="5">
        <f>233 / 86400</f>
        <v>2.6967592592592594E-3</v>
      </c>
      <c r="L680" s="5">
        <f>1758 / 86400</f>
        <v>2.0347222222222221E-2</v>
      </c>
    </row>
    <row r="681" spans="1:12" x14ac:dyDescent="0.25">
      <c r="A681" s="3">
        <v>45701.51561342593</v>
      </c>
      <c r="B681" t="s">
        <v>104</v>
      </c>
      <c r="C681" s="3">
        <v>45701.520092592589</v>
      </c>
      <c r="D681" t="s">
        <v>118</v>
      </c>
      <c r="E681" s="4">
        <v>1.087</v>
      </c>
      <c r="F681" s="4">
        <v>138662.77600000001</v>
      </c>
      <c r="G681" s="4">
        <v>138663.86300000001</v>
      </c>
      <c r="H681" s="5">
        <f>139 / 86400</f>
        <v>1.6087962962962963E-3</v>
      </c>
      <c r="I681" t="s">
        <v>219</v>
      </c>
      <c r="J681" t="s">
        <v>128</v>
      </c>
      <c r="K681" s="5">
        <f>386 / 86400</f>
        <v>4.4675925925925924E-3</v>
      </c>
      <c r="L681" s="5">
        <f>8379 / 86400</f>
        <v>9.6979166666666672E-2</v>
      </c>
    </row>
    <row r="682" spans="1:12" x14ac:dyDescent="0.25">
      <c r="A682" s="3">
        <v>45701.617071759261</v>
      </c>
      <c r="B682" t="s">
        <v>118</v>
      </c>
      <c r="C682" s="3">
        <v>45701.619687500002</v>
      </c>
      <c r="D682" t="s">
        <v>47</v>
      </c>
      <c r="E682" s="4">
        <v>0.27600000000000002</v>
      </c>
      <c r="F682" s="4">
        <v>138663.86300000001</v>
      </c>
      <c r="G682" s="4">
        <v>138664.139</v>
      </c>
      <c r="H682" s="5">
        <f>119 / 86400</f>
        <v>1.3773148148148147E-3</v>
      </c>
      <c r="I682" t="s">
        <v>51</v>
      </c>
      <c r="J682" t="s">
        <v>177</v>
      </c>
      <c r="K682" s="5">
        <f>225 / 86400</f>
        <v>2.6041666666666665E-3</v>
      </c>
      <c r="L682" s="5">
        <f>41 / 86400</f>
        <v>4.7453703703703704E-4</v>
      </c>
    </row>
    <row r="683" spans="1:12" x14ac:dyDescent="0.25">
      <c r="A683" s="3">
        <v>45701.620162037041</v>
      </c>
      <c r="B683" t="s">
        <v>47</v>
      </c>
      <c r="C683" s="3">
        <v>45701.620856481481</v>
      </c>
      <c r="D683" t="s">
        <v>47</v>
      </c>
      <c r="E683" s="4">
        <v>3.0000000000000001E-3</v>
      </c>
      <c r="F683" s="4">
        <v>138664.139</v>
      </c>
      <c r="G683" s="4">
        <v>138664.14199999999</v>
      </c>
      <c r="H683" s="5">
        <f>59 / 86400</f>
        <v>6.8287037037037036E-4</v>
      </c>
      <c r="I683" t="s">
        <v>91</v>
      </c>
      <c r="J683" t="s">
        <v>91</v>
      </c>
      <c r="K683" s="5">
        <f>60 / 86400</f>
        <v>6.9444444444444447E-4</v>
      </c>
      <c r="L683" s="5">
        <f>2218 / 86400</f>
        <v>2.5671296296296296E-2</v>
      </c>
    </row>
    <row r="684" spans="1:12" x14ac:dyDescent="0.25">
      <c r="A684" s="3">
        <v>45701.646527777775</v>
      </c>
      <c r="B684" t="s">
        <v>47</v>
      </c>
      <c r="C684" s="3">
        <v>45701.649363425924</v>
      </c>
      <c r="D684" t="s">
        <v>118</v>
      </c>
      <c r="E684" s="4">
        <v>0.30499999999999999</v>
      </c>
      <c r="F684" s="4">
        <v>138664.14199999999</v>
      </c>
      <c r="G684" s="4">
        <v>138664.44699999999</v>
      </c>
      <c r="H684" s="5">
        <f>79 / 86400</f>
        <v>9.1435185185185185E-4</v>
      </c>
      <c r="I684" t="s">
        <v>128</v>
      </c>
      <c r="J684" t="s">
        <v>37</v>
      </c>
      <c r="K684" s="5">
        <f>244 / 86400</f>
        <v>2.8240740740740739E-3</v>
      </c>
      <c r="L684" s="5">
        <f>18 / 86400</f>
        <v>2.0833333333333335E-4</v>
      </c>
    </row>
    <row r="685" spans="1:12" x14ac:dyDescent="0.25">
      <c r="A685" s="3">
        <v>45701.649571759262</v>
      </c>
      <c r="B685" t="s">
        <v>118</v>
      </c>
      <c r="C685" s="3">
        <v>45701.650891203702</v>
      </c>
      <c r="D685" t="s">
        <v>118</v>
      </c>
      <c r="E685" s="4">
        <v>3.2000000000000001E-2</v>
      </c>
      <c r="F685" s="4">
        <v>138664.44699999999</v>
      </c>
      <c r="G685" s="4">
        <v>138664.47899999999</v>
      </c>
      <c r="H685" s="5">
        <f>19 / 86400</f>
        <v>2.199074074074074E-4</v>
      </c>
      <c r="I685" t="s">
        <v>110</v>
      </c>
      <c r="J685" t="s">
        <v>125</v>
      </c>
      <c r="K685" s="5">
        <f>114 / 86400</f>
        <v>1.3194444444444445E-3</v>
      </c>
      <c r="L685" s="5">
        <f>3127 / 86400</f>
        <v>3.619212962962963E-2</v>
      </c>
    </row>
    <row r="686" spans="1:12" x14ac:dyDescent="0.25">
      <c r="A686" s="3">
        <v>45701.687083333338</v>
      </c>
      <c r="B686" t="s">
        <v>118</v>
      </c>
      <c r="C686" s="3">
        <v>45701.687696759254</v>
      </c>
      <c r="D686" t="s">
        <v>118</v>
      </c>
      <c r="E686" s="4">
        <v>0</v>
      </c>
      <c r="F686" s="4">
        <v>138664.47899999999</v>
      </c>
      <c r="G686" s="4">
        <v>138664.47899999999</v>
      </c>
      <c r="H686" s="5">
        <f>39 / 86400</f>
        <v>4.5138888888888887E-4</v>
      </c>
      <c r="I686" t="s">
        <v>91</v>
      </c>
      <c r="J686" t="s">
        <v>91</v>
      </c>
      <c r="K686" s="5">
        <f>53 / 86400</f>
        <v>6.134259259259259E-4</v>
      </c>
      <c r="L686" s="5">
        <f>54 / 86400</f>
        <v>6.2500000000000001E-4</v>
      </c>
    </row>
    <row r="687" spans="1:12" x14ac:dyDescent="0.25">
      <c r="A687" s="3">
        <v>45701.688321759255</v>
      </c>
      <c r="B687" t="s">
        <v>118</v>
      </c>
      <c r="C687" s="3">
        <v>45701.688530092593</v>
      </c>
      <c r="D687" t="s">
        <v>118</v>
      </c>
      <c r="E687" s="4">
        <v>0</v>
      </c>
      <c r="F687" s="4">
        <v>138664.47899999999</v>
      </c>
      <c r="G687" s="4">
        <v>138664.47899999999</v>
      </c>
      <c r="H687" s="5">
        <f>0 / 86400</f>
        <v>0</v>
      </c>
      <c r="I687" t="s">
        <v>91</v>
      </c>
      <c r="J687" t="s">
        <v>91</v>
      </c>
      <c r="K687" s="5">
        <f>17 / 86400</f>
        <v>1.9675925925925926E-4</v>
      </c>
      <c r="L687" s="5">
        <f>231 / 86400</f>
        <v>2.673611111111111E-3</v>
      </c>
    </row>
    <row r="688" spans="1:12" x14ac:dyDescent="0.25">
      <c r="A688" s="3">
        <v>45701.691203703704</v>
      </c>
      <c r="B688" t="s">
        <v>118</v>
      </c>
      <c r="C688" s="3">
        <v>45701.692824074074</v>
      </c>
      <c r="D688" t="s">
        <v>118</v>
      </c>
      <c r="E688" s="4">
        <v>6.0000000000000001E-3</v>
      </c>
      <c r="F688" s="4">
        <v>138664.47899999999</v>
      </c>
      <c r="G688" s="4">
        <v>138664.48499999999</v>
      </c>
      <c r="H688" s="5">
        <f>139 / 86400</f>
        <v>1.6087962962962963E-3</v>
      </c>
      <c r="I688" t="s">
        <v>91</v>
      </c>
      <c r="J688" t="s">
        <v>91</v>
      </c>
      <c r="K688" s="5">
        <f>140 / 86400</f>
        <v>1.6203703703703703E-3</v>
      </c>
      <c r="L688" s="5">
        <f>44 / 86400</f>
        <v>5.0925925925925921E-4</v>
      </c>
    </row>
    <row r="689" spans="1:12" x14ac:dyDescent="0.25">
      <c r="A689" s="3">
        <v>45701.693333333329</v>
      </c>
      <c r="B689" t="s">
        <v>118</v>
      </c>
      <c r="C689" s="3">
        <v>45701.693819444445</v>
      </c>
      <c r="D689" t="s">
        <v>118</v>
      </c>
      <c r="E689" s="4">
        <v>4.0000000000000001E-3</v>
      </c>
      <c r="F689" s="4">
        <v>138664.48499999999</v>
      </c>
      <c r="G689" s="4">
        <v>138664.489</v>
      </c>
      <c r="H689" s="5">
        <f>39 / 86400</f>
        <v>4.5138888888888887E-4</v>
      </c>
      <c r="I689" t="s">
        <v>91</v>
      </c>
      <c r="J689" t="s">
        <v>91</v>
      </c>
      <c r="K689" s="5">
        <f>41 / 86400</f>
        <v>4.7453703703703704E-4</v>
      </c>
      <c r="L689" s="5">
        <f>6041 / 86400</f>
        <v>6.9918981481481485E-2</v>
      </c>
    </row>
    <row r="690" spans="1:12" x14ac:dyDescent="0.25">
      <c r="A690" s="3">
        <v>45701.763738425929</v>
      </c>
      <c r="B690" t="s">
        <v>118</v>
      </c>
      <c r="C690" s="3">
        <v>45701.812905092593</v>
      </c>
      <c r="D690" t="s">
        <v>56</v>
      </c>
      <c r="E690" s="4">
        <v>23.366</v>
      </c>
      <c r="F690" s="4">
        <v>138664.489</v>
      </c>
      <c r="G690" s="4">
        <v>138687.85500000001</v>
      </c>
      <c r="H690" s="5">
        <f>979 / 86400</f>
        <v>1.1331018518518518E-2</v>
      </c>
      <c r="I690" t="s">
        <v>32</v>
      </c>
      <c r="J690" t="s">
        <v>34</v>
      </c>
      <c r="K690" s="5">
        <f>4247 / 86400</f>
        <v>4.9155092592592591E-2</v>
      </c>
      <c r="L690" s="5">
        <f>16164 / 86400</f>
        <v>0.18708333333333332</v>
      </c>
    </row>
    <row r="691" spans="1:12" x14ac:dyDescent="0.25">
      <c r="A691" s="11"/>
      <c r="B691" s="11"/>
      <c r="C691" s="11"/>
      <c r="D691" s="11"/>
      <c r="E691" s="11"/>
      <c r="F691" s="11"/>
      <c r="G691" s="11"/>
      <c r="H691" s="11"/>
      <c r="I691" s="11"/>
      <c r="J691" s="11"/>
    </row>
    <row r="692" spans="1:12" x14ac:dyDescent="0.25">
      <c r="A692" s="11"/>
      <c r="B692" s="11"/>
      <c r="C692" s="11"/>
      <c r="D692" s="11"/>
      <c r="E692" s="11"/>
      <c r="F692" s="11"/>
      <c r="G692" s="11"/>
      <c r="H692" s="11"/>
      <c r="I692" s="11"/>
      <c r="J692" s="11"/>
    </row>
    <row r="693" spans="1:12" s="10" customFormat="1" ht="20.100000000000001" customHeight="1" x14ac:dyDescent="0.35">
      <c r="A693" s="12" t="s">
        <v>444</v>
      </c>
      <c r="B693" s="12"/>
      <c r="C693" s="12"/>
      <c r="D693" s="12"/>
      <c r="E693" s="12"/>
      <c r="F693" s="12"/>
      <c r="G693" s="12"/>
      <c r="H693" s="12"/>
      <c r="I693" s="12"/>
      <c r="J693" s="12"/>
    </row>
    <row r="694" spans="1:12" x14ac:dyDescent="0.25">
      <c r="A694" s="11"/>
      <c r="B694" s="11"/>
      <c r="C694" s="11"/>
      <c r="D694" s="11"/>
      <c r="E694" s="11"/>
      <c r="F694" s="11"/>
      <c r="G694" s="11"/>
      <c r="H694" s="11"/>
      <c r="I694" s="11"/>
      <c r="J694" s="11"/>
    </row>
    <row r="695" spans="1:12" ht="30" x14ac:dyDescent="0.25">
      <c r="A695" s="2" t="s">
        <v>5</v>
      </c>
      <c r="B695" s="2" t="s">
        <v>6</v>
      </c>
      <c r="C695" s="2" t="s">
        <v>7</v>
      </c>
      <c r="D695" s="2" t="s">
        <v>8</v>
      </c>
      <c r="E695" s="2" t="s">
        <v>9</v>
      </c>
      <c r="F695" s="2" t="s">
        <v>10</v>
      </c>
      <c r="G695" s="2" t="s">
        <v>11</v>
      </c>
      <c r="H695" s="2" t="s">
        <v>12</v>
      </c>
      <c r="I695" s="2" t="s">
        <v>13</v>
      </c>
      <c r="J695" s="2" t="s">
        <v>14</v>
      </c>
      <c r="K695" s="2" t="s">
        <v>15</v>
      </c>
      <c r="L695" s="2" t="s">
        <v>16</v>
      </c>
    </row>
    <row r="696" spans="1:12" x14ac:dyDescent="0.25">
      <c r="A696" s="3">
        <v>45701.220833333333</v>
      </c>
      <c r="B696" t="s">
        <v>27</v>
      </c>
      <c r="C696" s="3">
        <v>45701.223796296297</v>
      </c>
      <c r="D696" t="s">
        <v>27</v>
      </c>
      <c r="E696" s="4">
        <v>0</v>
      </c>
      <c r="F696" s="4">
        <v>5590.4009999999998</v>
      </c>
      <c r="G696" s="4">
        <v>5590.4009999999998</v>
      </c>
      <c r="H696" s="5">
        <f>239 / 86400</f>
        <v>2.7662037037037039E-3</v>
      </c>
      <c r="I696" t="s">
        <v>91</v>
      </c>
      <c r="J696" t="s">
        <v>91</v>
      </c>
      <c r="K696" s="5">
        <f>256 / 86400</f>
        <v>2.9629629629629628E-3</v>
      </c>
      <c r="L696" s="5">
        <f>24219 / 86400</f>
        <v>0.28031250000000002</v>
      </c>
    </row>
    <row r="697" spans="1:12" x14ac:dyDescent="0.25">
      <c r="A697" s="3">
        <v>45701.283275462964</v>
      </c>
      <c r="B697" t="s">
        <v>27</v>
      </c>
      <c r="C697" s="3">
        <v>45701.553020833337</v>
      </c>
      <c r="D697" t="s">
        <v>158</v>
      </c>
      <c r="E697" s="4">
        <v>87.484999999999999</v>
      </c>
      <c r="F697" s="4">
        <v>5590.4009999999998</v>
      </c>
      <c r="G697" s="4">
        <v>5677.8860000000004</v>
      </c>
      <c r="H697" s="5">
        <f>11391 / 86400</f>
        <v>0.13184027777777776</v>
      </c>
      <c r="I697" t="s">
        <v>166</v>
      </c>
      <c r="J697" t="s">
        <v>43</v>
      </c>
      <c r="K697" s="5">
        <f>23305 / 86400</f>
        <v>0.26973379629629629</v>
      </c>
      <c r="L697" s="5">
        <f>261 / 86400</f>
        <v>3.0208333333333333E-3</v>
      </c>
    </row>
    <row r="698" spans="1:12" x14ac:dyDescent="0.25">
      <c r="A698" s="3">
        <v>45701.55604166667</v>
      </c>
      <c r="B698" t="s">
        <v>158</v>
      </c>
      <c r="C698" s="3">
        <v>45701.561319444445</v>
      </c>
      <c r="D698" t="s">
        <v>133</v>
      </c>
      <c r="E698" s="4">
        <v>1.3520000000000001</v>
      </c>
      <c r="F698" s="4">
        <v>5677.8860000000004</v>
      </c>
      <c r="G698" s="4">
        <v>5679.2380000000003</v>
      </c>
      <c r="H698" s="5">
        <f>100 / 86400</f>
        <v>1.1574074074074073E-3</v>
      </c>
      <c r="I698" t="s">
        <v>145</v>
      </c>
      <c r="J698" t="s">
        <v>149</v>
      </c>
      <c r="K698" s="5">
        <f>455 / 86400</f>
        <v>5.2662037037037035E-3</v>
      </c>
      <c r="L698" s="5">
        <f>4604 / 86400</f>
        <v>5.3287037037037036E-2</v>
      </c>
    </row>
    <row r="699" spans="1:12" x14ac:dyDescent="0.25">
      <c r="A699" s="3">
        <v>45701.614606481482</v>
      </c>
      <c r="B699" t="s">
        <v>133</v>
      </c>
      <c r="C699" s="3">
        <v>45701.923958333333</v>
      </c>
      <c r="D699" t="s">
        <v>24</v>
      </c>
      <c r="E699" s="4">
        <v>95.870999999999995</v>
      </c>
      <c r="F699" s="4">
        <v>5679.2380000000003</v>
      </c>
      <c r="G699" s="4">
        <v>5775.1090000000004</v>
      </c>
      <c r="H699" s="5">
        <f>12593 / 86400</f>
        <v>0.14575231481481482</v>
      </c>
      <c r="I699" t="s">
        <v>57</v>
      </c>
      <c r="J699" t="s">
        <v>58</v>
      </c>
      <c r="K699" s="5">
        <f>26727 / 86400</f>
        <v>0.30934027777777778</v>
      </c>
      <c r="L699" s="5">
        <f>464 / 86400</f>
        <v>5.37037037037037E-3</v>
      </c>
    </row>
    <row r="700" spans="1:12" x14ac:dyDescent="0.25">
      <c r="A700" s="3">
        <v>45701.9293287037</v>
      </c>
      <c r="B700" t="s">
        <v>24</v>
      </c>
      <c r="C700" s="3">
        <v>45701.934444444443</v>
      </c>
      <c r="D700" t="s">
        <v>27</v>
      </c>
      <c r="E700" s="4">
        <v>0.45200000000000001</v>
      </c>
      <c r="F700" s="4">
        <v>5775.1090000000004</v>
      </c>
      <c r="G700" s="4">
        <v>5775.5609999999997</v>
      </c>
      <c r="H700" s="5">
        <f>260 / 86400</f>
        <v>3.0092592592592593E-3</v>
      </c>
      <c r="I700" t="s">
        <v>120</v>
      </c>
      <c r="J700" t="s">
        <v>177</v>
      </c>
      <c r="K700" s="5">
        <f>442 / 86400</f>
        <v>5.115740740740741E-3</v>
      </c>
      <c r="L700" s="5">
        <f>5663 / 86400</f>
        <v>6.5543981481481481E-2</v>
      </c>
    </row>
    <row r="701" spans="1:12" x14ac:dyDescent="0.25">
      <c r="A701" s="11"/>
      <c r="B701" s="11"/>
      <c r="C701" s="11"/>
      <c r="D701" s="11"/>
      <c r="E701" s="11"/>
      <c r="F701" s="11"/>
      <c r="G701" s="11"/>
      <c r="H701" s="11"/>
      <c r="I701" s="11"/>
      <c r="J701" s="11"/>
    </row>
    <row r="702" spans="1:12" x14ac:dyDescent="0.25">
      <c r="A702" s="11"/>
      <c r="B702" s="11"/>
      <c r="C702" s="11"/>
      <c r="D702" s="11"/>
      <c r="E702" s="11"/>
      <c r="F702" s="11"/>
      <c r="G702" s="11"/>
      <c r="H702" s="11"/>
      <c r="I702" s="11"/>
      <c r="J702" s="11"/>
    </row>
    <row r="703" spans="1:12" s="10" customFormat="1" ht="20.100000000000001" customHeight="1" x14ac:dyDescent="0.35">
      <c r="A703" s="12" t="s">
        <v>445</v>
      </c>
      <c r="B703" s="12"/>
      <c r="C703" s="12"/>
      <c r="D703" s="12"/>
      <c r="E703" s="12"/>
      <c r="F703" s="12"/>
      <c r="G703" s="12"/>
      <c r="H703" s="12"/>
      <c r="I703" s="12"/>
      <c r="J703" s="12"/>
    </row>
    <row r="704" spans="1:12" x14ac:dyDescent="0.25">
      <c r="A704" s="11"/>
      <c r="B704" s="11"/>
      <c r="C704" s="11"/>
      <c r="D704" s="11"/>
      <c r="E704" s="11"/>
      <c r="F704" s="11"/>
      <c r="G704" s="11"/>
      <c r="H704" s="11"/>
      <c r="I704" s="11"/>
      <c r="J704" s="11"/>
    </row>
    <row r="705" spans="1:12" ht="30" x14ac:dyDescent="0.25">
      <c r="A705" s="2" t="s">
        <v>5</v>
      </c>
      <c r="B705" s="2" t="s">
        <v>6</v>
      </c>
      <c r="C705" s="2" t="s">
        <v>7</v>
      </c>
      <c r="D705" s="2" t="s">
        <v>8</v>
      </c>
      <c r="E705" s="2" t="s">
        <v>9</v>
      </c>
      <c r="F705" s="2" t="s">
        <v>10</v>
      </c>
      <c r="G705" s="2" t="s">
        <v>11</v>
      </c>
      <c r="H705" s="2" t="s">
        <v>12</v>
      </c>
      <c r="I705" s="2" t="s">
        <v>13</v>
      </c>
      <c r="J705" s="2" t="s">
        <v>14</v>
      </c>
      <c r="K705" s="2" t="s">
        <v>15</v>
      </c>
      <c r="L705" s="2" t="s">
        <v>16</v>
      </c>
    </row>
    <row r="706" spans="1:12" x14ac:dyDescent="0.25">
      <c r="A706" s="3">
        <v>45701.147812499999</v>
      </c>
      <c r="B706" t="s">
        <v>59</v>
      </c>
      <c r="C706" s="3">
        <v>45701.300891203704</v>
      </c>
      <c r="D706" t="s">
        <v>133</v>
      </c>
      <c r="E706" s="4">
        <v>82.647999999999996</v>
      </c>
      <c r="F706" s="4">
        <v>523146.69699999999</v>
      </c>
      <c r="G706" s="4">
        <v>523229.34499999997</v>
      </c>
      <c r="H706" s="5">
        <f>2819 / 86400</f>
        <v>3.2627314814814817E-2</v>
      </c>
      <c r="I706" t="s">
        <v>200</v>
      </c>
      <c r="J706" t="s">
        <v>132</v>
      </c>
      <c r="K706" s="5">
        <f>13226 / 86400</f>
        <v>0.15307870370370372</v>
      </c>
      <c r="L706" s="5">
        <f>14935 / 86400</f>
        <v>0.1728587962962963</v>
      </c>
    </row>
    <row r="707" spans="1:12" x14ac:dyDescent="0.25">
      <c r="A707" s="3">
        <v>45701.325937500005</v>
      </c>
      <c r="B707" t="s">
        <v>133</v>
      </c>
      <c r="C707" s="3">
        <v>45701.32612268519</v>
      </c>
      <c r="D707" t="s">
        <v>133</v>
      </c>
      <c r="E707" s="4">
        <v>1.7999999999999999E-2</v>
      </c>
      <c r="F707" s="4">
        <v>523229.34499999997</v>
      </c>
      <c r="G707" s="4">
        <v>523229.36300000001</v>
      </c>
      <c r="H707" s="5">
        <f>0 / 86400</f>
        <v>0</v>
      </c>
      <c r="I707" t="s">
        <v>37</v>
      </c>
      <c r="J707" t="s">
        <v>177</v>
      </c>
      <c r="K707" s="5">
        <f>16 / 86400</f>
        <v>1.8518518518518518E-4</v>
      </c>
      <c r="L707" s="5">
        <f>492 / 86400</f>
        <v>5.6944444444444447E-3</v>
      </c>
    </row>
    <row r="708" spans="1:12" x14ac:dyDescent="0.25">
      <c r="A708" s="3">
        <v>45701.331817129627</v>
      </c>
      <c r="B708" t="s">
        <v>131</v>
      </c>
      <c r="C708" s="3">
        <v>45701.580266203702</v>
      </c>
      <c r="D708" t="s">
        <v>158</v>
      </c>
      <c r="E708" s="4">
        <v>101.81100000000001</v>
      </c>
      <c r="F708" s="4">
        <v>523229.36300000001</v>
      </c>
      <c r="G708" s="4">
        <v>523331.174</v>
      </c>
      <c r="H708" s="5">
        <f>6899 / 86400</f>
        <v>7.9849537037037038E-2</v>
      </c>
      <c r="I708" t="s">
        <v>60</v>
      </c>
      <c r="J708" t="s">
        <v>20</v>
      </c>
      <c r="K708" s="5">
        <f>21466 / 86400</f>
        <v>0.24844907407407407</v>
      </c>
      <c r="L708" s="5">
        <f>5740 / 86400</f>
        <v>6.643518518518518E-2</v>
      </c>
    </row>
    <row r="709" spans="1:12" x14ac:dyDescent="0.25">
      <c r="A709" s="3">
        <v>45701.646701388891</v>
      </c>
      <c r="B709" t="s">
        <v>158</v>
      </c>
      <c r="C709" s="3">
        <v>45701.698645833334</v>
      </c>
      <c r="D709" t="s">
        <v>24</v>
      </c>
      <c r="E709" s="4">
        <v>25.794</v>
      </c>
      <c r="F709" s="4">
        <v>523331.174</v>
      </c>
      <c r="G709" s="4">
        <v>523356.96799999999</v>
      </c>
      <c r="H709" s="5">
        <f>1080 / 86400</f>
        <v>1.2500000000000001E-2</v>
      </c>
      <c r="I709" t="s">
        <v>75</v>
      </c>
      <c r="J709" t="s">
        <v>74</v>
      </c>
      <c r="K709" s="5">
        <f>4488 / 86400</f>
        <v>5.1944444444444446E-2</v>
      </c>
      <c r="L709" s="5">
        <f>287 / 86400</f>
        <v>3.3217592592592591E-3</v>
      </c>
    </row>
    <row r="710" spans="1:12" x14ac:dyDescent="0.25">
      <c r="A710" s="3">
        <v>45701.701967592591</v>
      </c>
      <c r="B710" t="s">
        <v>24</v>
      </c>
      <c r="C710" s="3">
        <v>45701.705682870372</v>
      </c>
      <c r="D710" t="s">
        <v>363</v>
      </c>
      <c r="E710" s="4">
        <v>1.5760000000000001</v>
      </c>
      <c r="F710" s="4">
        <v>523356.96799999999</v>
      </c>
      <c r="G710" s="4">
        <v>523358.54399999999</v>
      </c>
      <c r="H710" s="5">
        <f>0 / 86400</f>
        <v>0</v>
      </c>
      <c r="I710" t="s">
        <v>202</v>
      </c>
      <c r="J710" t="s">
        <v>76</v>
      </c>
      <c r="K710" s="5">
        <f>320 / 86400</f>
        <v>3.7037037037037038E-3</v>
      </c>
      <c r="L710" s="5">
        <f>64 / 86400</f>
        <v>7.407407407407407E-4</v>
      </c>
    </row>
    <row r="711" spans="1:12" x14ac:dyDescent="0.25">
      <c r="A711" s="3">
        <v>45701.706423611111</v>
      </c>
      <c r="B711" t="s">
        <v>363</v>
      </c>
      <c r="C711" s="3">
        <v>45701.706678240742</v>
      </c>
      <c r="D711" t="s">
        <v>363</v>
      </c>
      <c r="E711" s="4">
        <v>1.4999999999999999E-2</v>
      </c>
      <c r="F711" s="4">
        <v>523358.54399999999</v>
      </c>
      <c r="G711" s="4">
        <v>523358.55900000001</v>
      </c>
      <c r="H711" s="5">
        <f>19 / 86400</f>
        <v>2.199074074074074E-4</v>
      </c>
      <c r="I711" t="s">
        <v>91</v>
      </c>
      <c r="J711" t="s">
        <v>124</v>
      </c>
      <c r="K711" s="5">
        <f>21 / 86400</f>
        <v>2.4305555555555555E-4</v>
      </c>
      <c r="L711" s="5">
        <f>2168 / 86400</f>
        <v>2.5092592592592593E-2</v>
      </c>
    </row>
    <row r="712" spans="1:12" x14ac:dyDescent="0.25">
      <c r="A712" s="3">
        <v>45701.731770833328</v>
      </c>
      <c r="B712" t="s">
        <v>363</v>
      </c>
      <c r="C712" s="3">
        <v>45701.73542824074</v>
      </c>
      <c r="D712" t="s">
        <v>59</v>
      </c>
      <c r="E712" s="4">
        <v>0.41599999999999998</v>
      </c>
      <c r="F712" s="4">
        <v>523358.55900000001</v>
      </c>
      <c r="G712" s="4">
        <v>523358.97499999998</v>
      </c>
      <c r="H712" s="5">
        <f>160 / 86400</f>
        <v>1.8518518518518519E-3</v>
      </c>
      <c r="I712" t="s">
        <v>23</v>
      </c>
      <c r="J712" t="s">
        <v>37</v>
      </c>
      <c r="K712" s="5">
        <f>315 / 86400</f>
        <v>3.6458333333333334E-3</v>
      </c>
      <c r="L712" s="5">
        <f>22858 / 86400</f>
        <v>0.2645601851851852</v>
      </c>
    </row>
    <row r="713" spans="1:12" x14ac:dyDescent="0.25">
      <c r="A713" s="11"/>
      <c r="B713" s="11"/>
      <c r="C713" s="11"/>
      <c r="D713" s="11"/>
      <c r="E713" s="11"/>
      <c r="F713" s="11"/>
      <c r="G713" s="11"/>
      <c r="H713" s="11"/>
      <c r="I713" s="11"/>
      <c r="J713" s="11"/>
    </row>
    <row r="714" spans="1:12" x14ac:dyDescent="0.25">
      <c r="A714" s="11"/>
      <c r="B714" s="11"/>
      <c r="C714" s="11"/>
      <c r="D714" s="11"/>
      <c r="E714" s="11"/>
      <c r="F714" s="11"/>
      <c r="G714" s="11"/>
      <c r="H714" s="11"/>
      <c r="I714" s="11"/>
      <c r="J714" s="11"/>
    </row>
    <row r="715" spans="1:12" s="10" customFormat="1" ht="20.100000000000001" customHeight="1" x14ac:dyDescent="0.35">
      <c r="A715" s="12" t="s">
        <v>446</v>
      </c>
      <c r="B715" s="12"/>
      <c r="C715" s="12"/>
      <c r="D715" s="12"/>
      <c r="E715" s="12"/>
      <c r="F715" s="12"/>
      <c r="G715" s="12"/>
      <c r="H715" s="12"/>
      <c r="I715" s="12"/>
      <c r="J715" s="12"/>
    </row>
    <row r="716" spans="1:12" x14ac:dyDescent="0.25">
      <c r="A716" s="11"/>
      <c r="B716" s="11"/>
      <c r="C716" s="11"/>
      <c r="D716" s="11"/>
      <c r="E716" s="11"/>
      <c r="F716" s="11"/>
      <c r="G716" s="11"/>
      <c r="H716" s="11"/>
      <c r="I716" s="11"/>
      <c r="J716" s="11"/>
    </row>
    <row r="717" spans="1:12" ht="30" x14ac:dyDescent="0.25">
      <c r="A717" s="2" t="s">
        <v>5</v>
      </c>
      <c r="B717" s="2" t="s">
        <v>6</v>
      </c>
      <c r="C717" s="2" t="s">
        <v>7</v>
      </c>
      <c r="D717" s="2" t="s">
        <v>8</v>
      </c>
      <c r="E717" s="2" t="s">
        <v>9</v>
      </c>
      <c r="F717" s="2" t="s">
        <v>10</v>
      </c>
      <c r="G717" s="2" t="s">
        <v>11</v>
      </c>
      <c r="H717" s="2" t="s">
        <v>12</v>
      </c>
      <c r="I717" s="2" t="s">
        <v>13</v>
      </c>
      <c r="J717" s="2" t="s">
        <v>14</v>
      </c>
      <c r="K717" s="2" t="s">
        <v>15</v>
      </c>
      <c r="L717" s="2" t="s">
        <v>16</v>
      </c>
    </row>
    <row r="718" spans="1:12" x14ac:dyDescent="0.25">
      <c r="A718" s="3">
        <v>45701</v>
      </c>
      <c r="B718" t="s">
        <v>61</v>
      </c>
      <c r="C718" s="3">
        <v>45701.063275462962</v>
      </c>
      <c r="D718" t="s">
        <v>104</v>
      </c>
      <c r="E718" s="4">
        <v>39.124000000000002</v>
      </c>
      <c r="F718" s="4">
        <v>411736.57699999999</v>
      </c>
      <c r="G718" s="4">
        <v>411775.701</v>
      </c>
      <c r="H718" s="5">
        <f>420 / 86400</f>
        <v>4.8611111111111112E-3</v>
      </c>
      <c r="I718" t="s">
        <v>319</v>
      </c>
      <c r="J718" t="s">
        <v>138</v>
      </c>
      <c r="K718" s="5">
        <f>5467 / 86400</f>
        <v>6.3275462962962964E-2</v>
      </c>
      <c r="L718" s="5">
        <f>2344 / 86400</f>
        <v>2.7129629629629629E-2</v>
      </c>
    </row>
    <row r="719" spans="1:12" x14ac:dyDescent="0.25">
      <c r="A719" s="3">
        <v>45701.090405092589</v>
      </c>
      <c r="B719" t="s">
        <v>104</v>
      </c>
      <c r="C719" s="3">
        <v>45701.091157407413</v>
      </c>
      <c r="D719" t="s">
        <v>153</v>
      </c>
      <c r="E719" s="4">
        <v>7.0999999999999994E-2</v>
      </c>
      <c r="F719" s="4">
        <v>411775.701</v>
      </c>
      <c r="G719" s="4">
        <v>411775.772</v>
      </c>
      <c r="H719" s="5">
        <f>0 / 86400</f>
        <v>0</v>
      </c>
      <c r="I719" t="s">
        <v>90</v>
      </c>
      <c r="J719" t="s">
        <v>177</v>
      </c>
      <c r="K719" s="5">
        <f>65 / 86400</f>
        <v>7.5231481481481482E-4</v>
      </c>
      <c r="L719" s="5">
        <f>359 / 86400</f>
        <v>4.1550925925925922E-3</v>
      </c>
    </row>
    <row r="720" spans="1:12" x14ac:dyDescent="0.25">
      <c r="A720" s="3">
        <v>45701.095312500001</v>
      </c>
      <c r="B720" t="s">
        <v>158</v>
      </c>
      <c r="C720" s="3">
        <v>45701.104583333334</v>
      </c>
      <c r="D720" t="s">
        <v>384</v>
      </c>
      <c r="E720" s="4">
        <v>2.1549999999999998</v>
      </c>
      <c r="F720" s="4">
        <v>411775.772</v>
      </c>
      <c r="G720" s="4">
        <v>411777.92700000003</v>
      </c>
      <c r="H720" s="5">
        <f>160 / 86400</f>
        <v>1.8518518518518519E-3</v>
      </c>
      <c r="I720" t="s">
        <v>34</v>
      </c>
      <c r="J720" t="s">
        <v>128</v>
      </c>
      <c r="K720" s="5">
        <f>801 / 86400</f>
        <v>9.2708333333333341E-3</v>
      </c>
      <c r="L720" s="5">
        <f>31747 / 86400</f>
        <v>0.36744212962962963</v>
      </c>
    </row>
    <row r="721" spans="1:12" x14ac:dyDescent="0.25">
      <c r="A721" s="3">
        <v>45701.472025462965</v>
      </c>
      <c r="B721" t="s">
        <v>384</v>
      </c>
      <c r="C721" s="3">
        <v>45701.480729166666</v>
      </c>
      <c r="D721" t="s">
        <v>153</v>
      </c>
      <c r="E721" s="4">
        <v>2.073</v>
      </c>
      <c r="F721" s="4">
        <v>411777.92700000003</v>
      </c>
      <c r="G721" s="4">
        <v>411780</v>
      </c>
      <c r="H721" s="5">
        <f>259 / 86400</f>
        <v>2.9976851851851853E-3</v>
      </c>
      <c r="I721" t="s">
        <v>152</v>
      </c>
      <c r="J721" t="s">
        <v>128</v>
      </c>
      <c r="K721" s="5">
        <f>752 / 86400</f>
        <v>8.7037037037037031E-3</v>
      </c>
      <c r="L721" s="5">
        <f>334 / 86400</f>
        <v>3.8657407407407408E-3</v>
      </c>
    </row>
    <row r="722" spans="1:12" x14ac:dyDescent="0.25">
      <c r="A722" s="3">
        <v>45701.484594907408</v>
      </c>
      <c r="B722" t="s">
        <v>153</v>
      </c>
      <c r="C722" s="3">
        <v>45701.487187499995</v>
      </c>
      <c r="D722" t="s">
        <v>158</v>
      </c>
      <c r="E722" s="4">
        <v>0.68799999999999994</v>
      </c>
      <c r="F722" s="4">
        <v>411780</v>
      </c>
      <c r="G722" s="4">
        <v>411780.68800000002</v>
      </c>
      <c r="H722" s="5">
        <f>20 / 86400</f>
        <v>2.3148148148148149E-4</v>
      </c>
      <c r="I722" t="s">
        <v>152</v>
      </c>
      <c r="J722" t="s">
        <v>149</v>
      </c>
      <c r="K722" s="5">
        <f>224 / 86400</f>
        <v>2.5925925925925925E-3</v>
      </c>
      <c r="L722" s="5">
        <f>994 / 86400</f>
        <v>1.150462962962963E-2</v>
      </c>
    </row>
    <row r="723" spans="1:12" x14ac:dyDescent="0.25">
      <c r="A723" s="3">
        <v>45701.498692129629</v>
      </c>
      <c r="B723" t="s">
        <v>158</v>
      </c>
      <c r="C723" s="3">
        <v>45701.49962962963</v>
      </c>
      <c r="D723" t="s">
        <v>158</v>
      </c>
      <c r="E723" s="4">
        <v>2.9000000000000001E-2</v>
      </c>
      <c r="F723" s="4">
        <v>411780.68800000002</v>
      </c>
      <c r="G723" s="4">
        <v>411780.717</v>
      </c>
      <c r="H723" s="5">
        <f>20 / 86400</f>
        <v>2.3148148148148149E-4</v>
      </c>
      <c r="I723" t="s">
        <v>37</v>
      </c>
      <c r="J723" t="s">
        <v>125</v>
      </c>
      <c r="K723" s="5">
        <f>80 / 86400</f>
        <v>9.2592592592592596E-4</v>
      </c>
      <c r="L723" s="5">
        <f>216 / 86400</f>
        <v>2.5000000000000001E-3</v>
      </c>
    </row>
    <row r="724" spans="1:12" x14ac:dyDescent="0.25">
      <c r="A724" s="3">
        <v>45701.502129629633</v>
      </c>
      <c r="B724" t="s">
        <v>158</v>
      </c>
      <c r="C724" s="3">
        <v>45701.504467592589</v>
      </c>
      <c r="D724" t="s">
        <v>385</v>
      </c>
      <c r="E724" s="4">
        <v>0.72399999999999998</v>
      </c>
      <c r="F724" s="4">
        <v>411780.717</v>
      </c>
      <c r="G724" s="4">
        <v>411781.44099999999</v>
      </c>
      <c r="H724" s="5">
        <f>20 / 86400</f>
        <v>2.3148148148148149E-4</v>
      </c>
      <c r="I724" t="s">
        <v>145</v>
      </c>
      <c r="J724" t="s">
        <v>58</v>
      </c>
      <c r="K724" s="5">
        <f>202 / 86400</f>
        <v>2.3379629629629631E-3</v>
      </c>
      <c r="L724" s="5">
        <f>2989 / 86400</f>
        <v>3.4594907407407408E-2</v>
      </c>
    </row>
    <row r="725" spans="1:12" x14ac:dyDescent="0.25">
      <c r="A725" s="3">
        <v>45701.5390625</v>
      </c>
      <c r="B725" t="s">
        <v>385</v>
      </c>
      <c r="C725" s="3">
        <v>45701.539097222223</v>
      </c>
      <c r="D725" t="s">
        <v>385</v>
      </c>
      <c r="E725" s="4">
        <v>0</v>
      </c>
      <c r="F725" s="4">
        <v>411781.44099999999</v>
      </c>
      <c r="G725" s="4">
        <v>411781.44099999999</v>
      </c>
      <c r="H725" s="5">
        <f>0 / 86400</f>
        <v>0</v>
      </c>
      <c r="I725" t="s">
        <v>91</v>
      </c>
      <c r="J725" t="s">
        <v>91</v>
      </c>
      <c r="K725" s="5">
        <f>3 / 86400</f>
        <v>3.4722222222222222E-5</v>
      </c>
      <c r="L725" s="5">
        <f>28 / 86400</f>
        <v>3.2407407407407406E-4</v>
      </c>
    </row>
    <row r="726" spans="1:12" x14ac:dyDescent="0.25">
      <c r="A726" s="3">
        <v>45701.5394212963</v>
      </c>
      <c r="B726" t="s">
        <v>385</v>
      </c>
      <c r="C726" s="3">
        <v>45701.820694444439</v>
      </c>
      <c r="D726" t="s">
        <v>134</v>
      </c>
      <c r="E726" s="4">
        <v>99.775999999999996</v>
      </c>
      <c r="F726" s="4">
        <v>411781.44099999999</v>
      </c>
      <c r="G726" s="4">
        <v>411881.217</v>
      </c>
      <c r="H726" s="5">
        <f>8341 / 86400</f>
        <v>9.6539351851851848E-2</v>
      </c>
      <c r="I726" t="s">
        <v>63</v>
      </c>
      <c r="J726" t="s">
        <v>29</v>
      </c>
      <c r="K726" s="5">
        <f>24302 / 86400</f>
        <v>0.28127314814814813</v>
      </c>
      <c r="L726" s="5">
        <f>1306 / 86400</f>
        <v>1.511574074074074E-2</v>
      </c>
    </row>
    <row r="727" spans="1:12" x14ac:dyDescent="0.25">
      <c r="A727" s="3">
        <v>45701.835810185185</v>
      </c>
      <c r="B727" t="s">
        <v>134</v>
      </c>
      <c r="C727" s="3">
        <v>45701.835891203707</v>
      </c>
      <c r="D727" t="s">
        <v>134</v>
      </c>
      <c r="E727" s="4">
        <v>0</v>
      </c>
      <c r="F727" s="4">
        <v>411881.217</v>
      </c>
      <c r="G727" s="4">
        <v>411881.217</v>
      </c>
      <c r="H727" s="5">
        <f>0 / 86400</f>
        <v>0</v>
      </c>
      <c r="I727" t="s">
        <v>91</v>
      </c>
      <c r="J727" t="s">
        <v>91</v>
      </c>
      <c r="K727" s="5">
        <f>6 / 86400</f>
        <v>6.9444444444444444E-5</v>
      </c>
      <c r="L727" s="5">
        <f>8 / 86400</f>
        <v>9.2592592592592588E-5</v>
      </c>
    </row>
    <row r="728" spans="1:12" x14ac:dyDescent="0.25">
      <c r="A728" s="3">
        <v>45701.835983796293</v>
      </c>
      <c r="B728" t="s">
        <v>134</v>
      </c>
      <c r="C728" s="3">
        <v>45701.837812500002</v>
      </c>
      <c r="D728" t="s">
        <v>158</v>
      </c>
      <c r="E728" s="4">
        <v>0.55900000000000005</v>
      </c>
      <c r="F728" s="4">
        <v>411881.217</v>
      </c>
      <c r="G728" s="4">
        <v>411881.77600000001</v>
      </c>
      <c r="H728" s="5">
        <f>45 / 86400</f>
        <v>5.2083333333333333E-4</v>
      </c>
      <c r="I728" t="s">
        <v>71</v>
      </c>
      <c r="J728" t="s">
        <v>58</v>
      </c>
      <c r="K728" s="5">
        <f>158 / 86400</f>
        <v>1.8287037037037037E-3</v>
      </c>
      <c r="L728" s="5">
        <f>405 / 86400</f>
        <v>4.6874999999999998E-3</v>
      </c>
    </row>
    <row r="729" spans="1:12" x14ac:dyDescent="0.25">
      <c r="A729" s="3">
        <v>45701.842499999999</v>
      </c>
      <c r="B729" t="s">
        <v>158</v>
      </c>
      <c r="C729" s="3">
        <v>45701.844212962962</v>
      </c>
      <c r="D729" t="s">
        <v>153</v>
      </c>
      <c r="E729" s="4">
        <v>0.35399999999999998</v>
      </c>
      <c r="F729" s="4">
        <v>411881.77600000001</v>
      </c>
      <c r="G729" s="4">
        <v>411882.13</v>
      </c>
      <c r="H729" s="5">
        <f>40 / 86400</f>
        <v>4.6296296296296298E-4</v>
      </c>
      <c r="I729" t="s">
        <v>34</v>
      </c>
      <c r="J729" t="s">
        <v>140</v>
      </c>
      <c r="K729" s="5">
        <f>148 / 86400</f>
        <v>1.712962962962963E-3</v>
      </c>
      <c r="L729" s="5">
        <f>455 / 86400</f>
        <v>5.2662037037037035E-3</v>
      </c>
    </row>
    <row r="730" spans="1:12" x14ac:dyDescent="0.25">
      <c r="A730" s="3">
        <v>45701.849479166667</v>
      </c>
      <c r="B730" t="s">
        <v>153</v>
      </c>
      <c r="C730" s="3">
        <v>45701.984976851847</v>
      </c>
      <c r="D730" t="s">
        <v>35</v>
      </c>
      <c r="E730" s="4">
        <v>61.819000000000003</v>
      </c>
      <c r="F730" s="4">
        <v>411882.13</v>
      </c>
      <c r="G730" s="4">
        <v>411943.94900000002</v>
      </c>
      <c r="H730" s="5">
        <f>3181 / 86400</f>
        <v>3.681712962962963E-2</v>
      </c>
      <c r="I730" t="s">
        <v>63</v>
      </c>
      <c r="J730" t="s">
        <v>23</v>
      </c>
      <c r="K730" s="5">
        <f>11707 / 86400</f>
        <v>0.13549768518518518</v>
      </c>
      <c r="L730" s="5">
        <f>1212 / 86400</f>
        <v>1.4027777777777778E-2</v>
      </c>
    </row>
    <row r="731" spans="1:12" x14ac:dyDescent="0.25">
      <c r="A731" s="3">
        <v>45701.99900462963</v>
      </c>
      <c r="B731" t="s">
        <v>35</v>
      </c>
      <c r="C731" s="3">
        <v>45701.99998842593</v>
      </c>
      <c r="D731" t="s">
        <v>62</v>
      </c>
      <c r="E731" s="4">
        <v>1.9E-2</v>
      </c>
      <c r="F731" s="4">
        <v>411943.94900000002</v>
      </c>
      <c r="G731" s="4">
        <v>411943.96799999999</v>
      </c>
      <c r="H731" s="5">
        <f>60 / 86400</f>
        <v>6.9444444444444447E-4</v>
      </c>
      <c r="I731" t="s">
        <v>161</v>
      </c>
      <c r="J731" t="s">
        <v>125</v>
      </c>
      <c r="K731" s="5">
        <f>85 / 86400</f>
        <v>9.837962962962962E-4</v>
      </c>
      <c r="L731" s="5">
        <f>0 / 86400</f>
        <v>0</v>
      </c>
    </row>
    <row r="732" spans="1:12" x14ac:dyDescent="0.25">
      <c r="A732" s="11"/>
      <c r="B732" s="11"/>
      <c r="C732" s="11"/>
      <c r="D732" s="11"/>
      <c r="E732" s="11"/>
      <c r="F732" s="11"/>
      <c r="G732" s="11"/>
      <c r="H732" s="11"/>
      <c r="I732" s="11"/>
      <c r="J732" s="11"/>
    </row>
    <row r="733" spans="1:12" x14ac:dyDescent="0.25">
      <c r="A733" s="11"/>
      <c r="B733" s="11"/>
      <c r="C733" s="11"/>
      <c r="D733" s="11"/>
      <c r="E733" s="11"/>
      <c r="F733" s="11"/>
      <c r="G733" s="11"/>
      <c r="H733" s="11"/>
      <c r="I733" s="11"/>
      <c r="J733" s="11"/>
    </row>
    <row r="734" spans="1:12" s="10" customFormat="1" ht="20.100000000000001" customHeight="1" x14ac:dyDescent="0.35">
      <c r="A734" s="12" t="s">
        <v>447</v>
      </c>
      <c r="B734" s="12"/>
      <c r="C734" s="12"/>
      <c r="D734" s="12"/>
      <c r="E734" s="12"/>
      <c r="F734" s="12"/>
      <c r="G734" s="12"/>
      <c r="H734" s="12"/>
      <c r="I734" s="12"/>
      <c r="J734" s="12"/>
    </row>
    <row r="735" spans="1:12" x14ac:dyDescent="0.25">
      <c r="A735" s="11"/>
      <c r="B735" s="11"/>
      <c r="C735" s="11"/>
      <c r="D735" s="11"/>
      <c r="E735" s="11"/>
      <c r="F735" s="11"/>
      <c r="G735" s="11"/>
      <c r="H735" s="11"/>
      <c r="I735" s="11"/>
      <c r="J735" s="11"/>
    </row>
    <row r="736" spans="1:12" ht="30" x14ac:dyDescent="0.25">
      <c r="A736" s="2" t="s">
        <v>5</v>
      </c>
      <c r="B736" s="2" t="s">
        <v>6</v>
      </c>
      <c r="C736" s="2" t="s">
        <v>7</v>
      </c>
      <c r="D736" s="2" t="s">
        <v>8</v>
      </c>
      <c r="E736" s="2" t="s">
        <v>9</v>
      </c>
      <c r="F736" s="2" t="s">
        <v>10</v>
      </c>
      <c r="G736" s="2" t="s">
        <v>11</v>
      </c>
      <c r="H736" s="2" t="s">
        <v>12</v>
      </c>
      <c r="I736" s="2" t="s">
        <v>13</v>
      </c>
      <c r="J736" s="2" t="s">
        <v>14</v>
      </c>
      <c r="K736" s="2" t="s">
        <v>15</v>
      </c>
      <c r="L736" s="2" t="s">
        <v>16</v>
      </c>
    </row>
    <row r="737" spans="1:12" x14ac:dyDescent="0.25">
      <c r="A737" s="3">
        <v>45701.314745370371</v>
      </c>
      <c r="B737" t="s">
        <v>64</v>
      </c>
      <c r="C737" s="3">
        <v>45701.320150462961</v>
      </c>
      <c r="D737" t="s">
        <v>158</v>
      </c>
      <c r="E737" s="4">
        <v>0.60399999999999998</v>
      </c>
      <c r="F737" s="4">
        <v>402776.73499999999</v>
      </c>
      <c r="G737" s="4">
        <v>402777.33899999998</v>
      </c>
      <c r="H737" s="5">
        <f>279 / 86400</f>
        <v>3.2291666666666666E-3</v>
      </c>
      <c r="I737" t="s">
        <v>130</v>
      </c>
      <c r="J737" t="s">
        <v>37</v>
      </c>
      <c r="K737" s="5">
        <f>466 / 86400</f>
        <v>5.3935185185185188E-3</v>
      </c>
      <c r="L737" s="5">
        <f>27482 / 86400</f>
        <v>0.31807870370370372</v>
      </c>
    </row>
    <row r="738" spans="1:12" x14ac:dyDescent="0.25">
      <c r="A738" s="3">
        <v>45701.323483796295</v>
      </c>
      <c r="B738" t="s">
        <v>158</v>
      </c>
      <c r="C738" s="3">
        <v>45701.585543981477</v>
      </c>
      <c r="D738" t="s">
        <v>131</v>
      </c>
      <c r="E738" s="4">
        <v>101.392</v>
      </c>
      <c r="F738" s="4">
        <v>402777.33899999998</v>
      </c>
      <c r="G738" s="4">
        <v>402878.73100000003</v>
      </c>
      <c r="H738" s="5">
        <f>7239 / 86400</f>
        <v>8.3784722222222219E-2</v>
      </c>
      <c r="I738" t="s">
        <v>65</v>
      </c>
      <c r="J738" t="s">
        <v>51</v>
      </c>
      <c r="K738" s="5">
        <f>22641 / 86400</f>
        <v>0.26204861111111111</v>
      </c>
      <c r="L738" s="5">
        <f>613 / 86400</f>
        <v>7.0949074074074074E-3</v>
      </c>
    </row>
    <row r="739" spans="1:12" x14ac:dyDescent="0.25">
      <c r="A739" s="3">
        <v>45701.592638888891</v>
      </c>
      <c r="B739" t="s">
        <v>131</v>
      </c>
      <c r="C739" s="3">
        <v>45701.596805555557</v>
      </c>
      <c r="D739" t="s">
        <v>118</v>
      </c>
      <c r="E739" s="4">
        <v>1.1319999999999999</v>
      </c>
      <c r="F739" s="4">
        <v>402878.73100000003</v>
      </c>
      <c r="G739" s="4">
        <v>402879.86300000001</v>
      </c>
      <c r="H739" s="5">
        <f>100 / 86400</f>
        <v>1.1574074074074073E-3</v>
      </c>
      <c r="I739" t="s">
        <v>130</v>
      </c>
      <c r="J739" t="s">
        <v>149</v>
      </c>
      <c r="K739" s="5">
        <f>360 / 86400</f>
        <v>4.1666666666666666E-3</v>
      </c>
      <c r="L739" s="5">
        <f>3440 / 86400</f>
        <v>3.9814814814814817E-2</v>
      </c>
    </row>
    <row r="740" spans="1:12" x14ac:dyDescent="0.25">
      <c r="A740" s="3">
        <v>45701.636620370366</v>
      </c>
      <c r="B740" t="s">
        <v>118</v>
      </c>
      <c r="C740" s="3">
        <v>45701.65115740741</v>
      </c>
      <c r="D740" t="s">
        <v>297</v>
      </c>
      <c r="E740" s="4">
        <v>5.7119999999999997</v>
      </c>
      <c r="F740" s="4">
        <v>402879.86300000001</v>
      </c>
      <c r="G740" s="4">
        <v>402885.57500000001</v>
      </c>
      <c r="H740" s="5">
        <f>200 / 86400</f>
        <v>2.3148148148148147E-3</v>
      </c>
      <c r="I740" t="s">
        <v>286</v>
      </c>
      <c r="J740" t="s">
        <v>51</v>
      </c>
      <c r="K740" s="5">
        <f>1256 / 86400</f>
        <v>1.4537037037037038E-2</v>
      </c>
      <c r="L740" s="5">
        <f>60 / 86400</f>
        <v>6.9444444444444447E-4</v>
      </c>
    </row>
    <row r="741" spans="1:12" x14ac:dyDescent="0.25">
      <c r="A741" s="3">
        <v>45701.651851851857</v>
      </c>
      <c r="B741" t="s">
        <v>386</v>
      </c>
      <c r="C741" s="3">
        <v>45701.713101851856</v>
      </c>
      <c r="D741" t="s">
        <v>187</v>
      </c>
      <c r="E741" s="4">
        <v>30.556999999999999</v>
      </c>
      <c r="F741" s="4">
        <v>402885.57500000001</v>
      </c>
      <c r="G741" s="4">
        <v>402916.13199999998</v>
      </c>
      <c r="H741" s="5">
        <f>1519 / 86400</f>
        <v>1.758101851851852E-2</v>
      </c>
      <c r="I741" t="s">
        <v>60</v>
      </c>
      <c r="J741" t="s">
        <v>74</v>
      </c>
      <c r="K741" s="5">
        <f>5291 / 86400</f>
        <v>6.1238425925925925E-2</v>
      </c>
      <c r="L741" s="5">
        <f>1049 / 86400</f>
        <v>1.2141203703703704E-2</v>
      </c>
    </row>
    <row r="742" spans="1:12" x14ac:dyDescent="0.25">
      <c r="A742" s="3">
        <v>45701.725243055553</v>
      </c>
      <c r="B742" t="s">
        <v>187</v>
      </c>
      <c r="C742" s="3">
        <v>45701.823506944449</v>
      </c>
      <c r="D742" t="s">
        <v>158</v>
      </c>
      <c r="E742" s="4">
        <v>34.881999999999998</v>
      </c>
      <c r="F742" s="4">
        <v>402916.13199999998</v>
      </c>
      <c r="G742" s="4">
        <v>402951.01400000002</v>
      </c>
      <c r="H742" s="5">
        <f>2680 / 86400</f>
        <v>3.1018518518518518E-2</v>
      </c>
      <c r="I742" t="s">
        <v>319</v>
      </c>
      <c r="J742" t="s">
        <v>29</v>
      </c>
      <c r="K742" s="5">
        <f>8489 / 86400</f>
        <v>9.825231481481482E-2</v>
      </c>
      <c r="L742" s="5">
        <f>364 / 86400</f>
        <v>4.2129629629629626E-3</v>
      </c>
    </row>
    <row r="743" spans="1:12" x14ac:dyDescent="0.25">
      <c r="A743" s="3">
        <v>45701.827719907407</v>
      </c>
      <c r="B743" t="s">
        <v>158</v>
      </c>
      <c r="C743" s="3">
        <v>45701.828946759255</v>
      </c>
      <c r="D743" t="s">
        <v>146</v>
      </c>
      <c r="E743" s="4">
        <v>0.27700000000000002</v>
      </c>
      <c r="F743" s="4">
        <v>402951.01400000002</v>
      </c>
      <c r="G743" s="4">
        <v>402951.29100000003</v>
      </c>
      <c r="H743" s="5">
        <f>40 / 86400</f>
        <v>4.6296296296296298E-4</v>
      </c>
      <c r="I743" t="s">
        <v>169</v>
      </c>
      <c r="J743" t="s">
        <v>140</v>
      </c>
      <c r="K743" s="5">
        <f>105 / 86400</f>
        <v>1.2152777777777778E-3</v>
      </c>
      <c r="L743" s="5">
        <f>166 / 86400</f>
        <v>1.9212962962962964E-3</v>
      </c>
    </row>
    <row r="744" spans="1:12" x14ac:dyDescent="0.25">
      <c r="A744" s="3">
        <v>45701.830868055556</v>
      </c>
      <c r="B744" t="s">
        <v>146</v>
      </c>
      <c r="C744" s="3">
        <v>45701.833113425921</v>
      </c>
      <c r="D744" t="s">
        <v>64</v>
      </c>
      <c r="E744" s="4">
        <v>0.30099999999999999</v>
      </c>
      <c r="F744" s="4">
        <v>402951.29100000003</v>
      </c>
      <c r="G744" s="4">
        <v>402951.592</v>
      </c>
      <c r="H744" s="5">
        <f>60 / 86400</f>
        <v>6.9444444444444447E-4</v>
      </c>
      <c r="I744" t="s">
        <v>29</v>
      </c>
      <c r="J744" t="s">
        <v>156</v>
      </c>
      <c r="K744" s="5">
        <f>193 / 86400</f>
        <v>2.2337962962962962E-3</v>
      </c>
      <c r="L744" s="5">
        <f>14418 / 86400</f>
        <v>0.166875</v>
      </c>
    </row>
    <row r="745" spans="1:12" x14ac:dyDescent="0.25">
      <c r="A745" s="11"/>
      <c r="B745" s="11"/>
      <c r="C745" s="11"/>
      <c r="D745" s="11"/>
      <c r="E745" s="11"/>
      <c r="F745" s="11"/>
      <c r="G745" s="11"/>
      <c r="H745" s="11"/>
      <c r="I745" s="11"/>
      <c r="J745" s="11"/>
    </row>
    <row r="746" spans="1:12" x14ac:dyDescent="0.25">
      <c r="A746" s="11"/>
      <c r="B746" s="11"/>
      <c r="C746" s="11"/>
      <c r="D746" s="11"/>
      <c r="E746" s="11"/>
      <c r="F746" s="11"/>
      <c r="G746" s="11"/>
      <c r="H746" s="11"/>
      <c r="I746" s="11"/>
      <c r="J746" s="11"/>
    </row>
    <row r="747" spans="1:12" s="10" customFormat="1" ht="20.100000000000001" customHeight="1" x14ac:dyDescent="0.35">
      <c r="A747" s="12" t="s">
        <v>448</v>
      </c>
      <c r="B747" s="12"/>
      <c r="C747" s="12"/>
      <c r="D747" s="12"/>
      <c r="E747" s="12"/>
      <c r="F747" s="12"/>
      <c r="G747" s="12"/>
      <c r="H747" s="12"/>
      <c r="I747" s="12"/>
      <c r="J747" s="12"/>
    </row>
    <row r="748" spans="1:12" x14ac:dyDescent="0.25">
      <c r="A748" s="11"/>
      <c r="B748" s="11"/>
      <c r="C748" s="11"/>
      <c r="D748" s="11"/>
      <c r="E748" s="11"/>
      <c r="F748" s="11"/>
      <c r="G748" s="11"/>
      <c r="H748" s="11"/>
      <c r="I748" s="11"/>
      <c r="J748" s="11"/>
    </row>
    <row r="749" spans="1:12" ht="30" x14ac:dyDescent="0.25">
      <c r="A749" s="2" t="s">
        <v>5</v>
      </c>
      <c r="B749" s="2" t="s">
        <v>6</v>
      </c>
      <c r="C749" s="2" t="s">
        <v>7</v>
      </c>
      <c r="D749" s="2" t="s">
        <v>8</v>
      </c>
      <c r="E749" s="2" t="s">
        <v>9</v>
      </c>
      <c r="F749" s="2" t="s">
        <v>10</v>
      </c>
      <c r="G749" s="2" t="s">
        <v>11</v>
      </c>
      <c r="H749" s="2" t="s">
        <v>12</v>
      </c>
      <c r="I749" s="2" t="s">
        <v>13</v>
      </c>
      <c r="J749" s="2" t="s">
        <v>14</v>
      </c>
      <c r="K749" s="2" t="s">
        <v>15</v>
      </c>
      <c r="L749" s="2" t="s">
        <v>16</v>
      </c>
    </row>
    <row r="750" spans="1:12" x14ac:dyDescent="0.25">
      <c r="A750" s="3">
        <v>45701.30263888889</v>
      </c>
      <c r="B750" t="s">
        <v>66</v>
      </c>
      <c r="C750" s="3">
        <v>45701.397222222222</v>
      </c>
      <c r="D750" t="s">
        <v>158</v>
      </c>
      <c r="E750" s="4">
        <v>43.442999999999998</v>
      </c>
      <c r="F750" s="4">
        <v>348121.217</v>
      </c>
      <c r="G750" s="4">
        <v>348164.66</v>
      </c>
      <c r="H750" s="5">
        <f>2099 / 86400</f>
        <v>2.4293981481481482E-2</v>
      </c>
      <c r="I750" t="s">
        <v>176</v>
      </c>
      <c r="J750" t="s">
        <v>23</v>
      </c>
      <c r="K750" s="5">
        <f>8172 / 86400</f>
        <v>9.4583333333333339E-2</v>
      </c>
      <c r="L750" s="5">
        <f>26490 / 86400</f>
        <v>0.30659722222222224</v>
      </c>
    </row>
    <row r="751" spans="1:12" x14ac:dyDescent="0.25">
      <c r="A751" s="3">
        <v>45701.401180555556</v>
      </c>
      <c r="B751" t="s">
        <v>158</v>
      </c>
      <c r="C751" s="3">
        <v>45701.405810185184</v>
      </c>
      <c r="D751" t="s">
        <v>131</v>
      </c>
      <c r="E751" s="4">
        <v>1.302</v>
      </c>
      <c r="F751" s="4">
        <v>348164.66</v>
      </c>
      <c r="G751" s="4">
        <v>348165.962</v>
      </c>
      <c r="H751" s="5">
        <f>59 / 86400</f>
        <v>6.8287037037037036E-4</v>
      </c>
      <c r="I751" t="s">
        <v>169</v>
      </c>
      <c r="J751" t="s">
        <v>120</v>
      </c>
      <c r="K751" s="5">
        <f>399 / 86400</f>
        <v>4.6180555555555558E-3</v>
      </c>
      <c r="L751" s="5">
        <f>6024 / 86400</f>
        <v>6.9722222222222227E-2</v>
      </c>
    </row>
    <row r="752" spans="1:12" x14ac:dyDescent="0.25">
      <c r="A752" s="3">
        <v>45701.475532407407</v>
      </c>
      <c r="B752" t="s">
        <v>131</v>
      </c>
      <c r="C752" s="3">
        <v>45701.697754629626</v>
      </c>
      <c r="D752" t="s">
        <v>387</v>
      </c>
      <c r="E752" s="4">
        <v>75.203000000000003</v>
      </c>
      <c r="F752" s="4">
        <v>348165.962</v>
      </c>
      <c r="G752" s="4">
        <v>348241.16499999998</v>
      </c>
      <c r="H752" s="5">
        <f>7160 / 86400</f>
        <v>8.2870370370370372E-2</v>
      </c>
      <c r="I752" t="s">
        <v>32</v>
      </c>
      <c r="J752" t="s">
        <v>43</v>
      </c>
      <c r="K752" s="5">
        <f>19199 / 86400</f>
        <v>0.22221064814814814</v>
      </c>
      <c r="L752" s="5">
        <f>65 / 86400</f>
        <v>7.5231481481481482E-4</v>
      </c>
    </row>
    <row r="753" spans="1:12" x14ac:dyDescent="0.25">
      <c r="A753" s="3">
        <v>45701.698506944449</v>
      </c>
      <c r="B753" t="s">
        <v>387</v>
      </c>
      <c r="C753" s="3">
        <v>45701.701539351852</v>
      </c>
      <c r="D753" t="s">
        <v>66</v>
      </c>
      <c r="E753" s="4">
        <v>0.24399999999999999</v>
      </c>
      <c r="F753" s="4">
        <v>348241.16499999998</v>
      </c>
      <c r="G753" s="4">
        <v>348241.40899999999</v>
      </c>
      <c r="H753" s="5">
        <f>80 / 86400</f>
        <v>9.2592592592592596E-4</v>
      </c>
      <c r="I753" t="s">
        <v>120</v>
      </c>
      <c r="J753" t="s">
        <v>124</v>
      </c>
      <c r="K753" s="5">
        <f>261 / 86400</f>
        <v>3.0208333333333333E-3</v>
      </c>
      <c r="L753" s="5">
        <f>25786 / 86400</f>
        <v>0.29844907407407406</v>
      </c>
    </row>
    <row r="754" spans="1:12" x14ac:dyDescent="0.25">
      <c r="A754" s="11"/>
      <c r="B754" s="11"/>
      <c r="C754" s="11"/>
      <c r="D754" s="11"/>
      <c r="E754" s="11"/>
      <c r="F754" s="11"/>
      <c r="G754" s="11"/>
      <c r="H754" s="11"/>
      <c r="I754" s="11"/>
      <c r="J754" s="11"/>
    </row>
    <row r="755" spans="1:12" x14ac:dyDescent="0.25">
      <c r="A755" s="11"/>
      <c r="B755" s="11"/>
      <c r="C755" s="11"/>
      <c r="D755" s="11"/>
      <c r="E755" s="11"/>
      <c r="F755" s="11"/>
      <c r="G755" s="11"/>
      <c r="H755" s="11"/>
      <c r="I755" s="11"/>
      <c r="J755" s="11"/>
    </row>
    <row r="756" spans="1:12" s="10" customFormat="1" ht="20.100000000000001" customHeight="1" x14ac:dyDescent="0.35">
      <c r="A756" s="12" t="s">
        <v>449</v>
      </c>
      <c r="B756" s="12"/>
      <c r="C756" s="12"/>
      <c r="D756" s="12"/>
      <c r="E756" s="12"/>
      <c r="F756" s="12"/>
      <c r="G756" s="12"/>
      <c r="H756" s="12"/>
      <c r="I756" s="12"/>
      <c r="J756" s="12"/>
    </row>
    <row r="757" spans="1:12" x14ac:dyDescent="0.25">
      <c r="A757" s="11"/>
      <c r="B757" s="11"/>
      <c r="C757" s="11"/>
      <c r="D757" s="11"/>
      <c r="E757" s="11"/>
      <c r="F757" s="11"/>
      <c r="G757" s="11"/>
      <c r="H757" s="11"/>
      <c r="I757" s="11"/>
      <c r="J757" s="11"/>
    </row>
    <row r="758" spans="1:12" ht="30" x14ac:dyDescent="0.25">
      <c r="A758" s="2" t="s">
        <v>5</v>
      </c>
      <c r="B758" s="2" t="s">
        <v>6</v>
      </c>
      <c r="C758" s="2" t="s">
        <v>7</v>
      </c>
      <c r="D758" s="2" t="s">
        <v>8</v>
      </c>
      <c r="E758" s="2" t="s">
        <v>9</v>
      </c>
      <c r="F758" s="2" t="s">
        <v>10</v>
      </c>
      <c r="G758" s="2" t="s">
        <v>11</v>
      </c>
      <c r="H758" s="2" t="s">
        <v>12</v>
      </c>
      <c r="I758" s="2" t="s">
        <v>13</v>
      </c>
      <c r="J758" s="2" t="s">
        <v>14</v>
      </c>
      <c r="K758" s="2" t="s">
        <v>15</v>
      </c>
      <c r="L758" s="2" t="s">
        <v>16</v>
      </c>
    </row>
    <row r="759" spans="1:12" x14ac:dyDescent="0.25">
      <c r="A759" s="3">
        <v>45701.121041666665</v>
      </c>
      <c r="B759" t="s">
        <v>67</v>
      </c>
      <c r="C759" s="3">
        <v>45701.300277777773</v>
      </c>
      <c r="D759" t="s">
        <v>131</v>
      </c>
      <c r="E759" s="4">
        <v>92.248000000000005</v>
      </c>
      <c r="F759" s="4">
        <v>40905.112000000001</v>
      </c>
      <c r="G759" s="4">
        <v>40997.360000000001</v>
      </c>
      <c r="H759" s="5">
        <f>3678 / 86400</f>
        <v>4.2569444444444444E-2</v>
      </c>
      <c r="I759" t="s">
        <v>68</v>
      </c>
      <c r="J759" t="s">
        <v>74</v>
      </c>
      <c r="K759" s="5">
        <f>15486 / 86400</f>
        <v>0.17923611111111112</v>
      </c>
      <c r="L759" s="5">
        <f>11107 / 86400</f>
        <v>0.12855324074074073</v>
      </c>
    </row>
    <row r="760" spans="1:12" x14ac:dyDescent="0.25">
      <c r="A760" s="3">
        <v>45701.307789351849</v>
      </c>
      <c r="B760" t="s">
        <v>131</v>
      </c>
      <c r="C760" s="3">
        <v>45701.313472222224</v>
      </c>
      <c r="D760" t="s">
        <v>157</v>
      </c>
      <c r="E760" s="4">
        <v>1.147</v>
      </c>
      <c r="F760" s="4">
        <v>40997.360000000001</v>
      </c>
      <c r="G760" s="4">
        <v>40998.506999999998</v>
      </c>
      <c r="H760" s="5">
        <f>139 / 86400</f>
        <v>1.6087962962962963E-3</v>
      </c>
      <c r="I760" t="s">
        <v>159</v>
      </c>
      <c r="J760" t="s">
        <v>90</v>
      </c>
      <c r="K760" s="5">
        <f>491 / 86400</f>
        <v>5.6828703703703702E-3</v>
      </c>
      <c r="L760" s="5">
        <f>1505 / 86400</f>
        <v>1.7418981481481483E-2</v>
      </c>
    </row>
    <row r="761" spans="1:12" x14ac:dyDescent="0.25">
      <c r="A761" s="3">
        <v>45701.330891203703</v>
      </c>
      <c r="B761" t="s">
        <v>118</v>
      </c>
      <c r="C761" s="3">
        <v>45701.603263888886</v>
      </c>
      <c r="D761" t="s">
        <v>104</v>
      </c>
      <c r="E761" s="4">
        <v>101.16200000000001</v>
      </c>
      <c r="F761" s="4">
        <v>40998.506999999998</v>
      </c>
      <c r="G761" s="4">
        <v>41099.669000000002</v>
      </c>
      <c r="H761" s="5">
        <f>8218 / 86400</f>
        <v>9.5115740740740737E-2</v>
      </c>
      <c r="I761" t="s">
        <v>26</v>
      </c>
      <c r="J761" t="s">
        <v>29</v>
      </c>
      <c r="K761" s="5">
        <f>23533 / 86400</f>
        <v>0.2723726851851852</v>
      </c>
      <c r="L761" s="5">
        <f>3213 / 86400</f>
        <v>3.7187499999999998E-2</v>
      </c>
    </row>
    <row r="762" spans="1:12" x14ac:dyDescent="0.25">
      <c r="A762" s="3">
        <v>45701.640451388885</v>
      </c>
      <c r="B762" t="s">
        <v>158</v>
      </c>
      <c r="C762" s="3">
        <v>45701.645023148143</v>
      </c>
      <c r="D762" t="s">
        <v>157</v>
      </c>
      <c r="E762" s="4">
        <v>0.69599999999999995</v>
      </c>
      <c r="F762" s="4">
        <v>41099.669000000002</v>
      </c>
      <c r="G762" s="4">
        <v>41100.364999999998</v>
      </c>
      <c r="H762" s="5">
        <f>239 / 86400</f>
        <v>2.7662037037037039E-3</v>
      </c>
      <c r="I762" t="s">
        <v>155</v>
      </c>
      <c r="J762" t="s">
        <v>156</v>
      </c>
      <c r="K762" s="5">
        <f>395 / 86400</f>
        <v>4.5717592592592589E-3</v>
      </c>
      <c r="L762" s="5">
        <f>1965 / 86400</f>
        <v>2.2743055555555555E-2</v>
      </c>
    </row>
    <row r="763" spans="1:12" x14ac:dyDescent="0.25">
      <c r="A763" s="3">
        <v>45701.667766203704</v>
      </c>
      <c r="B763" t="s">
        <v>157</v>
      </c>
      <c r="C763" s="3">
        <v>45701.66883101852</v>
      </c>
      <c r="D763" t="s">
        <v>157</v>
      </c>
      <c r="E763" s="4">
        <v>2.5999999999999999E-2</v>
      </c>
      <c r="F763" s="4">
        <v>41100.364999999998</v>
      </c>
      <c r="G763" s="4">
        <v>41100.391000000003</v>
      </c>
      <c r="H763" s="5">
        <f>59 / 86400</f>
        <v>6.8287037037037036E-4</v>
      </c>
      <c r="I763" t="s">
        <v>37</v>
      </c>
      <c r="J763" t="s">
        <v>125</v>
      </c>
      <c r="K763" s="5">
        <f>91 / 86400</f>
        <v>1.0532407407407407E-3</v>
      </c>
      <c r="L763" s="5">
        <f>885 / 86400</f>
        <v>1.0243055555555556E-2</v>
      </c>
    </row>
    <row r="764" spans="1:12" x14ac:dyDescent="0.25">
      <c r="A764" s="3">
        <v>45701.679074074069</v>
      </c>
      <c r="B764" t="s">
        <v>157</v>
      </c>
      <c r="C764" s="3">
        <v>45701.684108796297</v>
      </c>
      <c r="D764" t="s">
        <v>89</v>
      </c>
      <c r="E764" s="4">
        <v>0.97899999999999998</v>
      </c>
      <c r="F764" s="4">
        <v>41100.391000000003</v>
      </c>
      <c r="G764" s="4">
        <v>41101.370000000003</v>
      </c>
      <c r="H764" s="5">
        <f>219 / 86400</f>
        <v>2.5347222222222221E-3</v>
      </c>
      <c r="I764" t="s">
        <v>253</v>
      </c>
      <c r="J764" t="s">
        <v>90</v>
      </c>
      <c r="K764" s="5">
        <f>434 / 86400</f>
        <v>5.0231481481481481E-3</v>
      </c>
      <c r="L764" s="5">
        <f>798 / 86400</f>
        <v>9.2361111111111116E-3</v>
      </c>
    </row>
    <row r="765" spans="1:12" x14ac:dyDescent="0.25">
      <c r="A765" s="3">
        <v>45701.693344907406</v>
      </c>
      <c r="B765" t="s">
        <v>144</v>
      </c>
      <c r="C765" s="3">
        <v>45701.694826388892</v>
      </c>
      <c r="D765" t="s">
        <v>89</v>
      </c>
      <c r="E765" s="4">
        <v>1.4E-2</v>
      </c>
      <c r="F765" s="4">
        <v>41101.370000000003</v>
      </c>
      <c r="G765" s="4">
        <v>41101.383999999998</v>
      </c>
      <c r="H765" s="5">
        <f>99 / 86400</f>
        <v>1.1458333333333333E-3</v>
      </c>
      <c r="I765" t="s">
        <v>37</v>
      </c>
      <c r="J765" t="s">
        <v>91</v>
      </c>
      <c r="K765" s="5">
        <f>127 / 86400</f>
        <v>1.4699074074074074E-3</v>
      </c>
      <c r="L765" s="5">
        <f>2302 / 86400</f>
        <v>2.6643518518518518E-2</v>
      </c>
    </row>
    <row r="766" spans="1:12" x14ac:dyDescent="0.25">
      <c r="A766" s="3">
        <v>45701.72146990741</v>
      </c>
      <c r="B766" t="s">
        <v>89</v>
      </c>
      <c r="C766" s="3">
        <v>45701.722905092596</v>
      </c>
      <c r="D766" t="s">
        <v>89</v>
      </c>
      <c r="E766" s="4">
        <v>1.2999999999999999E-2</v>
      </c>
      <c r="F766" s="4">
        <v>41101.383999999998</v>
      </c>
      <c r="G766" s="4">
        <v>41101.396999999997</v>
      </c>
      <c r="H766" s="5">
        <f>99 / 86400</f>
        <v>1.1458333333333333E-3</v>
      </c>
      <c r="I766" t="s">
        <v>37</v>
      </c>
      <c r="J766" t="s">
        <v>91</v>
      </c>
      <c r="K766" s="5">
        <f>123 / 86400</f>
        <v>1.4236111111111112E-3</v>
      </c>
      <c r="L766" s="5">
        <f>1032 / 86400</f>
        <v>1.1944444444444445E-2</v>
      </c>
    </row>
    <row r="767" spans="1:12" x14ac:dyDescent="0.25">
      <c r="A767" s="3">
        <v>45701.734849537039</v>
      </c>
      <c r="B767" t="s">
        <v>144</v>
      </c>
      <c r="C767" s="3">
        <v>45701.737800925926</v>
      </c>
      <c r="D767" t="s">
        <v>89</v>
      </c>
      <c r="E767" s="4">
        <v>0.36599999999999999</v>
      </c>
      <c r="F767" s="4">
        <v>41101.396999999997</v>
      </c>
      <c r="G767" s="4">
        <v>41101.762999999999</v>
      </c>
      <c r="H767" s="5">
        <f>119 / 86400</f>
        <v>1.3773148148148147E-3</v>
      </c>
      <c r="I767" t="s">
        <v>74</v>
      </c>
      <c r="J767" t="s">
        <v>37</v>
      </c>
      <c r="K767" s="5">
        <f>254 / 86400</f>
        <v>2.9398148148148148E-3</v>
      </c>
      <c r="L767" s="5">
        <f>516 / 86400</f>
        <v>5.9722222222222225E-3</v>
      </c>
    </row>
    <row r="768" spans="1:12" x14ac:dyDescent="0.25">
      <c r="A768" s="3">
        <v>45701.743773148148</v>
      </c>
      <c r="B768" t="s">
        <v>89</v>
      </c>
      <c r="C768" s="3">
        <v>45701.744039351848</v>
      </c>
      <c r="D768" t="s">
        <v>89</v>
      </c>
      <c r="E768" s="4">
        <v>8.0000000000000002E-3</v>
      </c>
      <c r="F768" s="4">
        <v>41101.762999999999</v>
      </c>
      <c r="G768" s="4">
        <v>41101.771000000001</v>
      </c>
      <c r="H768" s="5">
        <f>19 / 86400</f>
        <v>2.199074074074074E-4</v>
      </c>
      <c r="I768" t="s">
        <v>91</v>
      </c>
      <c r="J768" t="s">
        <v>125</v>
      </c>
      <c r="K768" s="5">
        <f>23 / 86400</f>
        <v>2.6620370370370372E-4</v>
      </c>
      <c r="L768" s="5">
        <f>331 / 86400</f>
        <v>3.8310185185185183E-3</v>
      </c>
    </row>
    <row r="769" spans="1:12" x14ac:dyDescent="0.25">
      <c r="A769" s="3">
        <v>45701.747870370367</v>
      </c>
      <c r="B769" t="s">
        <v>89</v>
      </c>
      <c r="C769" s="3">
        <v>45701.747928240744</v>
      </c>
      <c r="D769" t="s">
        <v>89</v>
      </c>
      <c r="E769" s="4">
        <v>0</v>
      </c>
      <c r="F769" s="4">
        <v>41101.771000000001</v>
      </c>
      <c r="G769" s="4">
        <v>41101.771000000001</v>
      </c>
      <c r="H769" s="5">
        <f>0 / 86400</f>
        <v>0</v>
      </c>
      <c r="I769" t="s">
        <v>91</v>
      </c>
      <c r="J769" t="s">
        <v>91</v>
      </c>
      <c r="K769" s="5">
        <f>4 / 86400</f>
        <v>4.6296296296296294E-5</v>
      </c>
      <c r="L769" s="5">
        <f>3088 / 86400</f>
        <v>3.574074074074074E-2</v>
      </c>
    </row>
    <row r="770" spans="1:12" x14ac:dyDescent="0.25">
      <c r="A770" s="3">
        <v>45701.783668981487</v>
      </c>
      <c r="B770" t="s">
        <v>89</v>
      </c>
      <c r="C770" s="3">
        <v>45701.802303240736</v>
      </c>
      <c r="D770" t="s">
        <v>21</v>
      </c>
      <c r="E770" s="4">
        <v>0.71699999999999997</v>
      </c>
      <c r="F770" s="4">
        <v>41101.771000000001</v>
      </c>
      <c r="G770" s="4">
        <v>41102.487999999998</v>
      </c>
      <c r="H770" s="5">
        <f>1319 / 86400</f>
        <v>1.5266203703703704E-2</v>
      </c>
      <c r="I770" t="s">
        <v>34</v>
      </c>
      <c r="J770" t="s">
        <v>110</v>
      </c>
      <c r="K770" s="5">
        <f>1610 / 86400</f>
        <v>1.863425925925926E-2</v>
      </c>
      <c r="L770" s="5">
        <f>775 / 86400</f>
        <v>8.9699074074074073E-3</v>
      </c>
    </row>
    <row r="771" spans="1:12" x14ac:dyDescent="0.25">
      <c r="A771" s="3">
        <v>45701.811273148152</v>
      </c>
      <c r="B771" t="s">
        <v>21</v>
      </c>
      <c r="C771" s="3">
        <v>45701.840405092589</v>
      </c>
      <c r="D771" t="s">
        <v>67</v>
      </c>
      <c r="E771" s="4">
        <v>15.269</v>
      </c>
      <c r="F771" s="4">
        <v>41102.487999999998</v>
      </c>
      <c r="G771" s="4">
        <v>41117.756999999998</v>
      </c>
      <c r="H771" s="5">
        <f>499 / 86400</f>
        <v>5.7754629629629631E-3</v>
      </c>
      <c r="I771" t="s">
        <v>32</v>
      </c>
      <c r="J771" t="s">
        <v>132</v>
      </c>
      <c r="K771" s="5">
        <f>2516 / 86400</f>
        <v>2.9120370370370369E-2</v>
      </c>
      <c r="L771" s="5">
        <f>13788 / 86400</f>
        <v>0.15958333333333333</v>
      </c>
    </row>
    <row r="772" spans="1:12" x14ac:dyDescent="0.25">
      <c r="A772" s="11"/>
      <c r="B772" s="11"/>
      <c r="C772" s="11"/>
      <c r="D772" s="11"/>
      <c r="E772" s="11"/>
      <c r="F772" s="11"/>
      <c r="G772" s="11"/>
      <c r="H772" s="11"/>
      <c r="I772" s="11"/>
      <c r="J772" s="11"/>
    </row>
    <row r="773" spans="1:12" x14ac:dyDescent="0.25">
      <c r="A773" s="11"/>
      <c r="B773" s="11"/>
      <c r="C773" s="11"/>
      <c r="D773" s="11"/>
      <c r="E773" s="11"/>
      <c r="F773" s="11"/>
      <c r="G773" s="11"/>
      <c r="H773" s="11"/>
      <c r="I773" s="11"/>
      <c r="J773" s="11"/>
    </row>
    <row r="774" spans="1:12" s="10" customFormat="1" ht="20.100000000000001" customHeight="1" x14ac:dyDescent="0.35">
      <c r="A774" s="12" t="s">
        <v>450</v>
      </c>
      <c r="B774" s="12"/>
      <c r="C774" s="12"/>
      <c r="D774" s="12"/>
      <c r="E774" s="12"/>
      <c r="F774" s="12"/>
      <c r="G774" s="12"/>
      <c r="H774" s="12"/>
      <c r="I774" s="12"/>
      <c r="J774" s="12"/>
    </row>
    <row r="775" spans="1:12" x14ac:dyDescent="0.25">
      <c r="A775" s="11"/>
      <c r="B775" s="11"/>
      <c r="C775" s="11"/>
      <c r="D775" s="11"/>
      <c r="E775" s="11"/>
      <c r="F775" s="11"/>
      <c r="G775" s="11"/>
      <c r="H775" s="11"/>
      <c r="I775" s="11"/>
      <c r="J775" s="11"/>
    </row>
    <row r="776" spans="1:12" ht="30" x14ac:dyDescent="0.25">
      <c r="A776" s="2" t="s">
        <v>5</v>
      </c>
      <c r="B776" s="2" t="s">
        <v>6</v>
      </c>
      <c r="C776" s="2" t="s">
        <v>7</v>
      </c>
      <c r="D776" s="2" t="s">
        <v>8</v>
      </c>
      <c r="E776" s="2" t="s">
        <v>9</v>
      </c>
      <c r="F776" s="2" t="s">
        <v>10</v>
      </c>
      <c r="G776" s="2" t="s">
        <v>11</v>
      </c>
      <c r="H776" s="2" t="s">
        <v>12</v>
      </c>
      <c r="I776" s="2" t="s">
        <v>13</v>
      </c>
      <c r="J776" s="2" t="s">
        <v>14</v>
      </c>
      <c r="K776" s="2" t="s">
        <v>15</v>
      </c>
      <c r="L776" s="2" t="s">
        <v>16</v>
      </c>
    </row>
    <row r="777" spans="1:12" x14ac:dyDescent="0.25">
      <c r="A777" s="3">
        <v>45701</v>
      </c>
      <c r="B777" t="s">
        <v>69</v>
      </c>
      <c r="C777" s="3">
        <v>45701.073483796295</v>
      </c>
      <c r="D777" t="s">
        <v>388</v>
      </c>
      <c r="E777" s="4">
        <v>82.718000000000004</v>
      </c>
      <c r="F777" s="4">
        <v>46354.442000000003</v>
      </c>
      <c r="G777" s="4">
        <v>46437.16</v>
      </c>
      <c r="H777" s="5">
        <f>1060 / 86400</f>
        <v>1.2268518518518519E-2</v>
      </c>
      <c r="I777" t="s">
        <v>57</v>
      </c>
      <c r="J777" t="s">
        <v>286</v>
      </c>
      <c r="K777" s="5">
        <f>6349 / 86400</f>
        <v>7.3483796296296297E-2</v>
      </c>
      <c r="L777" s="5">
        <f>26791 / 86400</f>
        <v>0.31008101851851849</v>
      </c>
    </row>
    <row r="778" spans="1:12" x14ac:dyDescent="0.25">
      <c r="A778" s="3">
        <v>45701.383564814816</v>
      </c>
      <c r="B778" t="s">
        <v>388</v>
      </c>
      <c r="C778" s="3">
        <v>45701.384375000001</v>
      </c>
      <c r="D778" t="s">
        <v>388</v>
      </c>
      <c r="E778" s="4">
        <v>3.4000000000000002E-2</v>
      </c>
      <c r="F778" s="4">
        <v>46437.16</v>
      </c>
      <c r="G778" s="4">
        <v>46437.194000000003</v>
      </c>
      <c r="H778" s="5">
        <f>20 / 86400</f>
        <v>2.3148148148148149E-4</v>
      </c>
      <c r="I778" t="s">
        <v>156</v>
      </c>
      <c r="J778" t="s">
        <v>110</v>
      </c>
      <c r="K778" s="5">
        <f>69 / 86400</f>
        <v>7.9861111111111116E-4</v>
      </c>
      <c r="L778" s="5">
        <f>3493 / 86400</f>
        <v>4.0428240740740744E-2</v>
      </c>
    </row>
    <row r="779" spans="1:12" x14ac:dyDescent="0.25">
      <c r="A779" s="3">
        <v>45701.424803240741</v>
      </c>
      <c r="B779" t="s">
        <v>388</v>
      </c>
      <c r="C779" s="3">
        <v>45701.425567129627</v>
      </c>
      <c r="D779" t="s">
        <v>389</v>
      </c>
      <c r="E779" s="4">
        <v>6.9000000000000006E-2</v>
      </c>
      <c r="F779" s="4">
        <v>46437.194000000003</v>
      </c>
      <c r="G779" s="4">
        <v>46437.262999999999</v>
      </c>
      <c r="H779" s="5">
        <f>19 / 86400</f>
        <v>2.199074074074074E-4</v>
      </c>
      <c r="I779" t="s">
        <v>90</v>
      </c>
      <c r="J779" t="s">
        <v>177</v>
      </c>
      <c r="K779" s="5">
        <f>66 / 86400</f>
        <v>7.6388888888888893E-4</v>
      </c>
      <c r="L779" s="5">
        <f>114 / 86400</f>
        <v>1.3194444444444445E-3</v>
      </c>
    </row>
    <row r="780" spans="1:12" x14ac:dyDescent="0.25">
      <c r="A780" s="3">
        <v>45701.426886574074</v>
      </c>
      <c r="B780" t="s">
        <v>389</v>
      </c>
      <c r="C780" s="3">
        <v>45701.50949074074</v>
      </c>
      <c r="D780" t="s">
        <v>389</v>
      </c>
      <c r="E780" s="4">
        <v>0</v>
      </c>
      <c r="F780" s="4">
        <v>46437.262999999999</v>
      </c>
      <c r="G780" s="4">
        <v>46437.262999999999</v>
      </c>
      <c r="H780" s="5">
        <f>7119 / 86400</f>
        <v>8.2395833333333335E-2</v>
      </c>
      <c r="I780" t="s">
        <v>91</v>
      </c>
      <c r="J780" t="s">
        <v>91</v>
      </c>
      <c r="K780" s="5">
        <f>7137 / 86400</f>
        <v>8.2604166666666673E-2</v>
      </c>
      <c r="L780" s="5">
        <f>19825 / 86400</f>
        <v>0.22945601851851852</v>
      </c>
    </row>
    <row r="781" spans="1:12" x14ac:dyDescent="0.25">
      <c r="A781" s="3">
        <v>45701.738946759258</v>
      </c>
      <c r="B781" t="s">
        <v>389</v>
      </c>
      <c r="C781" s="3">
        <v>45701.74055555556</v>
      </c>
      <c r="D781" t="s">
        <v>389</v>
      </c>
      <c r="E781" s="4">
        <v>3.7999999999999999E-2</v>
      </c>
      <c r="F781" s="4">
        <v>46437.262999999999</v>
      </c>
      <c r="G781" s="4">
        <v>46437.300999999999</v>
      </c>
      <c r="H781" s="5">
        <f>99 / 86400</f>
        <v>1.1458333333333333E-3</v>
      </c>
      <c r="I781" t="s">
        <v>156</v>
      </c>
      <c r="J781" t="s">
        <v>125</v>
      </c>
      <c r="K781" s="5">
        <f>138 / 86400</f>
        <v>1.5972222222222223E-3</v>
      </c>
      <c r="L781" s="5">
        <f>408 / 86400</f>
        <v>4.7222222222222223E-3</v>
      </c>
    </row>
    <row r="782" spans="1:12" x14ac:dyDescent="0.25">
      <c r="A782" s="3">
        <v>45701.74527777778</v>
      </c>
      <c r="B782" t="s">
        <v>389</v>
      </c>
      <c r="C782" s="3">
        <v>45701.745949074073</v>
      </c>
      <c r="D782" t="s">
        <v>389</v>
      </c>
      <c r="E782" s="4">
        <v>0</v>
      </c>
      <c r="F782" s="4">
        <v>46437.300999999999</v>
      </c>
      <c r="G782" s="4">
        <v>46437.300999999999</v>
      </c>
      <c r="H782" s="5">
        <f>39 / 86400</f>
        <v>4.5138888888888887E-4</v>
      </c>
      <c r="I782" t="s">
        <v>91</v>
      </c>
      <c r="J782" t="s">
        <v>91</v>
      </c>
      <c r="K782" s="5">
        <f>57 / 86400</f>
        <v>6.5972222222222224E-4</v>
      </c>
      <c r="L782" s="5">
        <f>1507 / 86400</f>
        <v>1.744212962962963E-2</v>
      </c>
    </row>
    <row r="783" spans="1:12" x14ac:dyDescent="0.25">
      <c r="A783" s="3">
        <v>45701.763391203705</v>
      </c>
      <c r="B783" t="s">
        <v>389</v>
      </c>
      <c r="C783" s="3">
        <v>45701.932592592595</v>
      </c>
      <c r="D783" t="s">
        <v>35</v>
      </c>
      <c r="E783" s="4">
        <v>156.798</v>
      </c>
      <c r="F783" s="4">
        <v>46437.300999999999</v>
      </c>
      <c r="G783" s="4">
        <v>46594.099000000002</v>
      </c>
      <c r="H783" s="5">
        <f>3019 / 86400</f>
        <v>3.4942129629629629E-2</v>
      </c>
      <c r="I783" t="s">
        <v>70</v>
      </c>
      <c r="J783" t="s">
        <v>284</v>
      </c>
      <c r="K783" s="5">
        <f>14619 / 86400</f>
        <v>0.16920138888888889</v>
      </c>
      <c r="L783" s="5">
        <f>5823 / 86400</f>
        <v>6.7395833333333335E-2</v>
      </c>
    </row>
    <row r="784" spans="1:12" x14ac:dyDescent="0.25">
      <c r="A784" s="11"/>
      <c r="B784" s="11"/>
      <c r="C784" s="11"/>
      <c r="D784" s="11"/>
      <c r="E784" s="11"/>
      <c r="F784" s="11"/>
      <c r="G784" s="11"/>
      <c r="H784" s="11"/>
      <c r="I784" s="11"/>
      <c r="J784" s="11"/>
    </row>
    <row r="785" spans="1:12" x14ac:dyDescent="0.25">
      <c r="A785" s="11"/>
      <c r="B785" s="11"/>
      <c r="C785" s="11"/>
      <c r="D785" s="11"/>
      <c r="E785" s="11"/>
      <c r="F785" s="11"/>
      <c r="G785" s="11"/>
      <c r="H785" s="11"/>
      <c r="I785" s="11"/>
      <c r="J785" s="11"/>
    </row>
    <row r="786" spans="1:12" s="10" customFormat="1" ht="20.100000000000001" customHeight="1" x14ac:dyDescent="0.35">
      <c r="A786" s="12" t="s">
        <v>451</v>
      </c>
      <c r="B786" s="12"/>
      <c r="C786" s="12"/>
      <c r="D786" s="12"/>
      <c r="E786" s="12"/>
      <c r="F786" s="12"/>
      <c r="G786" s="12"/>
      <c r="H786" s="12"/>
      <c r="I786" s="12"/>
      <c r="J786" s="12"/>
    </row>
    <row r="787" spans="1:12" x14ac:dyDescent="0.25">
      <c r="A787" s="11"/>
      <c r="B787" s="11"/>
      <c r="C787" s="11"/>
      <c r="D787" s="11"/>
      <c r="E787" s="11"/>
      <c r="F787" s="11"/>
      <c r="G787" s="11"/>
      <c r="H787" s="11"/>
      <c r="I787" s="11"/>
      <c r="J787" s="11"/>
    </row>
    <row r="788" spans="1:12" ht="30" x14ac:dyDescent="0.25">
      <c r="A788" s="2" t="s">
        <v>5</v>
      </c>
      <c r="B788" s="2" t="s">
        <v>6</v>
      </c>
      <c r="C788" s="2" t="s">
        <v>7</v>
      </c>
      <c r="D788" s="2" t="s">
        <v>8</v>
      </c>
      <c r="E788" s="2" t="s">
        <v>9</v>
      </c>
      <c r="F788" s="2" t="s">
        <v>10</v>
      </c>
      <c r="G788" s="2" t="s">
        <v>11</v>
      </c>
      <c r="H788" s="2" t="s">
        <v>12</v>
      </c>
      <c r="I788" s="2" t="s">
        <v>13</v>
      </c>
      <c r="J788" s="2" t="s">
        <v>14</v>
      </c>
      <c r="K788" s="2" t="s">
        <v>15</v>
      </c>
      <c r="L788" s="2" t="s">
        <v>16</v>
      </c>
    </row>
    <row r="789" spans="1:12" x14ac:dyDescent="0.25">
      <c r="A789" s="3">
        <v>45701</v>
      </c>
      <c r="B789" t="s">
        <v>72</v>
      </c>
      <c r="C789" s="3">
        <v>45701.010300925926</v>
      </c>
      <c r="D789" t="s">
        <v>390</v>
      </c>
      <c r="E789" s="4">
        <v>7.4229999999403953</v>
      </c>
      <c r="F789" s="4">
        <v>527960.98600000003</v>
      </c>
      <c r="G789" s="4">
        <v>527968.40899999999</v>
      </c>
      <c r="H789" s="5">
        <f>200 / 86400</f>
        <v>2.3148148148148147E-3</v>
      </c>
      <c r="I789" t="s">
        <v>68</v>
      </c>
      <c r="J789" t="s">
        <v>71</v>
      </c>
      <c r="K789" s="5">
        <f>890 / 86400</f>
        <v>1.0300925925925925E-2</v>
      </c>
      <c r="L789" s="5">
        <f>28 / 86400</f>
        <v>3.2407407407407406E-4</v>
      </c>
    </row>
    <row r="790" spans="1:12" x14ac:dyDescent="0.25">
      <c r="A790" s="3">
        <v>45701.010624999995</v>
      </c>
      <c r="B790" t="s">
        <v>390</v>
      </c>
      <c r="C790" s="3">
        <v>45701.012488425928</v>
      </c>
      <c r="D790" t="s">
        <v>73</v>
      </c>
      <c r="E790" s="4">
        <v>1.7369999999403953</v>
      </c>
      <c r="F790" s="4">
        <v>527968.40899999999</v>
      </c>
      <c r="G790" s="4">
        <v>527970.14599999995</v>
      </c>
      <c r="H790" s="5">
        <f>20 / 86400</f>
        <v>2.3148148148148149E-4</v>
      </c>
      <c r="I790" t="s">
        <v>391</v>
      </c>
      <c r="J790" t="s">
        <v>284</v>
      </c>
      <c r="K790" s="5">
        <f>160 / 86400</f>
        <v>1.8518518518518519E-3</v>
      </c>
      <c r="L790" s="5">
        <f>211 / 86400</f>
        <v>2.4421296296296296E-3</v>
      </c>
    </row>
    <row r="791" spans="1:12" x14ac:dyDescent="0.25">
      <c r="A791" s="3">
        <v>45701.014930555553</v>
      </c>
      <c r="B791" t="s">
        <v>73</v>
      </c>
      <c r="C791" s="3">
        <v>45701.019189814819</v>
      </c>
      <c r="D791" t="s">
        <v>73</v>
      </c>
      <c r="E791" s="4">
        <v>0.92800000005960459</v>
      </c>
      <c r="F791" s="4">
        <v>527970.14599999995</v>
      </c>
      <c r="G791" s="4">
        <v>527971.07400000002</v>
      </c>
      <c r="H791" s="5">
        <f>140 / 86400</f>
        <v>1.6203703703703703E-3</v>
      </c>
      <c r="I791" t="s">
        <v>138</v>
      </c>
      <c r="J791" t="s">
        <v>140</v>
      </c>
      <c r="K791" s="5">
        <f>368 / 86400</f>
        <v>4.2592592592592595E-3</v>
      </c>
      <c r="L791" s="5">
        <f>19332 / 86400</f>
        <v>0.22375</v>
      </c>
    </row>
    <row r="792" spans="1:12" x14ac:dyDescent="0.25">
      <c r="A792" s="3">
        <v>45701.242939814816</v>
      </c>
      <c r="B792" t="s">
        <v>73</v>
      </c>
      <c r="C792" s="3">
        <v>45701.370347222226</v>
      </c>
      <c r="D792" t="s">
        <v>118</v>
      </c>
      <c r="E792" s="4">
        <v>71.430999999999997</v>
      </c>
      <c r="F792" s="4">
        <v>527971.07400000002</v>
      </c>
      <c r="G792" s="4">
        <v>528042.505</v>
      </c>
      <c r="H792" s="5">
        <f>2671 / 86400</f>
        <v>3.0914351851851853E-2</v>
      </c>
      <c r="I792" t="s">
        <v>57</v>
      </c>
      <c r="J792" t="s">
        <v>152</v>
      </c>
      <c r="K792" s="5">
        <f>11008 / 86400</f>
        <v>0.12740740740740741</v>
      </c>
      <c r="L792" s="5">
        <f>2712 / 86400</f>
        <v>3.138888888888889E-2</v>
      </c>
    </row>
    <row r="793" spans="1:12" x14ac:dyDescent="0.25">
      <c r="A793" s="3">
        <v>45701.401736111111</v>
      </c>
      <c r="B793" t="s">
        <v>118</v>
      </c>
      <c r="C793" s="3">
        <v>45701.406030092592</v>
      </c>
      <c r="D793" t="s">
        <v>131</v>
      </c>
      <c r="E793" s="4">
        <v>1.1890000000000001</v>
      </c>
      <c r="F793" s="4">
        <v>528042.505</v>
      </c>
      <c r="G793" s="4">
        <v>528043.69400000002</v>
      </c>
      <c r="H793" s="5">
        <f>19 / 86400</f>
        <v>2.199074074074074E-4</v>
      </c>
      <c r="I793" t="s">
        <v>135</v>
      </c>
      <c r="J793" t="s">
        <v>120</v>
      </c>
      <c r="K793" s="5">
        <f>370 / 86400</f>
        <v>4.2824074074074075E-3</v>
      </c>
      <c r="L793" s="5">
        <f>2828 / 86400</f>
        <v>3.2731481481481479E-2</v>
      </c>
    </row>
    <row r="794" spans="1:12" x14ac:dyDescent="0.25">
      <c r="A794" s="3">
        <v>45701.438761574071</v>
      </c>
      <c r="B794" t="s">
        <v>131</v>
      </c>
      <c r="C794" s="3">
        <v>45701.532002314816</v>
      </c>
      <c r="D794" t="s">
        <v>392</v>
      </c>
      <c r="E794" s="4">
        <v>47.731000000059602</v>
      </c>
      <c r="F794" s="4">
        <v>528043.69400000002</v>
      </c>
      <c r="G794" s="4">
        <v>528091.42500000005</v>
      </c>
      <c r="H794" s="5">
        <f>2139 / 86400</f>
        <v>2.4756944444444446E-2</v>
      </c>
      <c r="I794" t="s">
        <v>19</v>
      </c>
      <c r="J794" t="s">
        <v>74</v>
      </c>
      <c r="K794" s="5">
        <f>8056 / 86400</f>
        <v>9.3240740740740735E-2</v>
      </c>
      <c r="L794" s="5">
        <f>157 / 86400</f>
        <v>1.8171296296296297E-3</v>
      </c>
    </row>
    <row r="795" spans="1:12" x14ac:dyDescent="0.25">
      <c r="A795" s="3">
        <v>45701.533819444448</v>
      </c>
      <c r="B795" t="s">
        <v>373</v>
      </c>
      <c r="C795" s="3">
        <v>45701.609872685185</v>
      </c>
      <c r="D795" t="s">
        <v>190</v>
      </c>
      <c r="E795" s="4">
        <v>33.441000000000003</v>
      </c>
      <c r="F795" s="4">
        <v>528091.42500000005</v>
      </c>
      <c r="G795" s="4">
        <v>528124.86600000004</v>
      </c>
      <c r="H795" s="5">
        <f>1920 / 86400</f>
        <v>2.2222222222222223E-2</v>
      </c>
      <c r="I795" t="s">
        <v>32</v>
      </c>
      <c r="J795" t="s">
        <v>76</v>
      </c>
      <c r="K795" s="5">
        <f>6571 / 86400</f>
        <v>7.6053240740740741E-2</v>
      </c>
      <c r="L795" s="5">
        <f>408 / 86400</f>
        <v>4.7222222222222223E-3</v>
      </c>
    </row>
    <row r="796" spans="1:12" x14ac:dyDescent="0.25">
      <c r="A796" s="3">
        <v>45701.614594907413</v>
      </c>
      <c r="B796" t="s">
        <v>190</v>
      </c>
      <c r="C796" s="3">
        <v>45701.624282407407</v>
      </c>
      <c r="D796" t="s">
        <v>73</v>
      </c>
      <c r="E796" s="4">
        <v>5.718</v>
      </c>
      <c r="F796" s="4">
        <v>528124.86600000004</v>
      </c>
      <c r="G796" s="4">
        <v>528130.58400000003</v>
      </c>
      <c r="H796" s="5">
        <f>119 / 86400</f>
        <v>1.3773148148148147E-3</v>
      </c>
      <c r="I796" t="s">
        <v>282</v>
      </c>
      <c r="J796" t="s">
        <v>135</v>
      </c>
      <c r="K796" s="5">
        <f>837 / 86400</f>
        <v>9.6874999999999999E-3</v>
      </c>
      <c r="L796" s="5">
        <f>39 / 86400</f>
        <v>4.5138888888888887E-4</v>
      </c>
    </row>
    <row r="797" spans="1:12" x14ac:dyDescent="0.25">
      <c r="A797" s="3">
        <v>45701.6247337963</v>
      </c>
      <c r="B797" t="s">
        <v>73</v>
      </c>
      <c r="C797" s="3">
        <v>45701.625104166669</v>
      </c>
      <c r="D797" t="s">
        <v>73</v>
      </c>
      <c r="E797" s="4">
        <v>1.5999999940395356E-2</v>
      </c>
      <c r="F797" s="4">
        <v>528130.58400000003</v>
      </c>
      <c r="G797" s="4">
        <v>528130.6</v>
      </c>
      <c r="H797" s="5">
        <f>0 / 86400</f>
        <v>0</v>
      </c>
      <c r="I797" t="s">
        <v>37</v>
      </c>
      <c r="J797" t="s">
        <v>110</v>
      </c>
      <c r="K797" s="5">
        <f>32 / 86400</f>
        <v>3.7037037037037035E-4</v>
      </c>
      <c r="L797" s="5">
        <f>231 / 86400</f>
        <v>2.673611111111111E-3</v>
      </c>
    </row>
    <row r="798" spans="1:12" x14ac:dyDescent="0.25">
      <c r="A798" s="3">
        <v>45701.62777777778</v>
      </c>
      <c r="B798" t="s">
        <v>73</v>
      </c>
      <c r="C798" s="3">
        <v>45701.635509259257</v>
      </c>
      <c r="D798" t="s">
        <v>367</v>
      </c>
      <c r="E798" s="4">
        <v>1.68</v>
      </c>
      <c r="F798" s="4">
        <v>528130.6</v>
      </c>
      <c r="G798" s="4">
        <v>528132.28</v>
      </c>
      <c r="H798" s="5">
        <f>180 / 86400</f>
        <v>2.0833333333333333E-3</v>
      </c>
      <c r="I798" t="s">
        <v>159</v>
      </c>
      <c r="J798" t="s">
        <v>140</v>
      </c>
      <c r="K798" s="5">
        <f>668 / 86400</f>
        <v>7.7314814814814815E-3</v>
      </c>
      <c r="L798" s="5">
        <f>3510 / 86400</f>
        <v>4.0625000000000001E-2</v>
      </c>
    </row>
    <row r="799" spans="1:12" x14ac:dyDescent="0.25">
      <c r="A799" s="3">
        <v>45701.676134259258</v>
      </c>
      <c r="B799" t="s">
        <v>367</v>
      </c>
      <c r="C799" s="3">
        <v>45701.707395833335</v>
      </c>
      <c r="D799" t="s">
        <v>393</v>
      </c>
      <c r="E799" s="4">
        <v>21.216000000059605</v>
      </c>
      <c r="F799" s="4">
        <v>528132.28</v>
      </c>
      <c r="G799" s="4">
        <v>528153.49600000004</v>
      </c>
      <c r="H799" s="5">
        <f>698 / 86400</f>
        <v>8.0787037037037043E-3</v>
      </c>
      <c r="I799" t="s">
        <v>46</v>
      </c>
      <c r="J799" t="s">
        <v>145</v>
      </c>
      <c r="K799" s="5">
        <f>2700 / 86400</f>
        <v>3.125E-2</v>
      </c>
      <c r="L799" s="5">
        <f>122 / 86400</f>
        <v>1.4120370370370369E-3</v>
      </c>
    </row>
    <row r="800" spans="1:12" x14ac:dyDescent="0.25">
      <c r="A800" s="3">
        <v>45701.708807870367</v>
      </c>
      <c r="B800" t="s">
        <v>393</v>
      </c>
      <c r="C800" s="3">
        <v>45701.710590277777</v>
      </c>
      <c r="D800" t="s">
        <v>394</v>
      </c>
      <c r="E800" s="4">
        <v>3.5999999940395357E-2</v>
      </c>
      <c r="F800" s="4">
        <v>528153.49600000004</v>
      </c>
      <c r="G800" s="4">
        <v>528153.53200000001</v>
      </c>
      <c r="H800" s="5">
        <f>99 / 86400</f>
        <v>1.1458333333333333E-3</v>
      </c>
      <c r="I800" t="s">
        <v>161</v>
      </c>
      <c r="J800" t="s">
        <v>125</v>
      </c>
      <c r="K800" s="5">
        <f>154 / 86400</f>
        <v>1.7824074074074075E-3</v>
      </c>
      <c r="L800" s="5">
        <f>14419 / 86400</f>
        <v>0.16688657407407406</v>
      </c>
    </row>
    <row r="801" spans="1:12" x14ac:dyDescent="0.25">
      <c r="A801" s="3">
        <v>45701.877476851849</v>
      </c>
      <c r="B801" t="s">
        <v>394</v>
      </c>
      <c r="C801" s="3">
        <v>45701.930636574078</v>
      </c>
      <c r="D801" t="s">
        <v>35</v>
      </c>
      <c r="E801" s="4">
        <v>23.785000000059604</v>
      </c>
      <c r="F801" s="4">
        <v>528153.53200000001</v>
      </c>
      <c r="G801" s="4">
        <v>528177.31700000004</v>
      </c>
      <c r="H801" s="5">
        <f>1239 / 86400</f>
        <v>1.4340277777777778E-2</v>
      </c>
      <c r="I801" t="s">
        <v>189</v>
      </c>
      <c r="J801" t="s">
        <v>23</v>
      </c>
      <c r="K801" s="5">
        <f>4592 / 86400</f>
        <v>5.3148148148148146E-2</v>
      </c>
      <c r="L801" s="5">
        <f>199 / 86400</f>
        <v>2.3032407407407407E-3</v>
      </c>
    </row>
    <row r="802" spans="1:12" x14ac:dyDescent="0.25">
      <c r="A802" s="3">
        <v>45701.932939814811</v>
      </c>
      <c r="B802" t="s">
        <v>35</v>
      </c>
      <c r="C802" s="3">
        <v>45701.936527777776</v>
      </c>
      <c r="D802" t="s">
        <v>73</v>
      </c>
      <c r="E802" s="4">
        <v>0.92699999988079074</v>
      </c>
      <c r="F802" s="4">
        <v>528177.31700000004</v>
      </c>
      <c r="G802" s="4">
        <v>528178.24399999995</v>
      </c>
      <c r="H802" s="5">
        <f>80 / 86400</f>
        <v>9.2592592592592596E-4</v>
      </c>
      <c r="I802" t="s">
        <v>135</v>
      </c>
      <c r="J802" t="s">
        <v>149</v>
      </c>
      <c r="K802" s="5">
        <f>310 / 86400</f>
        <v>3.5879629629629629E-3</v>
      </c>
      <c r="L802" s="5">
        <f>5483 / 86400</f>
        <v>6.3460648148148155E-2</v>
      </c>
    </row>
    <row r="803" spans="1:12" x14ac:dyDescent="0.25">
      <c r="A803" s="11"/>
      <c r="B803" s="11"/>
      <c r="C803" s="11"/>
      <c r="D803" s="11"/>
      <c r="E803" s="11"/>
      <c r="F803" s="11"/>
      <c r="G803" s="11"/>
      <c r="H803" s="11"/>
      <c r="I803" s="11"/>
      <c r="J803" s="11"/>
    </row>
    <row r="804" spans="1:12" x14ac:dyDescent="0.25">
      <c r="A804" s="11"/>
      <c r="B804" s="11"/>
      <c r="C804" s="11"/>
      <c r="D804" s="11"/>
      <c r="E804" s="11"/>
      <c r="F804" s="11"/>
      <c r="G804" s="11"/>
      <c r="H804" s="11"/>
      <c r="I804" s="11"/>
      <c r="J804" s="11"/>
    </row>
    <row r="805" spans="1:12" s="10" customFormat="1" ht="20.100000000000001" customHeight="1" x14ac:dyDescent="0.35">
      <c r="A805" s="12" t="s">
        <v>452</v>
      </c>
      <c r="B805" s="12"/>
      <c r="C805" s="12"/>
      <c r="D805" s="12"/>
      <c r="E805" s="12"/>
      <c r="F805" s="12"/>
      <c r="G805" s="12"/>
      <c r="H805" s="12"/>
      <c r="I805" s="12"/>
      <c r="J805" s="12"/>
    </row>
    <row r="806" spans="1:12" x14ac:dyDescent="0.25">
      <c r="A806" s="11"/>
      <c r="B806" s="11"/>
      <c r="C806" s="11"/>
      <c r="D806" s="11"/>
      <c r="E806" s="11"/>
      <c r="F806" s="11"/>
      <c r="G806" s="11"/>
      <c r="H806" s="11"/>
      <c r="I806" s="11"/>
      <c r="J806" s="11"/>
    </row>
    <row r="807" spans="1:12" ht="30" x14ac:dyDescent="0.25">
      <c r="A807" s="2" t="s">
        <v>5</v>
      </c>
      <c r="B807" s="2" t="s">
        <v>6</v>
      </c>
      <c r="C807" s="2" t="s">
        <v>7</v>
      </c>
      <c r="D807" s="2" t="s">
        <v>8</v>
      </c>
      <c r="E807" s="2" t="s">
        <v>9</v>
      </c>
      <c r="F807" s="2" t="s">
        <v>10</v>
      </c>
      <c r="G807" s="2" t="s">
        <v>11</v>
      </c>
      <c r="H807" s="2" t="s">
        <v>12</v>
      </c>
      <c r="I807" s="2" t="s">
        <v>13</v>
      </c>
      <c r="J807" s="2" t="s">
        <v>14</v>
      </c>
      <c r="K807" s="2" t="s">
        <v>15</v>
      </c>
      <c r="L807" s="2" t="s">
        <v>16</v>
      </c>
    </row>
    <row r="808" spans="1:12" x14ac:dyDescent="0.25">
      <c r="A808" s="3">
        <v>45701.170578703706</v>
      </c>
      <c r="B808" t="s">
        <v>35</v>
      </c>
      <c r="C808" s="3">
        <v>45701.171203703707</v>
      </c>
      <c r="D808" t="s">
        <v>35</v>
      </c>
      <c r="E808" s="4">
        <v>2.7E-2</v>
      </c>
      <c r="F808" s="4">
        <v>567939.56099999999</v>
      </c>
      <c r="G808" s="4">
        <v>567939.58799999999</v>
      </c>
      <c r="H808" s="5">
        <f>19 / 86400</f>
        <v>2.199074074074074E-4</v>
      </c>
      <c r="I808" t="s">
        <v>124</v>
      </c>
      <c r="J808" t="s">
        <v>110</v>
      </c>
      <c r="K808" s="5">
        <f>53 / 86400</f>
        <v>6.134259259259259E-4</v>
      </c>
      <c r="L808" s="5">
        <f>15531 / 86400</f>
        <v>0.17975694444444446</v>
      </c>
    </row>
    <row r="809" spans="1:12" x14ac:dyDescent="0.25">
      <c r="A809" s="3">
        <v>45701.180381944447</v>
      </c>
      <c r="B809" t="s">
        <v>35</v>
      </c>
      <c r="C809" s="3">
        <v>45701.181469907402</v>
      </c>
      <c r="D809" t="s">
        <v>35</v>
      </c>
      <c r="E809" s="4">
        <v>3.9E-2</v>
      </c>
      <c r="F809" s="4">
        <v>567939.58799999999</v>
      </c>
      <c r="G809" s="4">
        <v>567939.62699999998</v>
      </c>
      <c r="H809" s="5">
        <f>59 / 86400</f>
        <v>6.8287037037037036E-4</v>
      </c>
      <c r="I809" t="s">
        <v>124</v>
      </c>
      <c r="J809" t="s">
        <v>125</v>
      </c>
      <c r="K809" s="5">
        <f>94 / 86400</f>
        <v>1.0879629629629629E-3</v>
      </c>
      <c r="L809" s="5">
        <f>10554 / 86400</f>
        <v>0.12215277777777778</v>
      </c>
    </row>
    <row r="810" spans="1:12" x14ac:dyDescent="0.25">
      <c r="A810" s="3">
        <v>45701.303622685184</v>
      </c>
      <c r="B810" t="s">
        <v>35</v>
      </c>
      <c r="C810" s="3">
        <v>45701.404999999999</v>
      </c>
      <c r="D810" t="s">
        <v>214</v>
      </c>
      <c r="E810" s="4">
        <v>53.311999999999998</v>
      </c>
      <c r="F810" s="4">
        <v>567939.62699999998</v>
      </c>
      <c r="G810" s="4">
        <v>567992.93900000001</v>
      </c>
      <c r="H810" s="5">
        <f>2298 / 86400</f>
        <v>2.6597222222222223E-2</v>
      </c>
      <c r="I810" t="s">
        <v>68</v>
      </c>
      <c r="J810" t="s">
        <v>132</v>
      </c>
      <c r="K810" s="5">
        <f>8758 / 86400</f>
        <v>0.10136574074074074</v>
      </c>
      <c r="L810" s="5">
        <f>343 / 86400</f>
        <v>3.9699074074074072E-3</v>
      </c>
    </row>
    <row r="811" spans="1:12" x14ac:dyDescent="0.25">
      <c r="A811" s="3">
        <v>45701.40896990741</v>
      </c>
      <c r="B811" t="s">
        <v>214</v>
      </c>
      <c r="C811" s="3">
        <v>45701.41006944445</v>
      </c>
      <c r="D811" t="s">
        <v>187</v>
      </c>
      <c r="E811" s="4">
        <v>0.45900000000000002</v>
      </c>
      <c r="F811" s="4">
        <v>567992.93900000001</v>
      </c>
      <c r="G811" s="4">
        <v>567993.39800000004</v>
      </c>
      <c r="H811" s="5">
        <f>0 / 86400</f>
        <v>0</v>
      </c>
      <c r="I811" t="s">
        <v>138</v>
      </c>
      <c r="J811" t="s">
        <v>20</v>
      </c>
      <c r="K811" s="5">
        <f>95 / 86400</f>
        <v>1.0995370370370371E-3</v>
      </c>
      <c r="L811" s="5">
        <f>68 / 86400</f>
        <v>7.8703703703703705E-4</v>
      </c>
    </row>
    <row r="812" spans="1:12" x14ac:dyDescent="0.25">
      <c r="A812" s="3">
        <v>45701.410856481481</v>
      </c>
      <c r="B812" t="s">
        <v>187</v>
      </c>
      <c r="C812" s="3">
        <v>45701.490578703699</v>
      </c>
      <c r="D812" t="s">
        <v>118</v>
      </c>
      <c r="E812" s="4">
        <v>34.802999999999997</v>
      </c>
      <c r="F812" s="4">
        <v>567993.39800000004</v>
      </c>
      <c r="G812" s="4">
        <v>568028.201</v>
      </c>
      <c r="H812" s="5">
        <f>1898 / 86400</f>
        <v>2.1967592592592594E-2</v>
      </c>
      <c r="I812" t="s">
        <v>200</v>
      </c>
      <c r="J812" t="s">
        <v>76</v>
      </c>
      <c r="K812" s="5">
        <f>6888 / 86400</f>
        <v>7.9722222222222222E-2</v>
      </c>
      <c r="L812" s="5">
        <f>1885 / 86400</f>
        <v>2.1817129629629631E-2</v>
      </c>
    </row>
    <row r="813" spans="1:12" x14ac:dyDescent="0.25">
      <c r="A813" s="3">
        <v>45701.512395833328</v>
      </c>
      <c r="B813" t="s">
        <v>118</v>
      </c>
      <c r="C813" s="3">
        <v>45701.516840277778</v>
      </c>
      <c r="D813" t="s">
        <v>131</v>
      </c>
      <c r="E813" s="4">
        <v>1.2350000000000001</v>
      </c>
      <c r="F813" s="4">
        <v>568028.201</v>
      </c>
      <c r="G813" s="4">
        <v>568029.43599999999</v>
      </c>
      <c r="H813" s="5">
        <f>40 / 86400</f>
        <v>4.6296296296296298E-4</v>
      </c>
      <c r="I813" t="s">
        <v>155</v>
      </c>
      <c r="J813" t="s">
        <v>120</v>
      </c>
      <c r="K813" s="5">
        <f>383 / 86400</f>
        <v>4.43287037037037E-3</v>
      </c>
      <c r="L813" s="5">
        <f>741 / 86400</f>
        <v>8.5763888888888886E-3</v>
      </c>
    </row>
    <row r="814" spans="1:12" x14ac:dyDescent="0.25">
      <c r="A814" s="3">
        <v>45701.525416666671</v>
      </c>
      <c r="B814" t="s">
        <v>131</v>
      </c>
      <c r="C814" s="3">
        <v>45701.607187500005</v>
      </c>
      <c r="D814" t="s">
        <v>214</v>
      </c>
      <c r="E814" s="4">
        <v>35.304000000000002</v>
      </c>
      <c r="F814" s="4">
        <v>568029.43599999999</v>
      </c>
      <c r="G814" s="4">
        <v>568064.74</v>
      </c>
      <c r="H814" s="5">
        <f>2380 / 86400</f>
        <v>2.7546296296296298E-2</v>
      </c>
      <c r="I814" t="s">
        <v>75</v>
      </c>
      <c r="J814" t="s">
        <v>76</v>
      </c>
      <c r="K814" s="5">
        <f>7065 / 86400</f>
        <v>8.1770833333333334E-2</v>
      </c>
      <c r="L814" s="5">
        <f>1833 / 86400</f>
        <v>2.1215277777777777E-2</v>
      </c>
    </row>
    <row r="815" spans="1:12" x14ac:dyDescent="0.25">
      <c r="A815" s="3">
        <v>45701.628402777773</v>
      </c>
      <c r="B815" t="s">
        <v>214</v>
      </c>
      <c r="C815" s="3">
        <v>45701.630219907413</v>
      </c>
      <c r="D815" t="s">
        <v>187</v>
      </c>
      <c r="E815" s="4">
        <v>0.42299999999999999</v>
      </c>
      <c r="F815" s="4">
        <v>568064.74</v>
      </c>
      <c r="G815" s="4">
        <v>568065.16299999994</v>
      </c>
      <c r="H815" s="5">
        <f>60 / 86400</f>
        <v>6.9444444444444447E-4</v>
      </c>
      <c r="I815" t="s">
        <v>34</v>
      </c>
      <c r="J815" t="s">
        <v>128</v>
      </c>
      <c r="K815" s="5">
        <f>156 / 86400</f>
        <v>1.8055555555555555E-3</v>
      </c>
      <c r="L815" s="5">
        <f>82 / 86400</f>
        <v>9.4907407407407408E-4</v>
      </c>
    </row>
    <row r="816" spans="1:12" x14ac:dyDescent="0.25">
      <c r="A816" s="3">
        <v>45701.631168981483</v>
      </c>
      <c r="B816" t="s">
        <v>187</v>
      </c>
      <c r="C816" s="3">
        <v>45701.791354166664</v>
      </c>
      <c r="D816" t="s">
        <v>35</v>
      </c>
      <c r="E816" s="4">
        <v>56.158999999999999</v>
      </c>
      <c r="F816" s="4">
        <v>568065.16299999994</v>
      </c>
      <c r="G816" s="4">
        <v>568121.32200000004</v>
      </c>
      <c r="H816" s="5">
        <f>5180 / 86400</f>
        <v>5.9953703703703703E-2</v>
      </c>
      <c r="I816" t="s">
        <v>75</v>
      </c>
      <c r="J816" t="s">
        <v>29</v>
      </c>
      <c r="K816" s="5">
        <f>13840 / 86400</f>
        <v>0.16018518518518518</v>
      </c>
      <c r="L816" s="5">
        <f>432 / 86400</f>
        <v>5.0000000000000001E-3</v>
      </c>
    </row>
    <row r="817" spans="1:12" x14ac:dyDescent="0.25">
      <c r="A817" s="3">
        <v>45701.796354166669</v>
      </c>
      <c r="B817" t="s">
        <v>73</v>
      </c>
      <c r="C817" s="3">
        <v>45701.799444444448</v>
      </c>
      <c r="D817" t="s">
        <v>35</v>
      </c>
      <c r="E817" s="4">
        <v>1.417</v>
      </c>
      <c r="F817" s="4">
        <v>568121.32200000004</v>
      </c>
      <c r="G817" s="4">
        <v>568122.73899999994</v>
      </c>
      <c r="H817" s="5">
        <f>20 / 86400</f>
        <v>2.3148148148148149E-4</v>
      </c>
      <c r="I817" t="s">
        <v>219</v>
      </c>
      <c r="J817" t="s">
        <v>23</v>
      </c>
      <c r="K817" s="5">
        <f>266 / 86400</f>
        <v>3.0787037037037037E-3</v>
      </c>
      <c r="L817" s="5">
        <f>17327 / 86400</f>
        <v>0.20054398148148148</v>
      </c>
    </row>
    <row r="818" spans="1:12" x14ac:dyDescent="0.25">
      <c r="A818" s="11"/>
      <c r="B818" s="11"/>
      <c r="C818" s="11"/>
      <c r="D818" s="11"/>
      <c r="E818" s="11"/>
      <c r="F818" s="11"/>
      <c r="G818" s="11"/>
      <c r="H818" s="11"/>
      <c r="I818" s="11"/>
      <c r="J818" s="11"/>
    </row>
    <row r="819" spans="1:12" x14ac:dyDescent="0.25">
      <c r="A819" s="11"/>
      <c r="B819" s="11"/>
      <c r="C819" s="11"/>
      <c r="D819" s="11"/>
      <c r="E819" s="11"/>
      <c r="F819" s="11"/>
      <c r="G819" s="11"/>
      <c r="H819" s="11"/>
      <c r="I819" s="11"/>
      <c r="J819" s="11"/>
    </row>
    <row r="820" spans="1:12" s="10" customFormat="1" ht="20.100000000000001" customHeight="1" x14ac:dyDescent="0.35">
      <c r="A820" s="12" t="s">
        <v>453</v>
      </c>
      <c r="B820" s="12"/>
      <c r="C820" s="12"/>
      <c r="D820" s="12"/>
      <c r="E820" s="12"/>
      <c r="F820" s="12"/>
      <c r="G820" s="12"/>
      <c r="H820" s="12"/>
      <c r="I820" s="12"/>
      <c r="J820" s="12"/>
    </row>
    <row r="821" spans="1:12" x14ac:dyDescent="0.25">
      <c r="A821" s="11"/>
      <c r="B821" s="11"/>
      <c r="C821" s="11"/>
      <c r="D821" s="11"/>
      <c r="E821" s="11"/>
      <c r="F821" s="11"/>
      <c r="G821" s="11"/>
      <c r="H821" s="11"/>
      <c r="I821" s="11"/>
      <c r="J821" s="11"/>
    </row>
    <row r="822" spans="1:12" ht="30" x14ac:dyDescent="0.25">
      <c r="A822" s="2" t="s">
        <v>5</v>
      </c>
      <c r="B822" s="2" t="s">
        <v>6</v>
      </c>
      <c r="C822" s="2" t="s">
        <v>7</v>
      </c>
      <c r="D822" s="2" t="s">
        <v>8</v>
      </c>
      <c r="E822" s="2" t="s">
        <v>9</v>
      </c>
      <c r="F822" s="2" t="s">
        <v>10</v>
      </c>
      <c r="G822" s="2" t="s">
        <v>11</v>
      </c>
      <c r="H822" s="2" t="s">
        <v>12</v>
      </c>
      <c r="I822" s="2" t="s">
        <v>13</v>
      </c>
      <c r="J822" s="2" t="s">
        <v>14</v>
      </c>
      <c r="K822" s="2" t="s">
        <v>15</v>
      </c>
      <c r="L822" s="2" t="s">
        <v>16</v>
      </c>
    </row>
    <row r="823" spans="1:12" x14ac:dyDescent="0.25">
      <c r="A823" s="3">
        <v>45701.226701388892</v>
      </c>
      <c r="B823" t="s">
        <v>77</v>
      </c>
      <c r="C823" s="3">
        <v>45701.232094907406</v>
      </c>
      <c r="D823" t="s">
        <v>395</v>
      </c>
      <c r="E823" s="4">
        <v>1.7490000000000001</v>
      </c>
      <c r="F823" s="4">
        <v>435329.24800000002</v>
      </c>
      <c r="G823" s="4">
        <v>435330.99699999997</v>
      </c>
      <c r="H823" s="5">
        <f>139 / 86400</f>
        <v>1.6087962962962963E-3</v>
      </c>
      <c r="I823" t="s">
        <v>284</v>
      </c>
      <c r="J823" t="s">
        <v>43</v>
      </c>
      <c r="K823" s="5">
        <f>466 / 86400</f>
        <v>5.3935185185185188E-3</v>
      </c>
      <c r="L823" s="5">
        <f>20415 / 86400</f>
        <v>0.23628472222222222</v>
      </c>
    </row>
    <row r="824" spans="1:12" x14ac:dyDescent="0.25">
      <c r="A824" s="3">
        <v>45701.241678240738</v>
      </c>
      <c r="B824" t="s">
        <v>395</v>
      </c>
      <c r="C824" s="3">
        <v>45701.3122337963</v>
      </c>
      <c r="D824" t="s">
        <v>131</v>
      </c>
      <c r="E824" s="4">
        <v>37.884</v>
      </c>
      <c r="F824" s="4">
        <v>435330.99699999997</v>
      </c>
      <c r="G824" s="4">
        <v>435368.88099999999</v>
      </c>
      <c r="H824" s="5">
        <f>987 / 86400</f>
        <v>1.1423611111111112E-2</v>
      </c>
      <c r="I824" t="s">
        <v>63</v>
      </c>
      <c r="J824" t="s">
        <v>132</v>
      </c>
      <c r="K824" s="5">
        <f>6096 / 86400</f>
        <v>7.0555555555555552E-2</v>
      </c>
      <c r="L824" s="5">
        <f>1936 / 86400</f>
        <v>2.2407407407407407E-2</v>
      </c>
    </row>
    <row r="825" spans="1:12" x14ac:dyDescent="0.25">
      <c r="A825" s="3">
        <v>45701.334641203706</v>
      </c>
      <c r="B825" t="s">
        <v>131</v>
      </c>
      <c r="C825" s="3">
        <v>45701.341261574074</v>
      </c>
      <c r="D825" t="s">
        <v>104</v>
      </c>
      <c r="E825" s="4">
        <v>1.109</v>
      </c>
      <c r="F825" s="4">
        <v>435368.88099999999</v>
      </c>
      <c r="G825" s="4">
        <v>435369.99</v>
      </c>
      <c r="H825" s="5">
        <f>300 / 86400</f>
        <v>3.472222222222222E-3</v>
      </c>
      <c r="I825" t="s">
        <v>71</v>
      </c>
      <c r="J825" t="s">
        <v>161</v>
      </c>
      <c r="K825" s="5">
        <f>571 / 86400</f>
        <v>6.6087962962962966E-3</v>
      </c>
      <c r="L825" s="5">
        <f>2017 / 86400</f>
        <v>2.3344907407407408E-2</v>
      </c>
    </row>
    <row r="826" spans="1:12" x14ac:dyDescent="0.25">
      <c r="A826" s="3">
        <v>45701.364606481482</v>
      </c>
      <c r="B826" t="s">
        <v>104</v>
      </c>
      <c r="C826" s="3">
        <v>45701.476481481484</v>
      </c>
      <c r="D826" t="s">
        <v>396</v>
      </c>
      <c r="E826" s="4">
        <v>49.941000000000003</v>
      </c>
      <c r="F826" s="4">
        <v>435369.99</v>
      </c>
      <c r="G826" s="4">
        <v>435419.93099999998</v>
      </c>
      <c r="H826" s="5">
        <f>2561 / 86400</f>
        <v>2.9641203703703704E-2</v>
      </c>
      <c r="I826" t="s">
        <v>31</v>
      </c>
      <c r="J826" t="s">
        <v>23</v>
      </c>
      <c r="K826" s="5">
        <f>9666 / 86400</f>
        <v>0.111875</v>
      </c>
      <c r="L826" s="5">
        <f>244 / 86400</f>
        <v>2.8240740740740739E-3</v>
      </c>
    </row>
    <row r="827" spans="1:12" x14ac:dyDescent="0.25">
      <c r="A827" s="3">
        <v>45701.479305555556</v>
      </c>
      <c r="B827" t="s">
        <v>396</v>
      </c>
      <c r="C827" s="3">
        <v>45701.614062499997</v>
      </c>
      <c r="D827" t="s">
        <v>47</v>
      </c>
      <c r="E827" s="4">
        <v>51.311</v>
      </c>
      <c r="F827" s="4">
        <v>435419.93099999998</v>
      </c>
      <c r="G827" s="4">
        <v>435471.24200000003</v>
      </c>
      <c r="H827" s="5">
        <f>3541 / 86400</f>
        <v>4.0983796296296296E-2</v>
      </c>
      <c r="I827" t="s">
        <v>68</v>
      </c>
      <c r="J827" t="s">
        <v>51</v>
      </c>
      <c r="K827" s="5">
        <f>11643 / 86400</f>
        <v>0.13475694444444444</v>
      </c>
      <c r="L827" s="5">
        <f>491 / 86400</f>
        <v>5.6828703703703702E-3</v>
      </c>
    </row>
    <row r="828" spans="1:12" x14ac:dyDescent="0.25">
      <c r="A828" s="3">
        <v>45701.619745370372</v>
      </c>
      <c r="B828" t="s">
        <v>47</v>
      </c>
      <c r="C828" s="3">
        <v>45701.620451388888</v>
      </c>
      <c r="D828" t="s">
        <v>47</v>
      </c>
      <c r="E828" s="4">
        <v>8.4000000000000005E-2</v>
      </c>
      <c r="F828" s="4">
        <v>435471.24200000003</v>
      </c>
      <c r="G828" s="4">
        <v>435471.326</v>
      </c>
      <c r="H828" s="5">
        <f>0 / 86400</f>
        <v>0</v>
      </c>
      <c r="I828" t="s">
        <v>140</v>
      </c>
      <c r="J828" t="s">
        <v>37</v>
      </c>
      <c r="K828" s="5">
        <f>61 / 86400</f>
        <v>7.0601851851851847E-4</v>
      </c>
      <c r="L828" s="5">
        <f>2450 / 86400</f>
        <v>2.8356481481481483E-2</v>
      </c>
    </row>
    <row r="829" spans="1:12" x14ac:dyDescent="0.25">
      <c r="A829" s="3">
        <v>45701.64880787037</v>
      </c>
      <c r="B829" t="s">
        <v>47</v>
      </c>
      <c r="C829" s="3">
        <v>45701.651817129634</v>
      </c>
      <c r="D829" t="s">
        <v>158</v>
      </c>
      <c r="E829" s="4">
        <v>0.78500000000000003</v>
      </c>
      <c r="F829" s="4">
        <v>435471.326</v>
      </c>
      <c r="G829" s="4">
        <v>435472.11099999998</v>
      </c>
      <c r="H829" s="5">
        <f>38 / 86400</f>
        <v>4.3981481481481481E-4</v>
      </c>
      <c r="I829" t="s">
        <v>155</v>
      </c>
      <c r="J829" t="s">
        <v>149</v>
      </c>
      <c r="K829" s="5">
        <f>259 / 86400</f>
        <v>2.9976851851851853E-3</v>
      </c>
      <c r="L829" s="5">
        <f>4 / 86400</f>
        <v>4.6296296296296294E-5</v>
      </c>
    </row>
    <row r="830" spans="1:12" x14ac:dyDescent="0.25">
      <c r="A830" s="3">
        <v>45701.651863425926</v>
      </c>
      <c r="B830" t="s">
        <v>158</v>
      </c>
      <c r="C830" s="3">
        <v>45701.652372685188</v>
      </c>
      <c r="D830" t="s">
        <v>158</v>
      </c>
      <c r="E830" s="4">
        <v>1.4999999999999999E-2</v>
      </c>
      <c r="F830" s="4">
        <v>435472.11099999998</v>
      </c>
      <c r="G830" s="4">
        <v>435472.12599999999</v>
      </c>
      <c r="H830" s="5">
        <f>20 / 86400</f>
        <v>2.3148148148148149E-4</v>
      </c>
      <c r="I830" t="s">
        <v>37</v>
      </c>
      <c r="J830" t="s">
        <v>125</v>
      </c>
      <c r="K830" s="5">
        <f>44 / 86400</f>
        <v>5.0925925925925921E-4</v>
      </c>
      <c r="L830" s="5">
        <f>408 / 86400</f>
        <v>4.7222222222222223E-3</v>
      </c>
    </row>
    <row r="831" spans="1:12" x14ac:dyDescent="0.25">
      <c r="A831" s="3">
        <v>45701.657094907408</v>
      </c>
      <c r="B831" t="s">
        <v>158</v>
      </c>
      <c r="C831" s="3">
        <v>45701.658715277779</v>
      </c>
      <c r="D831" t="s">
        <v>158</v>
      </c>
      <c r="E831" s="4">
        <v>9.7000000000000003E-2</v>
      </c>
      <c r="F831" s="4">
        <v>435472.12599999999</v>
      </c>
      <c r="G831" s="4">
        <v>435472.223</v>
      </c>
      <c r="H831" s="5">
        <f>80 / 86400</f>
        <v>9.2592592592592596E-4</v>
      </c>
      <c r="I831" t="s">
        <v>161</v>
      </c>
      <c r="J831" t="s">
        <v>124</v>
      </c>
      <c r="K831" s="5">
        <f>139 / 86400</f>
        <v>1.6087962962962963E-3</v>
      </c>
      <c r="L831" s="5">
        <f>1437 / 86400</f>
        <v>1.6631944444444446E-2</v>
      </c>
    </row>
    <row r="832" spans="1:12" x14ac:dyDescent="0.25">
      <c r="A832" s="3">
        <v>45701.675347222219</v>
      </c>
      <c r="B832" t="s">
        <v>104</v>
      </c>
      <c r="C832" s="3">
        <v>45701.676284722227</v>
      </c>
      <c r="D832" t="s">
        <v>158</v>
      </c>
      <c r="E832" s="4">
        <v>4.0000000000000001E-3</v>
      </c>
      <c r="F832" s="4">
        <v>435472.223</v>
      </c>
      <c r="G832" s="4">
        <v>435472.22700000001</v>
      </c>
      <c r="H832" s="5">
        <f>79 / 86400</f>
        <v>9.1435185185185185E-4</v>
      </c>
      <c r="I832" t="s">
        <v>91</v>
      </c>
      <c r="J832" t="s">
        <v>91</v>
      </c>
      <c r="K832" s="5">
        <f>81 / 86400</f>
        <v>9.3749999999999997E-4</v>
      </c>
      <c r="L832" s="5">
        <f>2255 / 86400</f>
        <v>2.6099537037037036E-2</v>
      </c>
    </row>
    <row r="833" spans="1:12" x14ac:dyDescent="0.25">
      <c r="A833" s="3">
        <v>45701.702384259261</v>
      </c>
      <c r="B833" t="s">
        <v>158</v>
      </c>
      <c r="C833" s="3">
        <v>45701.702719907407</v>
      </c>
      <c r="D833" t="s">
        <v>158</v>
      </c>
      <c r="E833" s="4">
        <v>0</v>
      </c>
      <c r="F833" s="4">
        <v>435472.22700000001</v>
      </c>
      <c r="G833" s="4">
        <v>435472.22700000001</v>
      </c>
      <c r="H833" s="5">
        <f>19 / 86400</f>
        <v>2.199074074074074E-4</v>
      </c>
      <c r="I833" t="s">
        <v>91</v>
      </c>
      <c r="J833" t="s">
        <v>91</v>
      </c>
      <c r="K833" s="5">
        <f>28 / 86400</f>
        <v>3.2407407407407406E-4</v>
      </c>
      <c r="L833" s="5">
        <f>732 / 86400</f>
        <v>8.472222222222223E-3</v>
      </c>
    </row>
    <row r="834" spans="1:12" x14ac:dyDescent="0.25">
      <c r="A834" s="3">
        <v>45701.711192129631</v>
      </c>
      <c r="B834" t="s">
        <v>158</v>
      </c>
      <c r="C834" s="3">
        <v>45701.712835648148</v>
      </c>
      <c r="D834" t="s">
        <v>158</v>
      </c>
      <c r="E834" s="4">
        <v>0</v>
      </c>
      <c r="F834" s="4">
        <v>435472.22700000001</v>
      </c>
      <c r="G834" s="4">
        <v>435472.22700000001</v>
      </c>
      <c r="H834" s="5">
        <f>139 / 86400</f>
        <v>1.6087962962962963E-3</v>
      </c>
      <c r="I834" t="s">
        <v>91</v>
      </c>
      <c r="J834" t="s">
        <v>91</v>
      </c>
      <c r="K834" s="5">
        <f>141 / 86400</f>
        <v>1.6319444444444445E-3</v>
      </c>
      <c r="L834" s="5">
        <f>921 / 86400</f>
        <v>1.0659722222222221E-2</v>
      </c>
    </row>
    <row r="835" spans="1:12" x14ac:dyDescent="0.25">
      <c r="A835" s="3">
        <v>45701.723495370374</v>
      </c>
      <c r="B835" t="s">
        <v>104</v>
      </c>
      <c r="C835" s="3">
        <v>45701.923148148147</v>
      </c>
      <c r="D835" t="s">
        <v>382</v>
      </c>
      <c r="E835" s="4">
        <v>69.433000000000007</v>
      </c>
      <c r="F835" s="4">
        <v>435472.22700000001</v>
      </c>
      <c r="G835" s="4">
        <v>435541.66</v>
      </c>
      <c r="H835" s="5">
        <f>6299 / 86400</f>
        <v>7.2905092592592591E-2</v>
      </c>
      <c r="I835" t="s">
        <v>42</v>
      </c>
      <c r="J835" t="s">
        <v>43</v>
      </c>
      <c r="K835" s="5">
        <f>17249 / 86400</f>
        <v>0.1996412037037037</v>
      </c>
      <c r="L835" s="5">
        <f>491 / 86400</f>
        <v>5.6828703703703702E-3</v>
      </c>
    </row>
    <row r="836" spans="1:12" x14ac:dyDescent="0.25">
      <c r="A836" s="3">
        <v>45701.928831018522</v>
      </c>
      <c r="B836" t="s">
        <v>382</v>
      </c>
      <c r="C836" s="3">
        <v>45701.932986111111</v>
      </c>
      <c r="D836" t="s">
        <v>188</v>
      </c>
      <c r="E836" s="4">
        <v>1.4079999999999999</v>
      </c>
      <c r="F836" s="4">
        <v>435541.66</v>
      </c>
      <c r="G836" s="4">
        <v>435543.06800000003</v>
      </c>
      <c r="H836" s="5">
        <f>40 / 86400</f>
        <v>4.6296296296296298E-4</v>
      </c>
      <c r="I836" t="s">
        <v>71</v>
      </c>
      <c r="J836" t="s">
        <v>43</v>
      </c>
      <c r="K836" s="5">
        <f>359 / 86400</f>
        <v>4.1550925925925922E-3</v>
      </c>
      <c r="L836" s="5">
        <f>205 / 86400</f>
        <v>2.3726851851851851E-3</v>
      </c>
    </row>
    <row r="837" spans="1:12" x14ac:dyDescent="0.25">
      <c r="A837" s="3">
        <v>45701.935358796298</v>
      </c>
      <c r="B837" t="s">
        <v>188</v>
      </c>
      <c r="C837" s="3">
        <v>45701.943229166667</v>
      </c>
      <c r="D837" t="s">
        <v>77</v>
      </c>
      <c r="E837" s="4">
        <v>2.4180000000000001</v>
      </c>
      <c r="F837" s="4">
        <v>435543.06800000003</v>
      </c>
      <c r="G837" s="4">
        <v>435545.48599999998</v>
      </c>
      <c r="H837" s="5">
        <f>280 / 86400</f>
        <v>3.2407407407407406E-3</v>
      </c>
      <c r="I837" t="s">
        <v>202</v>
      </c>
      <c r="J837" t="s">
        <v>58</v>
      </c>
      <c r="K837" s="5">
        <f>680 / 86400</f>
        <v>7.8703703703703696E-3</v>
      </c>
      <c r="L837" s="5">
        <f>1535 / 86400</f>
        <v>1.7766203703703704E-2</v>
      </c>
    </row>
    <row r="838" spans="1:12" x14ac:dyDescent="0.25">
      <c r="A838" s="3">
        <v>45701.960995370369</v>
      </c>
      <c r="B838" t="s">
        <v>77</v>
      </c>
      <c r="C838" s="3">
        <v>45701.965509259258</v>
      </c>
      <c r="D838" t="s">
        <v>78</v>
      </c>
      <c r="E838" s="4">
        <v>0.85899999999999999</v>
      </c>
      <c r="F838" s="4">
        <v>435545.48599999998</v>
      </c>
      <c r="G838" s="4">
        <v>435546.34499999997</v>
      </c>
      <c r="H838" s="5">
        <f>59 / 86400</f>
        <v>6.8287037037037036E-4</v>
      </c>
      <c r="I838" t="s">
        <v>132</v>
      </c>
      <c r="J838" t="s">
        <v>90</v>
      </c>
      <c r="K838" s="5">
        <f>389 / 86400</f>
        <v>4.5023148148148149E-3</v>
      </c>
      <c r="L838" s="5">
        <f>2979 / 86400</f>
        <v>3.4479166666666665E-2</v>
      </c>
    </row>
    <row r="839" spans="1:12" x14ac:dyDescent="0.25">
      <c r="A839" s="11"/>
      <c r="B839" s="11"/>
      <c r="C839" s="11"/>
      <c r="D839" s="11"/>
      <c r="E839" s="11"/>
      <c r="F839" s="11"/>
      <c r="G839" s="11"/>
      <c r="H839" s="11"/>
      <c r="I839" s="11"/>
      <c r="J839" s="11"/>
    </row>
    <row r="840" spans="1:12" x14ac:dyDescent="0.25">
      <c r="A840" s="11"/>
      <c r="B840" s="11"/>
      <c r="C840" s="11"/>
      <c r="D840" s="11"/>
      <c r="E840" s="11"/>
      <c r="F840" s="11"/>
      <c r="G840" s="11"/>
      <c r="H840" s="11"/>
      <c r="I840" s="11"/>
      <c r="J840" s="11"/>
    </row>
    <row r="841" spans="1:12" s="10" customFormat="1" ht="20.100000000000001" customHeight="1" x14ac:dyDescent="0.35">
      <c r="A841" s="12" t="s">
        <v>454</v>
      </c>
      <c r="B841" s="12"/>
      <c r="C841" s="12"/>
      <c r="D841" s="12"/>
      <c r="E841" s="12"/>
      <c r="F841" s="12"/>
      <c r="G841" s="12"/>
      <c r="H841" s="12"/>
      <c r="I841" s="12"/>
      <c r="J841" s="12"/>
    </row>
    <row r="842" spans="1:12" x14ac:dyDescent="0.25">
      <c r="A842" s="11"/>
      <c r="B842" s="11"/>
      <c r="C842" s="11"/>
      <c r="D842" s="11"/>
      <c r="E842" s="11"/>
      <c r="F842" s="11"/>
      <c r="G842" s="11"/>
      <c r="H842" s="11"/>
      <c r="I842" s="11"/>
      <c r="J842" s="11"/>
    </row>
    <row r="843" spans="1:12" ht="30" x14ac:dyDescent="0.25">
      <c r="A843" s="2" t="s">
        <v>5</v>
      </c>
      <c r="B843" s="2" t="s">
        <v>6</v>
      </c>
      <c r="C843" s="2" t="s">
        <v>7</v>
      </c>
      <c r="D843" s="2" t="s">
        <v>8</v>
      </c>
      <c r="E843" s="2" t="s">
        <v>9</v>
      </c>
      <c r="F843" s="2" t="s">
        <v>10</v>
      </c>
      <c r="G843" s="2" t="s">
        <v>11</v>
      </c>
      <c r="H843" s="2" t="s">
        <v>12</v>
      </c>
      <c r="I843" s="2" t="s">
        <v>13</v>
      </c>
      <c r="J843" s="2" t="s">
        <v>14</v>
      </c>
      <c r="K843" s="2" t="s">
        <v>15</v>
      </c>
      <c r="L843" s="2" t="s">
        <v>16</v>
      </c>
    </row>
    <row r="844" spans="1:12" x14ac:dyDescent="0.25">
      <c r="A844" s="3">
        <v>45701.238865740743</v>
      </c>
      <c r="B844" t="s">
        <v>47</v>
      </c>
      <c r="C844" s="3">
        <v>45701.445648148147</v>
      </c>
      <c r="D844" t="s">
        <v>196</v>
      </c>
      <c r="E844" s="4">
        <v>82.796000000000006</v>
      </c>
      <c r="F844" s="4">
        <v>515418.83899999998</v>
      </c>
      <c r="G844" s="4">
        <v>515501.63500000001</v>
      </c>
      <c r="H844" s="5">
        <f>5675 / 86400</f>
        <v>6.5682870370370364E-2</v>
      </c>
      <c r="I844" t="s">
        <v>75</v>
      </c>
      <c r="J844" t="s">
        <v>20</v>
      </c>
      <c r="K844" s="5">
        <f>17866 / 86400</f>
        <v>0.20678240740740741</v>
      </c>
      <c r="L844" s="5">
        <f>20668 / 86400</f>
        <v>0.23921296296296296</v>
      </c>
    </row>
    <row r="845" spans="1:12" x14ac:dyDescent="0.25">
      <c r="A845" s="3">
        <v>45701.44599537037</v>
      </c>
      <c r="B845" t="s">
        <v>397</v>
      </c>
      <c r="C845" s="3">
        <v>45701.477442129632</v>
      </c>
      <c r="D845" t="s">
        <v>104</v>
      </c>
      <c r="E845" s="4">
        <v>18.178000000000001</v>
      </c>
      <c r="F845" s="4">
        <v>515501.908</v>
      </c>
      <c r="G845" s="4">
        <v>515520.08600000001</v>
      </c>
      <c r="H845" s="5">
        <f>540 / 86400</f>
        <v>6.2500000000000003E-3</v>
      </c>
      <c r="I845" t="s">
        <v>166</v>
      </c>
      <c r="J845" t="s">
        <v>130</v>
      </c>
      <c r="K845" s="5">
        <f>2717 / 86400</f>
        <v>3.1446759259259258E-2</v>
      </c>
      <c r="L845" s="5">
        <f>982 / 86400</f>
        <v>1.136574074074074E-2</v>
      </c>
    </row>
    <row r="846" spans="1:12" x14ac:dyDescent="0.25">
      <c r="A846" s="3">
        <v>45701.488807870366</v>
      </c>
      <c r="B846" t="s">
        <v>158</v>
      </c>
      <c r="C846" s="3">
        <v>45701.491412037038</v>
      </c>
      <c r="D846" t="s">
        <v>371</v>
      </c>
      <c r="E846" s="4">
        <v>0.59399999999999997</v>
      </c>
      <c r="F846" s="4">
        <v>515520.08600000001</v>
      </c>
      <c r="G846" s="4">
        <v>515520.68</v>
      </c>
      <c r="H846" s="5">
        <f>61 / 86400</f>
        <v>7.0601851851851847E-4</v>
      </c>
      <c r="I846" t="s">
        <v>169</v>
      </c>
      <c r="J846" t="s">
        <v>128</v>
      </c>
      <c r="K846" s="5">
        <f>225 / 86400</f>
        <v>2.6041666666666665E-3</v>
      </c>
      <c r="L846" s="5">
        <f>2175 / 86400</f>
        <v>2.5173611111111112E-2</v>
      </c>
    </row>
    <row r="847" spans="1:12" x14ac:dyDescent="0.25">
      <c r="A847" s="3">
        <v>45701.516585648147</v>
      </c>
      <c r="B847" t="s">
        <v>371</v>
      </c>
      <c r="C847" s="3">
        <v>45701.520902777775</v>
      </c>
      <c r="D847" t="s">
        <v>133</v>
      </c>
      <c r="E847" s="4">
        <v>0.66700000000000004</v>
      </c>
      <c r="F847" s="4">
        <v>515520.68</v>
      </c>
      <c r="G847" s="4">
        <v>515521.34700000001</v>
      </c>
      <c r="H847" s="5">
        <f>90 / 86400</f>
        <v>1.0416666666666667E-3</v>
      </c>
      <c r="I847" t="s">
        <v>20</v>
      </c>
      <c r="J847" t="s">
        <v>156</v>
      </c>
      <c r="K847" s="5">
        <f>373 / 86400</f>
        <v>4.31712962962963E-3</v>
      </c>
      <c r="L847" s="5">
        <f>632 / 86400</f>
        <v>7.3148148148148148E-3</v>
      </c>
    </row>
    <row r="848" spans="1:12" x14ac:dyDescent="0.25">
      <c r="A848" s="3">
        <v>45701.528217592597</v>
      </c>
      <c r="B848" t="s">
        <v>133</v>
      </c>
      <c r="C848" s="3">
        <v>45701.528414351851</v>
      </c>
      <c r="D848" t="s">
        <v>131</v>
      </c>
      <c r="E848" s="4">
        <v>8.0000000000000002E-3</v>
      </c>
      <c r="F848" s="4">
        <v>515521.34700000001</v>
      </c>
      <c r="G848" s="4">
        <v>515521.35499999998</v>
      </c>
      <c r="H848" s="5">
        <f>1 / 86400</f>
        <v>1.1574074074074073E-5</v>
      </c>
      <c r="I848" t="s">
        <v>91</v>
      </c>
      <c r="J848" t="s">
        <v>110</v>
      </c>
      <c r="K848" s="5">
        <f>17 / 86400</f>
        <v>1.9675925925925926E-4</v>
      </c>
      <c r="L848" s="5">
        <f>2255 / 86400</f>
        <v>2.6099537037037036E-2</v>
      </c>
    </row>
    <row r="849" spans="1:12" x14ac:dyDescent="0.25">
      <c r="A849" s="3">
        <v>45701.554513888885</v>
      </c>
      <c r="B849" t="s">
        <v>131</v>
      </c>
      <c r="C849" s="3">
        <v>45701.725590277776</v>
      </c>
      <c r="D849" t="s">
        <v>398</v>
      </c>
      <c r="E849" s="4">
        <v>58.694000000000003</v>
      </c>
      <c r="F849" s="4">
        <v>515521.35499999998</v>
      </c>
      <c r="G849" s="4">
        <v>515580.049</v>
      </c>
      <c r="H849" s="5">
        <f>5631 / 86400</f>
        <v>6.5173611111111113E-2</v>
      </c>
      <c r="I849" t="s">
        <v>79</v>
      </c>
      <c r="J849" t="s">
        <v>43</v>
      </c>
      <c r="K849" s="5">
        <f>14781 / 86400</f>
        <v>0.17107638888888888</v>
      </c>
      <c r="L849" s="5">
        <f>2 / 86400</f>
        <v>2.3148148148148147E-5</v>
      </c>
    </row>
    <row r="850" spans="1:12" x14ac:dyDescent="0.25">
      <c r="A850" s="3">
        <v>45701.725613425922</v>
      </c>
      <c r="B850" t="s">
        <v>398</v>
      </c>
      <c r="C850" s="3">
        <v>45701.727951388893</v>
      </c>
      <c r="D850" t="s">
        <v>399</v>
      </c>
      <c r="E850" s="4">
        <v>0.90900000000000003</v>
      </c>
      <c r="F850" s="4">
        <v>515580.05800000002</v>
      </c>
      <c r="G850" s="4">
        <v>515580.967</v>
      </c>
      <c r="H850" s="5">
        <f>90 / 86400</f>
        <v>1.0416666666666667E-3</v>
      </c>
      <c r="I850" t="s">
        <v>179</v>
      </c>
      <c r="J850" t="s">
        <v>51</v>
      </c>
      <c r="K850" s="5">
        <f>202 / 86400</f>
        <v>2.3379629629629631E-3</v>
      </c>
      <c r="L850" s="5">
        <f>30 / 86400</f>
        <v>3.4722222222222224E-4</v>
      </c>
    </row>
    <row r="851" spans="1:12" x14ac:dyDescent="0.25">
      <c r="A851" s="3">
        <v>45701.728298611109</v>
      </c>
      <c r="B851" t="s">
        <v>399</v>
      </c>
      <c r="C851" s="3">
        <v>45701.831817129627</v>
      </c>
      <c r="D851" t="s">
        <v>158</v>
      </c>
      <c r="E851" s="4">
        <v>40.125</v>
      </c>
      <c r="F851" s="4">
        <v>515581.34499999997</v>
      </c>
      <c r="G851" s="4">
        <v>515621.47</v>
      </c>
      <c r="H851" s="5">
        <f>2521 / 86400</f>
        <v>2.9178240740740741E-2</v>
      </c>
      <c r="I851" t="s">
        <v>189</v>
      </c>
      <c r="J851" t="s">
        <v>51</v>
      </c>
      <c r="K851" s="5">
        <f>8944 / 86400</f>
        <v>0.10351851851851852</v>
      </c>
      <c r="L851" s="5">
        <f>949 / 86400</f>
        <v>1.0983796296296297E-2</v>
      </c>
    </row>
    <row r="852" spans="1:12" x14ac:dyDescent="0.25">
      <c r="A852" s="3">
        <v>45701.842800925922</v>
      </c>
      <c r="B852" t="s">
        <v>158</v>
      </c>
      <c r="C852" s="3">
        <v>45701.84774305555</v>
      </c>
      <c r="D852" t="s">
        <v>47</v>
      </c>
      <c r="E852" s="4">
        <v>0.92600000000000005</v>
      </c>
      <c r="F852" s="4">
        <v>515621.47</v>
      </c>
      <c r="G852" s="4">
        <v>515622.39600000001</v>
      </c>
      <c r="H852" s="5">
        <f>120 / 86400</f>
        <v>1.3888888888888889E-3</v>
      </c>
      <c r="I852" t="s">
        <v>202</v>
      </c>
      <c r="J852" t="s">
        <v>90</v>
      </c>
      <c r="K852" s="5">
        <f>427 / 86400</f>
        <v>4.9421296296296297E-3</v>
      </c>
      <c r="L852" s="5">
        <f>13154 / 86400</f>
        <v>0.15224537037037036</v>
      </c>
    </row>
    <row r="853" spans="1:12" x14ac:dyDescent="0.25">
      <c r="A853" s="11"/>
      <c r="B853" s="11"/>
      <c r="C853" s="11"/>
      <c r="D853" s="11"/>
      <c r="E853" s="11"/>
      <c r="F853" s="11"/>
      <c r="G853" s="11"/>
      <c r="H853" s="11"/>
      <c r="I853" s="11"/>
      <c r="J853" s="11"/>
    </row>
    <row r="854" spans="1:12" x14ac:dyDescent="0.25">
      <c r="A854" s="11"/>
      <c r="B854" s="11"/>
      <c r="C854" s="11"/>
      <c r="D854" s="11"/>
      <c r="E854" s="11"/>
      <c r="F854" s="11"/>
      <c r="G854" s="11"/>
      <c r="H854" s="11"/>
      <c r="I854" s="11"/>
      <c r="J854" s="11"/>
    </row>
    <row r="855" spans="1:12" s="10" customFormat="1" ht="20.100000000000001" customHeight="1" x14ac:dyDescent="0.35">
      <c r="A855" s="12" t="s">
        <v>455</v>
      </c>
      <c r="B855" s="12"/>
      <c r="C855" s="12"/>
      <c r="D855" s="12"/>
      <c r="E855" s="12"/>
      <c r="F855" s="12"/>
      <c r="G855" s="12"/>
      <c r="H855" s="12"/>
      <c r="I855" s="12"/>
      <c r="J855" s="12"/>
    </row>
    <row r="856" spans="1:12" x14ac:dyDescent="0.25">
      <c r="A856" s="11"/>
      <c r="B856" s="11"/>
      <c r="C856" s="11"/>
      <c r="D856" s="11"/>
      <c r="E856" s="11"/>
      <c r="F856" s="11"/>
      <c r="G856" s="11"/>
      <c r="H856" s="11"/>
      <c r="I856" s="11"/>
      <c r="J856" s="11"/>
    </row>
    <row r="857" spans="1:12" ht="30" x14ac:dyDescent="0.25">
      <c r="A857" s="2" t="s">
        <v>5</v>
      </c>
      <c r="B857" s="2" t="s">
        <v>6</v>
      </c>
      <c r="C857" s="2" t="s">
        <v>7</v>
      </c>
      <c r="D857" s="2" t="s">
        <v>8</v>
      </c>
      <c r="E857" s="2" t="s">
        <v>9</v>
      </c>
      <c r="F857" s="2" t="s">
        <v>10</v>
      </c>
      <c r="G857" s="2" t="s">
        <v>11</v>
      </c>
      <c r="H857" s="2" t="s">
        <v>12</v>
      </c>
      <c r="I857" s="2" t="s">
        <v>13</v>
      </c>
      <c r="J857" s="2" t="s">
        <v>14</v>
      </c>
      <c r="K857" s="2" t="s">
        <v>15</v>
      </c>
      <c r="L857" s="2" t="s">
        <v>16</v>
      </c>
    </row>
    <row r="858" spans="1:12" x14ac:dyDescent="0.25">
      <c r="A858" s="3">
        <v>45701.23238425926</v>
      </c>
      <c r="B858" t="s">
        <v>80</v>
      </c>
      <c r="C858" s="3">
        <v>45701.798159722224</v>
      </c>
      <c r="D858" t="s">
        <v>81</v>
      </c>
      <c r="E858" s="4">
        <v>200.21299999999999</v>
      </c>
      <c r="F858" s="4">
        <v>505276.337</v>
      </c>
      <c r="G858" s="4">
        <v>505476.55</v>
      </c>
      <c r="H858" s="5">
        <f>20406 / 86400</f>
        <v>0.23618055555555556</v>
      </c>
      <c r="I858" t="s">
        <v>75</v>
      </c>
      <c r="J858" t="s">
        <v>29</v>
      </c>
      <c r="K858" s="5">
        <f>48883 / 86400</f>
        <v>0.56577546296296299</v>
      </c>
      <c r="L858" s="5">
        <f>37516 / 86400</f>
        <v>0.43421296296296297</v>
      </c>
    </row>
    <row r="859" spans="1:12" x14ac:dyDescent="0.25">
      <c r="A859" s="11"/>
      <c r="B859" s="11"/>
      <c r="C859" s="11"/>
      <c r="D859" s="11"/>
      <c r="E859" s="11"/>
      <c r="F859" s="11"/>
      <c r="G859" s="11"/>
      <c r="H859" s="11"/>
      <c r="I859" s="11"/>
      <c r="J859" s="11"/>
    </row>
    <row r="860" spans="1:12" x14ac:dyDescent="0.25">
      <c r="A860" s="11"/>
      <c r="B860" s="11"/>
      <c r="C860" s="11"/>
      <c r="D860" s="11"/>
      <c r="E860" s="11"/>
      <c r="F860" s="11"/>
      <c r="G860" s="11"/>
      <c r="H860" s="11"/>
      <c r="I860" s="11"/>
      <c r="J860" s="11"/>
    </row>
    <row r="861" spans="1:12" s="10" customFormat="1" ht="20.100000000000001" customHeight="1" x14ac:dyDescent="0.35">
      <c r="A861" s="12" t="s">
        <v>456</v>
      </c>
      <c r="B861" s="12"/>
      <c r="C861" s="12"/>
      <c r="D861" s="12"/>
      <c r="E861" s="12"/>
      <c r="F861" s="12"/>
      <c r="G861" s="12"/>
      <c r="H861" s="12"/>
      <c r="I861" s="12"/>
      <c r="J861" s="12"/>
    </row>
    <row r="862" spans="1:12" x14ac:dyDescent="0.25">
      <c r="A862" s="11"/>
      <c r="B862" s="11"/>
      <c r="C862" s="11"/>
      <c r="D862" s="11"/>
      <c r="E862" s="11"/>
      <c r="F862" s="11"/>
      <c r="G862" s="11"/>
      <c r="H862" s="11"/>
      <c r="I862" s="11"/>
      <c r="J862" s="11"/>
    </row>
    <row r="863" spans="1:12" ht="30" x14ac:dyDescent="0.25">
      <c r="A863" s="2" t="s">
        <v>5</v>
      </c>
      <c r="B863" s="2" t="s">
        <v>6</v>
      </c>
      <c r="C863" s="2" t="s">
        <v>7</v>
      </c>
      <c r="D863" s="2" t="s">
        <v>8</v>
      </c>
      <c r="E863" s="2" t="s">
        <v>9</v>
      </c>
      <c r="F863" s="2" t="s">
        <v>10</v>
      </c>
      <c r="G863" s="2" t="s">
        <v>11</v>
      </c>
      <c r="H863" s="2" t="s">
        <v>12</v>
      </c>
      <c r="I863" s="2" t="s">
        <v>13</v>
      </c>
      <c r="J863" s="2" t="s">
        <v>14</v>
      </c>
      <c r="K863" s="2" t="s">
        <v>15</v>
      </c>
      <c r="L863" s="2" t="s">
        <v>16</v>
      </c>
    </row>
    <row r="864" spans="1:12" x14ac:dyDescent="0.25">
      <c r="A864" s="3">
        <v>45701.276643518519</v>
      </c>
      <c r="B864" t="s">
        <v>82</v>
      </c>
      <c r="C864" s="3">
        <v>45701.281747685185</v>
      </c>
      <c r="D864" t="s">
        <v>297</v>
      </c>
      <c r="E864" s="4">
        <v>0.99199999999999999</v>
      </c>
      <c r="F864" s="4">
        <v>352249.386</v>
      </c>
      <c r="G864" s="4">
        <v>352250.37800000003</v>
      </c>
      <c r="H864" s="5">
        <f>199 / 86400</f>
        <v>2.3032407407407407E-3</v>
      </c>
      <c r="I864" t="s">
        <v>294</v>
      </c>
      <c r="J864" t="s">
        <v>90</v>
      </c>
      <c r="K864" s="5">
        <f>440 / 86400</f>
        <v>5.092592592592593E-3</v>
      </c>
      <c r="L864" s="5">
        <f>23937 / 86400</f>
        <v>0.27704861111111112</v>
      </c>
    </row>
    <row r="865" spans="1:12" x14ac:dyDescent="0.25">
      <c r="A865" s="3">
        <v>45701.282152777778</v>
      </c>
      <c r="B865" t="s">
        <v>297</v>
      </c>
      <c r="C865" s="3">
        <v>45701.289965277778</v>
      </c>
      <c r="D865" t="s">
        <v>371</v>
      </c>
      <c r="E865" s="4">
        <v>4.0910000000000002</v>
      </c>
      <c r="F865" s="4">
        <v>352250.37800000003</v>
      </c>
      <c r="G865" s="4">
        <v>352254.46899999998</v>
      </c>
      <c r="H865" s="5">
        <f>80 / 86400</f>
        <v>9.2592592592592596E-4</v>
      </c>
      <c r="I865" t="s">
        <v>219</v>
      </c>
      <c r="J865" t="s">
        <v>132</v>
      </c>
      <c r="K865" s="5">
        <f>675 / 86400</f>
        <v>7.8125E-3</v>
      </c>
      <c r="L865" s="5">
        <f>3 / 86400</f>
        <v>3.4722222222222222E-5</v>
      </c>
    </row>
    <row r="866" spans="1:12" x14ac:dyDescent="0.25">
      <c r="A866" s="3">
        <v>45701.29</v>
      </c>
      <c r="B866" t="s">
        <v>371</v>
      </c>
      <c r="C866" s="3">
        <v>45701.290162037039</v>
      </c>
      <c r="D866" t="s">
        <v>371</v>
      </c>
      <c r="E866" s="4">
        <v>0</v>
      </c>
      <c r="F866" s="4">
        <v>352254.46899999998</v>
      </c>
      <c r="G866" s="4">
        <v>352254.46899999998</v>
      </c>
      <c r="H866" s="5">
        <f>4 / 86400</f>
        <v>4.6296296296296294E-5</v>
      </c>
      <c r="I866" t="s">
        <v>91</v>
      </c>
      <c r="J866" t="s">
        <v>91</v>
      </c>
      <c r="K866" s="5">
        <f>14 / 86400</f>
        <v>1.6203703703703703E-4</v>
      </c>
      <c r="L866" s="5">
        <f>2876 / 86400</f>
        <v>3.3287037037037039E-2</v>
      </c>
    </row>
    <row r="867" spans="1:12" x14ac:dyDescent="0.25">
      <c r="A867" s="3">
        <v>45701.323449074072</v>
      </c>
      <c r="B867" t="s">
        <v>371</v>
      </c>
      <c r="C867" s="3">
        <v>45701.32649305556</v>
      </c>
      <c r="D867" t="s">
        <v>133</v>
      </c>
      <c r="E867" s="4">
        <v>0.79700000000000004</v>
      </c>
      <c r="F867" s="4">
        <v>352254.46899999998</v>
      </c>
      <c r="G867" s="4">
        <v>352255.266</v>
      </c>
      <c r="H867" s="5">
        <f>20 / 86400</f>
        <v>2.3148148148148149E-4</v>
      </c>
      <c r="I867" t="s">
        <v>76</v>
      </c>
      <c r="J867" t="s">
        <v>149</v>
      </c>
      <c r="K867" s="5">
        <f>263 / 86400</f>
        <v>3.0439814814814813E-3</v>
      </c>
      <c r="L867" s="5">
        <f>3005 / 86400</f>
        <v>3.4780092592592592E-2</v>
      </c>
    </row>
    <row r="868" spans="1:12" x14ac:dyDescent="0.25">
      <c r="A868" s="3">
        <v>45701.361273148148</v>
      </c>
      <c r="B868" t="s">
        <v>133</v>
      </c>
      <c r="C868" s="3">
        <v>45701.363877314812</v>
      </c>
      <c r="D868" t="s">
        <v>131</v>
      </c>
      <c r="E868" s="4">
        <v>0.06</v>
      </c>
      <c r="F868" s="4">
        <v>352255.266</v>
      </c>
      <c r="G868" s="4">
        <v>352255.326</v>
      </c>
      <c r="H868" s="5">
        <f>179 / 86400</f>
        <v>2.0717592592592593E-3</v>
      </c>
      <c r="I868" t="s">
        <v>161</v>
      </c>
      <c r="J868" t="s">
        <v>125</v>
      </c>
      <c r="K868" s="5">
        <f>224 / 86400</f>
        <v>2.5925925925925925E-3</v>
      </c>
      <c r="L868" s="5">
        <f>182 / 86400</f>
        <v>2.1064814814814813E-3</v>
      </c>
    </row>
    <row r="869" spans="1:12" x14ac:dyDescent="0.25">
      <c r="A869" s="3">
        <v>45701.365983796291</v>
      </c>
      <c r="B869" t="s">
        <v>131</v>
      </c>
      <c r="C869" s="3">
        <v>45701.658692129626</v>
      </c>
      <c r="D869" t="s">
        <v>385</v>
      </c>
      <c r="E869" s="4">
        <v>100.343</v>
      </c>
      <c r="F869" s="4">
        <v>352255.326</v>
      </c>
      <c r="G869" s="4">
        <v>352355.66899999999</v>
      </c>
      <c r="H869" s="5">
        <f>8217 / 86400</f>
        <v>9.510416666666667E-2</v>
      </c>
      <c r="I869" t="s">
        <v>176</v>
      </c>
      <c r="J869" t="s">
        <v>43</v>
      </c>
      <c r="K869" s="5">
        <f>25290 / 86400</f>
        <v>0.29270833333333335</v>
      </c>
      <c r="L869" s="5">
        <f>542 / 86400</f>
        <v>6.2731481481481484E-3</v>
      </c>
    </row>
    <row r="870" spans="1:12" x14ac:dyDescent="0.25">
      <c r="A870" s="3">
        <v>45701.664965277778</v>
      </c>
      <c r="B870" t="s">
        <v>385</v>
      </c>
      <c r="C870" s="3">
        <v>45701.66505787037</v>
      </c>
      <c r="D870" t="s">
        <v>385</v>
      </c>
      <c r="E870" s="4">
        <v>0</v>
      </c>
      <c r="F870" s="4">
        <v>352355.66899999999</v>
      </c>
      <c r="G870" s="4">
        <v>352355.66899999999</v>
      </c>
      <c r="H870" s="5">
        <f>0 / 86400</f>
        <v>0</v>
      </c>
      <c r="I870" t="s">
        <v>91</v>
      </c>
      <c r="J870" t="s">
        <v>91</v>
      </c>
      <c r="K870" s="5">
        <f>8 / 86400</f>
        <v>9.2592592592592588E-5</v>
      </c>
      <c r="L870" s="5">
        <f>106 / 86400</f>
        <v>1.2268518518518518E-3</v>
      </c>
    </row>
    <row r="871" spans="1:12" x14ac:dyDescent="0.25">
      <c r="A871" s="3">
        <v>45701.666284722218</v>
      </c>
      <c r="B871" t="s">
        <v>385</v>
      </c>
      <c r="C871" s="3">
        <v>45701.66851851852</v>
      </c>
      <c r="D871" t="s">
        <v>158</v>
      </c>
      <c r="E871" s="4">
        <v>0.73099999999999998</v>
      </c>
      <c r="F871" s="4">
        <v>352355.66899999999</v>
      </c>
      <c r="G871" s="4">
        <v>352356.4</v>
      </c>
      <c r="H871" s="5">
        <f>0 / 86400</f>
        <v>0</v>
      </c>
      <c r="I871" t="s">
        <v>148</v>
      </c>
      <c r="J871" t="s">
        <v>43</v>
      </c>
      <c r="K871" s="5">
        <f>192 / 86400</f>
        <v>2.2222222222222222E-3</v>
      </c>
      <c r="L871" s="5">
        <f>592 / 86400</f>
        <v>6.851851851851852E-3</v>
      </c>
    </row>
    <row r="872" spans="1:12" x14ac:dyDescent="0.25">
      <c r="A872" s="3">
        <v>45701.675370370373</v>
      </c>
      <c r="B872" t="s">
        <v>158</v>
      </c>
      <c r="C872" s="3">
        <v>45701.675393518519</v>
      </c>
      <c r="D872" t="s">
        <v>158</v>
      </c>
      <c r="E872" s="4">
        <v>0</v>
      </c>
      <c r="F872" s="4">
        <v>352356.4</v>
      </c>
      <c r="G872" s="4">
        <v>352356.4</v>
      </c>
      <c r="H872" s="5">
        <f>0 / 86400</f>
        <v>0</v>
      </c>
      <c r="I872" t="s">
        <v>91</v>
      </c>
      <c r="J872" t="s">
        <v>91</v>
      </c>
      <c r="K872" s="5">
        <f>2 / 86400</f>
        <v>2.3148148148148147E-5</v>
      </c>
      <c r="L872" s="5">
        <f>103 / 86400</f>
        <v>1.1921296296296296E-3</v>
      </c>
    </row>
    <row r="873" spans="1:12" x14ac:dyDescent="0.25">
      <c r="A873" s="3">
        <v>45701.676585648151</v>
      </c>
      <c r="B873" t="s">
        <v>158</v>
      </c>
      <c r="C873" s="3">
        <v>45701.677037037036</v>
      </c>
      <c r="D873" t="s">
        <v>104</v>
      </c>
      <c r="E873" s="4">
        <v>3.2000000000000001E-2</v>
      </c>
      <c r="F873" s="4">
        <v>352356.4</v>
      </c>
      <c r="G873" s="4">
        <v>352356.43199999997</v>
      </c>
      <c r="H873" s="5">
        <f>0 / 86400</f>
        <v>0</v>
      </c>
      <c r="I873" t="s">
        <v>156</v>
      </c>
      <c r="J873" t="s">
        <v>124</v>
      </c>
      <c r="K873" s="5">
        <f>39 / 86400</f>
        <v>4.5138888888888887E-4</v>
      </c>
      <c r="L873" s="5">
        <f>27 / 86400</f>
        <v>3.1250000000000001E-4</v>
      </c>
    </row>
    <row r="874" spans="1:12" x14ac:dyDescent="0.25">
      <c r="A874" s="3">
        <v>45701.677349537036</v>
      </c>
      <c r="B874" t="s">
        <v>104</v>
      </c>
      <c r="C874" s="3">
        <v>45701.678344907406</v>
      </c>
      <c r="D874" t="s">
        <v>153</v>
      </c>
      <c r="E874" s="4">
        <v>0.184</v>
      </c>
      <c r="F874" s="4">
        <v>352356.43199999997</v>
      </c>
      <c r="G874" s="4">
        <v>352356.61599999998</v>
      </c>
      <c r="H874" s="5">
        <f>20 / 86400</f>
        <v>2.3148148148148149E-4</v>
      </c>
      <c r="I874" t="s">
        <v>294</v>
      </c>
      <c r="J874" t="s">
        <v>90</v>
      </c>
      <c r="K874" s="5">
        <f>86 / 86400</f>
        <v>9.9537037037037042E-4</v>
      </c>
      <c r="L874" s="5">
        <f>189 / 86400</f>
        <v>2.1875000000000002E-3</v>
      </c>
    </row>
    <row r="875" spans="1:12" x14ac:dyDescent="0.25">
      <c r="A875" s="3">
        <v>45701.680532407408</v>
      </c>
      <c r="B875" t="s">
        <v>153</v>
      </c>
      <c r="C875" s="3">
        <v>45701.684074074074</v>
      </c>
      <c r="D875" t="s">
        <v>299</v>
      </c>
      <c r="E875" s="4">
        <v>1.2450000000000001</v>
      </c>
      <c r="F875" s="4">
        <v>352356.61599999998</v>
      </c>
      <c r="G875" s="4">
        <v>352357.86099999998</v>
      </c>
      <c r="H875" s="5">
        <f>79 / 86400</f>
        <v>9.1435185185185185E-4</v>
      </c>
      <c r="I875" t="s">
        <v>155</v>
      </c>
      <c r="J875" t="s">
        <v>29</v>
      </c>
      <c r="K875" s="5">
        <f>306 / 86400</f>
        <v>3.5416666666666665E-3</v>
      </c>
      <c r="L875" s="5">
        <f>3 / 86400</f>
        <v>3.4722222222222222E-5</v>
      </c>
    </row>
    <row r="876" spans="1:12" x14ac:dyDescent="0.25">
      <c r="A876" s="3">
        <v>45701.684108796297</v>
      </c>
      <c r="B876" t="s">
        <v>299</v>
      </c>
      <c r="C876" s="3">
        <v>45701.863379629634</v>
      </c>
      <c r="D876" t="s">
        <v>302</v>
      </c>
      <c r="E876" s="4">
        <v>73.731999999999999</v>
      </c>
      <c r="F876" s="4">
        <v>352357.86099999998</v>
      </c>
      <c r="G876" s="4">
        <v>352431.59299999999</v>
      </c>
      <c r="H876" s="5">
        <f>5199 / 86400</f>
        <v>6.0173611111111108E-2</v>
      </c>
      <c r="I876" t="s">
        <v>79</v>
      </c>
      <c r="J876" t="s">
        <v>20</v>
      </c>
      <c r="K876" s="5">
        <f>15489 / 86400</f>
        <v>0.17927083333333332</v>
      </c>
      <c r="L876" s="5">
        <f>2582 / 86400</f>
        <v>2.988425925925926E-2</v>
      </c>
    </row>
    <row r="877" spans="1:12" x14ac:dyDescent="0.25">
      <c r="A877" s="3">
        <v>45701.893263888887</v>
      </c>
      <c r="B877" t="s">
        <v>302</v>
      </c>
      <c r="C877" s="3">
        <v>45701.967175925922</v>
      </c>
      <c r="D877" t="s">
        <v>221</v>
      </c>
      <c r="E877" s="4">
        <v>35.688000000000002</v>
      </c>
      <c r="F877" s="4">
        <v>352431.59299999999</v>
      </c>
      <c r="G877" s="4">
        <v>352467.28100000002</v>
      </c>
      <c r="H877" s="5">
        <f>1978 / 86400</f>
        <v>2.2893518518518518E-2</v>
      </c>
      <c r="I877" t="s">
        <v>19</v>
      </c>
      <c r="J877" t="s">
        <v>34</v>
      </c>
      <c r="K877" s="5">
        <f>6385 / 86400</f>
        <v>7.3900462962962959E-2</v>
      </c>
      <c r="L877" s="5">
        <f>41 / 86400</f>
        <v>4.7453703703703704E-4</v>
      </c>
    </row>
    <row r="878" spans="1:12" x14ac:dyDescent="0.25">
      <c r="A878" s="3">
        <v>45701.967650462961</v>
      </c>
      <c r="B878" t="s">
        <v>221</v>
      </c>
      <c r="C878" s="3">
        <v>45701.969143518523</v>
      </c>
      <c r="D878" t="s">
        <v>185</v>
      </c>
      <c r="E878" s="4">
        <v>0.59899999999999998</v>
      </c>
      <c r="F878" s="4">
        <v>352467.28100000002</v>
      </c>
      <c r="G878" s="4">
        <v>352467.88</v>
      </c>
      <c r="H878" s="5">
        <f>0 / 86400</f>
        <v>0</v>
      </c>
      <c r="I878" t="s">
        <v>130</v>
      </c>
      <c r="J878" t="s">
        <v>20</v>
      </c>
      <c r="K878" s="5">
        <f>128 / 86400</f>
        <v>1.4814814814814814E-3</v>
      </c>
      <c r="L878" s="5">
        <f>32 / 86400</f>
        <v>3.7037037037037035E-4</v>
      </c>
    </row>
    <row r="879" spans="1:12" x14ac:dyDescent="0.25">
      <c r="A879" s="3">
        <v>45701.969513888893</v>
      </c>
      <c r="B879" t="s">
        <v>185</v>
      </c>
      <c r="C879" s="3">
        <v>45701.970034722224</v>
      </c>
      <c r="D879" t="s">
        <v>185</v>
      </c>
      <c r="E879" s="4">
        <v>0.192</v>
      </c>
      <c r="F879" s="4">
        <v>352467.88</v>
      </c>
      <c r="G879" s="4">
        <v>352468.07199999999</v>
      </c>
      <c r="H879" s="5">
        <f>0 / 86400</f>
        <v>0</v>
      </c>
      <c r="I879" t="s">
        <v>20</v>
      </c>
      <c r="J879" t="s">
        <v>51</v>
      </c>
      <c r="K879" s="5">
        <f>44 / 86400</f>
        <v>5.0925925925925921E-4</v>
      </c>
      <c r="L879" s="5">
        <f>682 / 86400</f>
        <v>7.8935185185185185E-3</v>
      </c>
    </row>
    <row r="880" spans="1:12" x14ac:dyDescent="0.25">
      <c r="A880" s="3">
        <v>45701.97792824074</v>
      </c>
      <c r="B880" t="s">
        <v>185</v>
      </c>
      <c r="C880" s="3">
        <v>45701.99998842593</v>
      </c>
      <c r="D880" t="s">
        <v>83</v>
      </c>
      <c r="E880" s="4">
        <v>8.3510000000000009</v>
      </c>
      <c r="F880" s="4">
        <v>352468.07199999999</v>
      </c>
      <c r="G880" s="4">
        <v>352476.42300000001</v>
      </c>
      <c r="H880" s="5">
        <f>760 / 86400</f>
        <v>8.7962962962962968E-3</v>
      </c>
      <c r="I880" t="s">
        <v>176</v>
      </c>
      <c r="J880" t="s">
        <v>51</v>
      </c>
      <c r="K880" s="5">
        <f>1906 / 86400</f>
        <v>2.2060185185185186E-2</v>
      </c>
      <c r="L880" s="5">
        <f>0 / 86400</f>
        <v>0</v>
      </c>
    </row>
    <row r="881" spans="1:12" x14ac:dyDescent="0.25">
      <c r="A881" s="11"/>
      <c r="B881" s="11"/>
      <c r="C881" s="11"/>
      <c r="D881" s="11"/>
      <c r="E881" s="11"/>
      <c r="F881" s="11"/>
      <c r="G881" s="11"/>
      <c r="H881" s="11"/>
      <c r="I881" s="11"/>
      <c r="J881" s="11"/>
    </row>
    <row r="882" spans="1:12" x14ac:dyDescent="0.25">
      <c r="A882" s="11"/>
      <c r="B882" s="11"/>
      <c r="C882" s="11"/>
      <c r="D882" s="11"/>
      <c r="E882" s="11"/>
      <c r="F882" s="11"/>
      <c r="G882" s="11"/>
      <c r="H882" s="11"/>
      <c r="I882" s="11"/>
      <c r="J882" s="11"/>
    </row>
    <row r="883" spans="1:12" s="10" customFormat="1" ht="20.100000000000001" customHeight="1" x14ac:dyDescent="0.35">
      <c r="A883" s="12" t="s">
        <v>457</v>
      </c>
      <c r="B883" s="12"/>
      <c r="C883" s="12"/>
      <c r="D883" s="12"/>
      <c r="E883" s="12"/>
      <c r="F883" s="12"/>
      <c r="G883" s="12"/>
      <c r="H883" s="12"/>
      <c r="I883" s="12"/>
      <c r="J883" s="12"/>
    </row>
    <row r="884" spans="1:12" x14ac:dyDescent="0.25">
      <c r="A884" s="11"/>
      <c r="B884" s="11"/>
      <c r="C884" s="11"/>
      <c r="D884" s="11"/>
      <c r="E884" s="11"/>
      <c r="F884" s="11"/>
      <c r="G884" s="11"/>
      <c r="H884" s="11"/>
      <c r="I884" s="11"/>
      <c r="J884" s="11"/>
    </row>
    <row r="885" spans="1:12" ht="30" x14ac:dyDescent="0.25">
      <c r="A885" s="2" t="s">
        <v>5</v>
      </c>
      <c r="B885" s="2" t="s">
        <v>6</v>
      </c>
      <c r="C885" s="2" t="s">
        <v>7</v>
      </c>
      <c r="D885" s="2" t="s">
        <v>8</v>
      </c>
      <c r="E885" s="2" t="s">
        <v>9</v>
      </c>
      <c r="F885" s="2" t="s">
        <v>10</v>
      </c>
      <c r="G885" s="2" t="s">
        <v>11</v>
      </c>
      <c r="H885" s="2" t="s">
        <v>12</v>
      </c>
      <c r="I885" s="2" t="s">
        <v>13</v>
      </c>
      <c r="J885" s="2" t="s">
        <v>14</v>
      </c>
      <c r="K885" s="2" t="s">
        <v>15</v>
      </c>
      <c r="L885" s="2" t="s">
        <v>16</v>
      </c>
    </row>
    <row r="886" spans="1:12" x14ac:dyDescent="0.25">
      <c r="A886" s="3">
        <v>45701.215833333335</v>
      </c>
      <c r="B886" t="s">
        <v>84</v>
      </c>
      <c r="C886" s="3">
        <v>45701.443923611107</v>
      </c>
      <c r="D886" t="s">
        <v>371</v>
      </c>
      <c r="E886" s="4">
        <v>96.457999999999998</v>
      </c>
      <c r="F886" s="4">
        <v>410824.815</v>
      </c>
      <c r="G886" s="4">
        <v>410921.27299999999</v>
      </c>
      <c r="H886" s="5">
        <f>6518 / 86400</f>
        <v>7.5439814814814821E-2</v>
      </c>
      <c r="I886" t="s">
        <v>32</v>
      </c>
      <c r="J886" t="s">
        <v>76</v>
      </c>
      <c r="K886" s="5">
        <f>19706 / 86400</f>
        <v>0.2280787037037037</v>
      </c>
      <c r="L886" s="5">
        <f>20870 / 86400</f>
        <v>0.24155092592592592</v>
      </c>
    </row>
    <row r="887" spans="1:12" x14ac:dyDescent="0.25">
      <c r="A887" s="3">
        <v>45701.469641203701</v>
      </c>
      <c r="B887" t="s">
        <v>371</v>
      </c>
      <c r="C887" s="3">
        <v>45701.472222222219</v>
      </c>
      <c r="D887" t="s">
        <v>131</v>
      </c>
      <c r="E887" s="4">
        <v>0.69</v>
      </c>
      <c r="F887" s="4">
        <v>410921.27299999999</v>
      </c>
      <c r="G887" s="4">
        <v>410921.96299999999</v>
      </c>
      <c r="H887" s="5">
        <f>20 / 86400</f>
        <v>2.3148148148148149E-4</v>
      </c>
      <c r="I887" t="s">
        <v>74</v>
      </c>
      <c r="J887" t="s">
        <v>149</v>
      </c>
      <c r="K887" s="5">
        <f>223 / 86400</f>
        <v>2.5810185185185185E-3</v>
      </c>
      <c r="L887" s="5">
        <f>5 / 86400</f>
        <v>5.7870370370370373E-5</v>
      </c>
    </row>
    <row r="888" spans="1:12" x14ac:dyDescent="0.25">
      <c r="A888" s="3">
        <v>45701.472280092596</v>
      </c>
      <c r="B888" t="s">
        <v>131</v>
      </c>
      <c r="C888" s="3">
        <v>45701.584456018521</v>
      </c>
      <c r="D888" t="s">
        <v>400</v>
      </c>
      <c r="E888" s="4">
        <v>32.244999999999997</v>
      </c>
      <c r="F888" s="4">
        <v>410921.96299999999</v>
      </c>
      <c r="G888" s="4">
        <v>410954.20799999998</v>
      </c>
      <c r="H888" s="5">
        <f>5401 / 86400</f>
        <v>6.2511574074074081E-2</v>
      </c>
      <c r="I888" t="s">
        <v>79</v>
      </c>
      <c r="J888" t="s">
        <v>120</v>
      </c>
      <c r="K888" s="5">
        <f>9692 / 86400</f>
        <v>0.11217592592592593</v>
      </c>
      <c r="L888" s="5">
        <f>35 / 86400</f>
        <v>4.0509259259259258E-4</v>
      </c>
    </row>
    <row r="889" spans="1:12" x14ac:dyDescent="0.25">
      <c r="A889" s="3">
        <v>45701.584861111114</v>
      </c>
      <c r="B889" t="s">
        <v>400</v>
      </c>
      <c r="C889" s="3">
        <v>45701.629409722227</v>
      </c>
      <c r="D889" t="s">
        <v>401</v>
      </c>
      <c r="E889" s="4">
        <v>16.077999999999999</v>
      </c>
      <c r="F889" s="4">
        <v>410954.20799999998</v>
      </c>
      <c r="G889" s="4">
        <v>410970.28600000002</v>
      </c>
      <c r="H889" s="5">
        <f>1157 / 86400</f>
        <v>1.3391203703703704E-2</v>
      </c>
      <c r="I889" t="s">
        <v>203</v>
      </c>
      <c r="J889" t="s">
        <v>29</v>
      </c>
      <c r="K889" s="5">
        <f>3848 / 86400</f>
        <v>4.4537037037037035E-2</v>
      </c>
      <c r="L889" s="5">
        <f>514 / 86400</f>
        <v>5.9490740740740745E-3</v>
      </c>
    </row>
    <row r="890" spans="1:12" x14ac:dyDescent="0.25">
      <c r="A890" s="3">
        <v>45701.635358796295</v>
      </c>
      <c r="B890" t="s">
        <v>401</v>
      </c>
      <c r="C890" s="3">
        <v>45701.807893518519</v>
      </c>
      <c r="D890" t="s">
        <v>84</v>
      </c>
      <c r="E890" s="4">
        <v>64.593999999999994</v>
      </c>
      <c r="F890" s="4">
        <v>410970.28600000002</v>
      </c>
      <c r="G890" s="4">
        <v>411034.88</v>
      </c>
      <c r="H890" s="5">
        <f>5279 / 86400</f>
        <v>6.1099537037037036E-2</v>
      </c>
      <c r="I890" t="s">
        <v>26</v>
      </c>
      <c r="J890" t="s">
        <v>51</v>
      </c>
      <c r="K890" s="5">
        <f>14907 / 86400</f>
        <v>0.17253472222222221</v>
      </c>
      <c r="L890" s="5">
        <f>54 / 86400</f>
        <v>6.2500000000000001E-4</v>
      </c>
    </row>
    <row r="891" spans="1:12" x14ac:dyDescent="0.25">
      <c r="A891" s="3">
        <v>45701.808518518519</v>
      </c>
      <c r="B891" t="s">
        <v>84</v>
      </c>
      <c r="C891" s="3">
        <v>45701.808611111112</v>
      </c>
      <c r="D891" t="s">
        <v>84</v>
      </c>
      <c r="E891" s="4">
        <v>0</v>
      </c>
      <c r="F891" s="4">
        <v>411034.88</v>
      </c>
      <c r="G891" s="4">
        <v>411034.88</v>
      </c>
      <c r="H891" s="5">
        <f>0 / 86400</f>
        <v>0</v>
      </c>
      <c r="I891" t="s">
        <v>91</v>
      </c>
      <c r="J891" t="s">
        <v>91</v>
      </c>
      <c r="K891" s="5">
        <f>8 / 86400</f>
        <v>9.2592592592592588E-5</v>
      </c>
      <c r="L891" s="5">
        <f>16535 / 86400</f>
        <v>0.19137731481481482</v>
      </c>
    </row>
    <row r="892" spans="1:12" x14ac:dyDescent="0.25">
      <c r="A892" s="11"/>
      <c r="B892" s="11"/>
      <c r="C892" s="11"/>
      <c r="D892" s="11"/>
      <c r="E892" s="11"/>
      <c r="F892" s="11"/>
      <c r="G892" s="11"/>
      <c r="H892" s="11"/>
      <c r="I892" s="11"/>
      <c r="J892" s="11"/>
    </row>
    <row r="893" spans="1:12" x14ac:dyDescent="0.25">
      <c r="A893" s="11"/>
      <c r="B893" s="11"/>
      <c r="C893" s="11"/>
      <c r="D893" s="11"/>
      <c r="E893" s="11"/>
      <c r="F893" s="11"/>
      <c r="G893" s="11"/>
      <c r="H893" s="11"/>
      <c r="I893" s="11"/>
      <c r="J893" s="11"/>
    </row>
    <row r="894" spans="1:12" s="10" customFormat="1" ht="20.100000000000001" customHeight="1" x14ac:dyDescent="0.35">
      <c r="A894" s="12" t="s">
        <v>458</v>
      </c>
      <c r="B894" s="12"/>
      <c r="C894" s="12"/>
      <c r="D894" s="12"/>
      <c r="E894" s="12"/>
      <c r="F894" s="12"/>
      <c r="G894" s="12"/>
      <c r="H894" s="12"/>
      <c r="I894" s="12"/>
      <c r="J894" s="12"/>
    </row>
    <row r="895" spans="1:12" x14ac:dyDescent="0.25">
      <c r="A895" s="11"/>
      <c r="B895" s="11"/>
      <c r="C895" s="11"/>
      <c r="D895" s="11"/>
      <c r="E895" s="11"/>
      <c r="F895" s="11"/>
      <c r="G895" s="11"/>
      <c r="H895" s="11"/>
      <c r="I895" s="11"/>
      <c r="J895" s="11"/>
    </row>
    <row r="896" spans="1:12" ht="30" x14ac:dyDescent="0.25">
      <c r="A896" s="2" t="s">
        <v>5</v>
      </c>
      <c r="B896" s="2" t="s">
        <v>6</v>
      </c>
      <c r="C896" s="2" t="s">
        <v>7</v>
      </c>
      <c r="D896" s="2" t="s">
        <v>8</v>
      </c>
      <c r="E896" s="2" t="s">
        <v>9</v>
      </c>
      <c r="F896" s="2" t="s">
        <v>10</v>
      </c>
      <c r="G896" s="2" t="s">
        <v>11</v>
      </c>
      <c r="H896" s="2" t="s">
        <v>12</v>
      </c>
      <c r="I896" s="2" t="s">
        <v>13</v>
      </c>
      <c r="J896" s="2" t="s">
        <v>14</v>
      </c>
      <c r="K896" s="2" t="s">
        <v>15</v>
      </c>
      <c r="L896" s="2" t="s">
        <v>16</v>
      </c>
    </row>
    <row r="897" spans="1:12" x14ac:dyDescent="0.25">
      <c r="A897" s="3">
        <v>45701.152708333335</v>
      </c>
      <c r="B897" t="s">
        <v>27</v>
      </c>
      <c r="C897" s="3">
        <v>45701.317106481481</v>
      </c>
      <c r="D897" t="s">
        <v>133</v>
      </c>
      <c r="E897" s="4">
        <v>86.203999999999994</v>
      </c>
      <c r="F897" s="4">
        <v>441768.76</v>
      </c>
      <c r="G897" s="4">
        <v>441854.96399999998</v>
      </c>
      <c r="H897" s="5">
        <f>2698 / 86400</f>
        <v>3.1226851851851853E-2</v>
      </c>
      <c r="I897" t="s">
        <v>28</v>
      </c>
      <c r="J897" t="s">
        <v>132</v>
      </c>
      <c r="K897" s="5">
        <f>14204 / 86400</f>
        <v>0.16439814814814815</v>
      </c>
      <c r="L897" s="5">
        <f>16722 / 86400</f>
        <v>0.19354166666666667</v>
      </c>
    </row>
    <row r="898" spans="1:12" x14ac:dyDescent="0.25">
      <c r="A898" s="3">
        <v>45701.357939814814</v>
      </c>
      <c r="B898" t="s">
        <v>133</v>
      </c>
      <c r="C898" s="3">
        <v>45701.361076388886</v>
      </c>
      <c r="D898" t="s">
        <v>131</v>
      </c>
      <c r="E898" s="4">
        <v>7.1999999999999995E-2</v>
      </c>
      <c r="F898" s="4">
        <v>441854.96399999998</v>
      </c>
      <c r="G898" s="4">
        <v>441855.03600000002</v>
      </c>
      <c r="H898" s="5">
        <f>200 / 86400</f>
        <v>2.3148148148148147E-3</v>
      </c>
      <c r="I898" t="s">
        <v>161</v>
      </c>
      <c r="J898" t="s">
        <v>125</v>
      </c>
      <c r="K898" s="5">
        <f>271 / 86400</f>
        <v>3.1365740740740742E-3</v>
      </c>
      <c r="L898" s="5">
        <f>75 / 86400</f>
        <v>8.6805555555555551E-4</v>
      </c>
    </row>
    <row r="899" spans="1:12" x14ac:dyDescent="0.25">
      <c r="A899" s="3">
        <v>45701.361944444448</v>
      </c>
      <c r="B899" t="s">
        <v>131</v>
      </c>
      <c r="C899" s="3">
        <v>45701.484826388885</v>
      </c>
      <c r="D899" t="s">
        <v>378</v>
      </c>
      <c r="E899" s="4">
        <v>50.997</v>
      </c>
      <c r="F899" s="4">
        <v>441855.03600000002</v>
      </c>
      <c r="G899" s="4">
        <v>441906.033</v>
      </c>
      <c r="H899" s="5">
        <f>3260 / 86400</f>
        <v>3.7731481481481484E-2</v>
      </c>
      <c r="I899" t="s">
        <v>55</v>
      </c>
      <c r="J899" t="s">
        <v>20</v>
      </c>
      <c r="K899" s="5">
        <f>10617 / 86400</f>
        <v>0.12288194444444445</v>
      </c>
      <c r="L899" s="5">
        <f>3453 / 86400</f>
        <v>3.996527777777778E-2</v>
      </c>
    </row>
    <row r="900" spans="1:12" x14ac:dyDescent="0.25">
      <c r="A900" s="3">
        <v>45701.52479166667</v>
      </c>
      <c r="B900" t="s">
        <v>378</v>
      </c>
      <c r="C900" s="3">
        <v>45701.688773148147</v>
      </c>
      <c r="D900" t="s">
        <v>165</v>
      </c>
      <c r="E900" s="4">
        <v>67.828000000000003</v>
      </c>
      <c r="F900" s="4">
        <v>441906.033</v>
      </c>
      <c r="G900" s="4">
        <v>441973.86099999998</v>
      </c>
      <c r="H900" s="5">
        <f>4118 / 86400</f>
        <v>4.7662037037037037E-2</v>
      </c>
      <c r="I900" t="s">
        <v>28</v>
      </c>
      <c r="J900" t="s">
        <v>20</v>
      </c>
      <c r="K900" s="5">
        <f>14168 / 86400</f>
        <v>0.16398148148148148</v>
      </c>
      <c r="L900" s="5">
        <f>81 / 86400</f>
        <v>9.3749999999999997E-4</v>
      </c>
    </row>
    <row r="901" spans="1:12" x14ac:dyDescent="0.25">
      <c r="A901" s="3">
        <v>45701.689710648148</v>
      </c>
      <c r="B901" t="s">
        <v>165</v>
      </c>
      <c r="C901" s="3">
        <v>45701.700636574074</v>
      </c>
      <c r="D901" t="s">
        <v>80</v>
      </c>
      <c r="E901" s="4">
        <v>3.55</v>
      </c>
      <c r="F901" s="4">
        <v>441973.86099999998</v>
      </c>
      <c r="G901" s="4">
        <v>441977.41100000002</v>
      </c>
      <c r="H901" s="5">
        <f>200 / 86400</f>
        <v>2.3148148148148147E-3</v>
      </c>
      <c r="I901" t="s">
        <v>253</v>
      </c>
      <c r="J901" t="s">
        <v>43</v>
      </c>
      <c r="K901" s="5">
        <f>943 / 86400</f>
        <v>1.0914351851851852E-2</v>
      </c>
      <c r="L901" s="5">
        <f>2569 / 86400</f>
        <v>2.9733796296296296E-2</v>
      </c>
    </row>
    <row r="902" spans="1:12" x14ac:dyDescent="0.25">
      <c r="A902" s="3">
        <v>45701.730370370366</v>
      </c>
      <c r="B902" t="s">
        <v>199</v>
      </c>
      <c r="C902" s="3">
        <v>45701.747789351852</v>
      </c>
      <c r="D902" t="s">
        <v>27</v>
      </c>
      <c r="E902" s="4">
        <v>5.7</v>
      </c>
      <c r="F902" s="4">
        <v>441977.41100000002</v>
      </c>
      <c r="G902" s="4">
        <v>441983.11099999998</v>
      </c>
      <c r="H902" s="5">
        <f>400 / 86400</f>
        <v>4.6296296296296294E-3</v>
      </c>
      <c r="I902" t="s">
        <v>151</v>
      </c>
      <c r="J902" t="s">
        <v>43</v>
      </c>
      <c r="K902" s="5">
        <f>1505 / 86400</f>
        <v>1.7418981481481483E-2</v>
      </c>
      <c r="L902" s="5">
        <f>21790 / 86400</f>
        <v>0.25219907407407405</v>
      </c>
    </row>
    <row r="903" spans="1:12" x14ac:dyDescent="0.25">
      <c r="A903" s="11"/>
      <c r="B903" s="11"/>
      <c r="C903" s="11"/>
      <c r="D903" s="11"/>
      <c r="E903" s="11"/>
      <c r="F903" s="11"/>
      <c r="G903" s="11"/>
      <c r="H903" s="11"/>
      <c r="I903" s="11"/>
      <c r="J903" s="11"/>
    </row>
    <row r="904" spans="1:12" x14ac:dyDescent="0.25">
      <c r="A904" s="11"/>
      <c r="B904" s="11"/>
      <c r="C904" s="11"/>
      <c r="D904" s="11"/>
      <c r="E904" s="11"/>
      <c r="F904" s="11"/>
      <c r="G904" s="11"/>
      <c r="H904" s="11"/>
      <c r="I904" s="11"/>
      <c r="J904" s="11"/>
    </row>
    <row r="905" spans="1:12" s="10" customFormat="1" ht="20.100000000000001" customHeight="1" x14ac:dyDescent="0.35">
      <c r="A905" s="12" t="s">
        <v>459</v>
      </c>
      <c r="B905" s="12"/>
      <c r="C905" s="12"/>
      <c r="D905" s="12"/>
      <c r="E905" s="12"/>
      <c r="F905" s="12"/>
      <c r="G905" s="12"/>
      <c r="H905" s="12"/>
      <c r="I905" s="12"/>
      <c r="J905" s="12"/>
    </row>
    <row r="906" spans="1:12" x14ac:dyDescent="0.25">
      <c r="A906" s="11"/>
      <c r="B906" s="11"/>
      <c r="C906" s="11"/>
      <c r="D906" s="11"/>
      <c r="E906" s="11"/>
      <c r="F906" s="11"/>
      <c r="G906" s="11"/>
      <c r="H906" s="11"/>
      <c r="I906" s="11"/>
      <c r="J906" s="11"/>
    </row>
    <row r="907" spans="1:12" ht="30" x14ac:dyDescent="0.25">
      <c r="A907" s="2" t="s">
        <v>5</v>
      </c>
      <c r="B907" s="2" t="s">
        <v>6</v>
      </c>
      <c r="C907" s="2" t="s">
        <v>7</v>
      </c>
      <c r="D907" s="2" t="s">
        <v>8</v>
      </c>
      <c r="E907" s="2" t="s">
        <v>9</v>
      </c>
      <c r="F907" s="2" t="s">
        <v>10</v>
      </c>
      <c r="G907" s="2" t="s">
        <v>11</v>
      </c>
      <c r="H907" s="2" t="s">
        <v>12</v>
      </c>
      <c r="I907" s="2" t="s">
        <v>13</v>
      </c>
      <c r="J907" s="2" t="s">
        <v>14</v>
      </c>
      <c r="K907" s="2" t="s">
        <v>15</v>
      </c>
      <c r="L907" s="2" t="s">
        <v>16</v>
      </c>
    </row>
    <row r="908" spans="1:12" x14ac:dyDescent="0.25">
      <c r="A908" s="3">
        <v>45701.308182870373</v>
      </c>
      <c r="B908" t="s">
        <v>85</v>
      </c>
      <c r="C908" s="3">
        <v>45701.312708333338</v>
      </c>
      <c r="D908" t="s">
        <v>85</v>
      </c>
      <c r="E908" s="4">
        <v>7.1999999999999995E-2</v>
      </c>
      <c r="F908" s="4">
        <v>474197.20799999998</v>
      </c>
      <c r="G908" s="4">
        <v>474197.28</v>
      </c>
      <c r="H908" s="5">
        <f>279 / 86400</f>
        <v>3.2291666666666666E-3</v>
      </c>
      <c r="I908" t="s">
        <v>156</v>
      </c>
      <c r="J908" t="s">
        <v>125</v>
      </c>
      <c r="K908" s="5">
        <f>391 / 86400</f>
        <v>4.5254629629629629E-3</v>
      </c>
      <c r="L908" s="5">
        <f>26763 / 86400</f>
        <v>0.30975694444444446</v>
      </c>
    </row>
    <row r="909" spans="1:12" x14ac:dyDescent="0.25">
      <c r="A909" s="3">
        <v>45701.314282407402</v>
      </c>
      <c r="B909" t="s">
        <v>85</v>
      </c>
      <c r="C909" s="3">
        <v>45701.314432870371</v>
      </c>
      <c r="D909" t="s">
        <v>85</v>
      </c>
      <c r="E909" s="4">
        <v>4.0000000000000001E-3</v>
      </c>
      <c r="F909" s="4">
        <v>474197.28</v>
      </c>
      <c r="G909" s="4">
        <v>474197.28399999999</v>
      </c>
      <c r="H909" s="5">
        <f>0 / 86400</f>
        <v>0</v>
      </c>
      <c r="I909" t="s">
        <v>91</v>
      </c>
      <c r="J909" t="s">
        <v>125</v>
      </c>
      <c r="K909" s="5">
        <f>13 / 86400</f>
        <v>1.5046296296296297E-4</v>
      </c>
      <c r="L909" s="5">
        <f>224 / 86400</f>
        <v>2.5925925925925925E-3</v>
      </c>
    </row>
    <row r="910" spans="1:12" x14ac:dyDescent="0.25">
      <c r="A910" s="3">
        <v>45701.317025462966</v>
      </c>
      <c r="B910" t="s">
        <v>85</v>
      </c>
      <c r="C910" s="3">
        <v>45701.541909722218</v>
      </c>
      <c r="D910" t="s">
        <v>158</v>
      </c>
      <c r="E910" s="4">
        <v>93.234999999999999</v>
      </c>
      <c r="F910" s="4">
        <v>474197.28399999999</v>
      </c>
      <c r="G910" s="4">
        <v>474290.51899999997</v>
      </c>
      <c r="H910" s="5">
        <f>6141 / 86400</f>
        <v>7.1076388888888883E-2</v>
      </c>
      <c r="I910" t="s">
        <v>87</v>
      </c>
      <c r="J910" t="s">
        <v>20</v>
      </c>
      <c r="K910" s="5">
        <f>19430 / 86400</f>
        <v>0.22488425925925926</v>
      </c>
      <c r="L910" s="5">
        <f>474 / 86400</f>
        <v>5.4861111111111109E-3</v>
      </c>
    </row>
    <row r="911" spans="1:12" x14ac:dyDescent="0.25">
      <c r="A911" s="3">
        <v>45701.547395833331</v>
      </c>
      <c r="B911" t="s">
        <v>158</v>
      </c>
      <c r="C911" s="3">
        <v>45701.552222222221</v>
      </c>
      <c r="D911" t="s">
        <v>131</v>
      </c>
      <c r="E911" s="4">
        <v>1.365</v>
      </c>
      <c r="F911" s="4">
        <v>474290.51899999997</v>
      </c>
      <c r="G911" s="4">
        <v>474291.88400000002</v>
      </c>
      <c r="H911" s="5">
        <f>60 / 86400</f>
        <v>6.9444444444444447E-4</v>
      </c>
      <c r="I911" t="s">
        <v>294</v>
      </c>
      <c r="J911" t="s">
        <v>120</v>
      </c>
      <c r="K911" s="5">
        <f>417 / 86400</f>
        <v>4.8263888888888887E-3</v>
      </c>
      <c r="L911" s="5">
        <f>69 / 86400</f>
        <v>7.9861111111111116E-4</v>
      </c>
    </row>
    <row r="912" spans="1:12" x14ac:dyDescent="0.25">
      <c r="A912" s="3">
        <v>45701.553020833337</v>
      </c>
      <c r="B912" t="s">
        <v>131</v>
      </c>
      <c r="C912" s="3">
        <v>45701.558368055557</v>
      </c>
      <c r="D912" t="s">
        <v>118</v>
      </c>
      <c r="E912" s="4">
        <v>1.08</v>
      </c>
      <c r="F912" s="4">
        <v>474291.88400000002</v>
      </c>
      <c r="G912" s="4">
        <v>474292.96399999998</v>
      </c>
      <c r="H912" s="5">
        <f>81 / 86400</f>
        <v>9.3749999999999997E-4</v>
      </c>
      <c r="I912" t="s">
        <v>152</v>
      </c>
      <c r="J912" t="s">
        <v>90</v>
      </c>
      <c r="K912" s="5">
        <f>462 / 86400</f>
        <v>5.347222222222222E-3</v>
      </c>
      <c r="L912" s="5">
        <f>1679 / 86400</f>
        <v>1.9432870370370371E-2</v>
      </c>
    </row>
    <row r="913" spans="1:12" x14ac:dyDescent="0.25">
      <c r="A913" s="3">
        <v>45701.577800925923</v>
      </c>
      <c r="B913" t="s">
        <v>118</v>
      </c>
      <c r="C913" s="3">
        <v>45701.582291666666</v>
      </c>
      <c r="D913" t="s">
        <v>144</v>
      </c>
      <c r="E913" s="4">
        <v>1.2889999999999999</v>
      </c>
      <c r="F913" s="4">
        <v>474292.96399999998</v>
      </c>
      <c r="G913" s="4">
        <v>474294.25300000003</v>
      </c>
      <c r="H913" s="5">
        <f>80 / 86400</f>
        <v>9.2592592592592596E-4</v>
      </c>
      <c r="I913" t="s">
        <v>159</v>
      </c>
      <c r="J913" t="s">
        <v>120</v>
      </c>
      <c r="K913" s="5">
        <f>387 / 86400</f>
        <v>4.4791666666666669E-3</v>
      </c>
      <c r="L913" s="5">
        <f>1643 / 86400</f>
        <v>1.9016203703703705E-2</v>
      </c>
    </row>
    <row r="914" spans="1:12" x14ac:dyDescent="0.25">
      <c r="A914" s="3">
        <v>45701.601307870369</v>
      </c>
      <c r="B914" t="s">
        <v>144</v>
      </c>
      <c r="C914" s="3">
        <v>45701.844293981485</v>
      </c>
      <c r="D914" t="s">
        <v>386</v>
      </c>
      <c r="E914" s="4">
        <v>91.096000000000004</v>
      </c>
      <c r="F914" s="4">
        <v>474294.25300000003</v>
      </c>
      <c r="G914" s="4">
        <v>474385.34899999999</v>
      </c>
      <c r="H914" s="5">
        <f>6918 / 86400</f>
        <v>8.0069444444444443E-2</v>
      </c>
      <c r="I914" t="s">
        <v>57</v>
      </c>
      <c r="J914" t="s">
        <v>51</v>
      </c>
      <c r="K914" s="5">
        <f>20993 / 86400</f>
        <v>0.24297453703703703</v>
      </c>
      <c r="L914" s="5">
        <f>469 / 86400</f>
        <v>5.4282407407407404E-3</v>
      </c>
    </row>
    <row r="915" spans="1:12" x14ac:dyDescent="0.25">
      <c r="A915" s="3">
        <v>45701.849722222221</v>
      </c>
      <c r="B915" t="s">
        <v>386</v>
      </c>
      <c r="C915" s="3">
        <v>45701.855312500003</v>
      </c>
      <c r="D915" t="s">
        <v>86</v>
      </c>
      <c r="E915" s="4">
        <v>0.77500000000000002</v>
      </c>
      <c r="F915" s="4">
        <v>474385.34899999999</v>
      </c>
      <c r="G915" s="4">
        <v>474386.12400000001</v>
      </c>
      <c r="H915" s="5">
        <f>219 / 86400</f>
        <v>2.5347222222222221E-3</v>
      </c>
      <c r="I915" t="s">
        <v>76</v>
      </c>
      <c r="J915" t="s">
        <v>156</v>
      </c>
      <c r="K915" s="5">
        <f>483 / 86400</f>
        <v>5.5902777777777773E-3</v>
      </c>
      <c r="L915" s="5">
        <f>12500 / 86400</f>
        <v>0.14467592592592593</v>
      </c>
    </row>
    <row r="916" spans="1:12" x14ac:dyDescent="0.25">
      <c r="A916" s="11"/>
      <c r="B916" s="11"/>
      <c r="C916" s="11"/>
      <c r="D916" s="11"/>
      <c r="E916" s="11"/>
      <c r="F916" s="11"/>
      <c r="G916" s="11"/>
      <c r="H916" s="11"/>
      <c r="I916" s="11"/>
      <c r="J916" s="11"/>
    </row>
    <row r="917" spans="1:12" x14ac:dyDescent="0.25">
      <c r="A917" s="11"/>
      <c r="B917" s="11"/>
      <c r="C917" s="11"/>
      <c r="D917" s="11"/>
      <c r="E917" s="11"/>
      <c r="F917" s="11"/>
      <c r="G917" s="11"/>
      <c r="H917" s="11"/>
      <c r="I917" s="11"/>
      <c r="J917" s="11"/>
    </row>
    <row r="918" spans="1:12" s="10" customFormat="1" ht="20.100000000000001" customHeight="1" x14ac:dyDescent="0.35">
      <c r="A918" s="12" t="s">
        <v>460</v>
      </c>
      <c r="B918" s="12"/>
      <c r="C918" s="12"/>
      <c r="D918" s="12"/>
      <c r="E918" s="12"/>
      <c r="F918" s="12"/>
      <c r="G918" s="12"/>
      <c r="H918" s="12"/>
      <c r="I918" s="12"/>
      <c r="J918" s="12"/>
    </row>
    <row r="919" spans="1:12" x14ac:dyDescent="0.25">
      <c r="A919" s="11"/>
      <c r="B919" s="11"/>
      <c r="C919" s="11"/>
      <c r="D919" s="11"/>
      <c r="E919" s="11"/>
      <c r="F919" s="11"/>
      <c r="G919" s="11"/>
      <c r="H919" s="11"/>
      <c r="I919" s="11"/>
      <c r="J919" s="11"/>
    </row>
    <row r="920" spans="1:12" ht="30" x14ac:dyDescent="0.25">
      <c r="A920" s="2" t="s">
        <v>5</v>
      </c>
      <c r="B920" s="2" t="s">
        <v>6</v>
      </c>
      <c r="C920" s="2" t="s">
        <v>7</v>
      </c>
      <c r="D920" s="2" t="s">
        <v>8</v>
      </c>
      <c r="E920" s="2" t="s">
        <v>9</v>
      </c>
      <c r="F920" s="2" t="s">
        <v>10</v>
      </c>
      <c r="G920" s="2" t="s">
        <v>11</v>
      </c>
      <c r="H920" s="2" t="s">
        <v>12</v>
      </c>
      <c r="I920" s="2" t="s">
        <v>13</v>
      </c>
      <c r="J920" s="2" t="s">
        <v>14</v>
      </c>
      <c r="K920" s="2" t="s">
        <v>15</v>
      </c>
      <c r="L920" s="2" t="s">
        <v>16</v>
      </c>
    </row>
    <row r="921" spans="1:12" x14ac:dyDescent="0.25">
      <c r="A921" s="3">
        <v>45701</v>
      </c>
      <c r="B921" t="s">
        <v>88</v>
      </c>
      <c r="C921" s="3">
        <v>45701.007048611107</v>
      </c>
      <c r="D921" t="s">
        <v>80</v>
      </c>
      <c r="E921" s="4">
        <v>1.413</v>
      </c>
      <c r="F921" s="4">
        <v>413754.73499999999</v>
      </c>
      <c r="G921" s="4">
        <v>413756.14799999999</v>
      </c>
      <c r="H921" s="5">
        <f>420 / 86400</f>
        <v>4.8611111111111112E-3</v>
      </c>
      <c r="I921" t="s">
        <v>182</v>
      </c>
      <c r="J921" t="s">
        <v>90</v>
      </c>
      <c r="K921" s="5">
        <f>609 / 86400</f>
        <v>7.0486111111111114E-3</v>
      </c>
      <c r="L921" s="5">
        <f>614 / 86400</f>
        <v>7.1064814814814819E-3</v>
      </c>
    </row>
    <row r="922" spans="1:12" x14ac:dyDescent="0.25">
      <c r="A922" s="3">
        <v>45701.014155092591</v>
      </c>
      <c r="B922" t="s">
        <v>80</v>
      </c>
      <c r="C922" s="3">
        <v>45701.01457175926</v>
      </c>
      <c r="D922" t="s">
        <v>80</v>
      </c>
      <c r="E922" s="4">
        <v>6.2E-2</v>
      </c>
      <c r="F922" s="4">
        <v>413756.14799999999</v>
      </c>
      <c r="G922" s="4">
        <v>413756.21</v>
      </c>
      <c r="H922" s="5">
        <f>0 / 86400</f>
        <v>0</v>
      </c>
      <c r="I922" t="s">
        <v>149</v>
      </c>
      <c r="J922" t="s">
        <v>156</v>
      </c>
      <c r="K922" s="5">
        <f>36 / 86400</f>
        <v>4.1666666666666669E-4</v>
      </c>
      <c r="L922" s="5">
        <f>2361 / 86400</f>
        <v>2.732638888888889E-2</v>
      </c>
    </row>
    <row r="923" spans="1:12" x14ac:dyDescent="0.25">
      <c r="A923" s="3">
        <v>45701.041898148149</v>
      </c>
      <c r="B923" t="s">
        <v>80</v>
      </c>
      <c r="C923" s="3">
        <v>45701.047743055555</v>
      </c>
      <c r="D923" t="s">
        <v>81</v>
      </c>
      <c r="E923" s="4">
        <v>1.4910000000000001</v>
      </c>
      <c r="F923" s="4">
        <v>413756.21</v>
      </c>
      <c r="G923" s="4">
        <v>413757.701</v>
      </c>
      <c r="H923" s="5">
        <f>139 / 86400</f>
        <v>1.6087962962962963E-3</v>
      </c>
      <c r="I923" t="s">
        <v>152</v>
      </c>
      <c r="J923" t="s">
        <v>149</v>
      </c>
      <c r="K923" s="5">
        <f>505 / 86400</f>
        <v>5.8449074074074072E-3</v>
      </c>
      <c r="L923" s="5">
        <f>1905 / 86400</f>
        <v>2.2048611111111113E-2</v>
      </c>
    </row>
    <row r="924" spans="1:12" x14ac:dyDescent="0.25">
      <c r="A924" s="3">
        <v>45701.069791666669</v>
      </c>
      <c r="B924" t="s">
        <v>81</v>
      </c>
      <c r="C924" s="3">
        <v>45701.07131944444</v>
      </c>
      <c r="D924" t="s">
        <v>81</v>
      </c>
      <c r="E924" s="4">
        <v>2.8000000000000001E-2</v>
      </c>
      <c r="F924" s="4">
        <v>413757.701</v>
      </c>
      <c r="G924" s="4">
        <v>413757.72899999999</v>
      </c>
      <c r="H924" s="5">
        <f>39 / 86400</f>
        <v>4.5138888888888887E-4</v>
      </c>
      <c r="I924" t="s">
        <v>110</v>
      </c>
      <c r="J924" t="s">
        <v>125</v>
      </c>
      <c r="K924" s="5">
        <f>132 / 86400</f>
        <v>1.5277777777777779E-3</v>
      </c>
      <c r="L924" s="5">
        <f>1266 / 86400</f>
        <v>1.4652777777777778E-2</v>
      </c>
    </row>
    <row r="925" spans="1:12" x14ac:dyDescent="0.25">
      <c r="A925" s="3">
        <v>45701.085972222223</v>
      </c>
      <c r="B925" t="s">
        <v>81</v>
      </c>
      <c r="C925" s="3">
        <v>45701.086365740739</v>
      </c>
      <c r="D925" t="s">
        <v>81</v>
      </c>
      <c r="E925" s="4">
        <v>1.7999999999999999E-2</v>
      </c>
      <c r="F925" s="4">
        <v>413757.72899999999</v>
      </c>
      <c r="G925" s="4">
        <v>413757.74699999997</v>
      </c>
      <c r="H925" s="5">
        <f>0 / 86400</f>
        <v>0</v>
      </c>
      <c r="I925" t="s">
        <v>156</v>
      </c>
      <c r="J925" t="s">
        <v>110</v>
      </c>
      <c r="K925" s="5">
        <f>34 / 86400</f>
        <v>3.9351851851851852E-4</v>
      </c>
      <c r="L925" s="5">
        <f>6626 / 86400</f>
        <v>7.6689814814814808E-2</v>
      </c>
    </row>
    <row r="926" spans="1:12" x14ac:dyDescent="0.25">
      <c r="A926" s="3">
        <v>45701.16305555556</v>
      </c>
      <c r="B926" t="s">
        <v>81</v>
      </c>
      <c r="C926" s="3">
        <v>45701.164837962962</v>
      </c>
      <c r="D926" t="s">
        <v>81</v>
      </c>
      <c r="E926" s="4">
        <v>3.2000000000000001E-2</v>
      </c>
      <c r="F926" s="4">
        <v>413757.74699999997</v>
      </c>
      <c r="G926" s="4">
        <v>413757.77899999998</v>
      </c>
      <c r="H926" s="5">
        <f>139 / 86400</f>
        <v>1.6087962962962963E-3</v>
      </c>
      <c r="I926" t="s">
        <v>37</v>
      </c>
      <c r="J926" t="s">
        <v>125</v>
      </c>
      <c r="K926" s="5">
        <f>153 / 86400</f>
        <v>1.7708333333333332E-3</v>
      </c>
      <c r="L926" s="5">
        <f>946 / 86400</f>
        <v>1.0949074074074075E-2</v>
      </c>
    </row>
    <row r="927" spans="1:12" x14ac:dyDescent="0.25">
      <c r="A927" s="3">
        <v>45701.175787037035</v>
      </c>
      <c r="B927" t="s">
        <v>81</v>
      </c>
      <c r="C927" s="3">
        <v>45701.179502314815</v>
      </c>
      <c r="D927" t="s">
        <v>364</v>
      </c>
      <c r="E927" s="4">
        <v>0.75700000000000001</v>
      </c>
      <c r="F927" s="4">
        <v>413757.77899999998</v>
      </c>
      <c r="G927" s="4">
        <v>413758.53600000002</v>
      </c>
      <c r="H927" s="5">
        <f>139 / 86400</f>
        <v>1.6087962962962963E-3</v>
      </c>
      <c r="I927" t="s">
        <v>132</v>
      </c>
      <c r="J927" t="s">
        <v>140</v>
      </c>
      <c r="K927" s="5">
        <f>320 / 86400</f>
        <v>3.7037037037037038E-3</v>
      </c>
      <c r="L927" s="5">
        <f>554 / 86400</f>
        <v>6.4120370370370373E-3</v>
      </c>
    </row>
    <row r="928" spans="1:12" x14ac:dyDescent="0.25">
      <c r="A928" s="3">
        <v>45701.185914351852</v>
      </c>
      <c r="B928" t="s">
        <v>364</v>
      </c>
      <c r="C928" s="3">
        <v>45701.383472222224</v>
      </c>
      <c r="D928" t="s">
        <v>158</v>
      </c>
      <c r="E928" s="4">
        <v>85.56</v>
      </c>
      <c r="F928" s="4">
        <v>413758.53600000002</v>
      </c>
      <c r="G928" s="4">
        <v>413844.09600000002</v>
      </c>
      <c r="H928" s="5">
        <f>4498 / 86400</f>
        <v>5.2060185185185189E-2</v>
      </c>
      <c r="I928" t="s">
        <v>26</v>
      </c>
      <c r="J928" t="s">
        <v>76</v>
      </c>
      <c r="K928" s="5">
        <f>17068 / 86400</f>
        <v>0.1975462962962963</v>
      </c>
      <c r="L928" s="5">
        <f>407 / 86400</f>
        <v>4.7106481481481478E-3</v>
      </c>
    </row>
    <row r="929" spans="1:12" x14ac:dyDescent="0.25">
      <c r="A929" s="3">
        <v>45701.388182870374</v>
      </c>
      <c r="B929" t="s">
        <v>158</v>
      </c>
      <c r="C929" s="3">
        <v>45701.400300925925</v>
      </c>
      <c r="D929" t="s">
        <v>131</v>
      </c>
      <c r="E929" s="4">
        <v>1.298</v>
      </c>
      <c r="F929" s="4">
        <v>413844.09600000002</v>
      </c>
      <c r="G929" s="4">
        <v>413845.39399999997</v>
      </c>
      <c r="H929" s="5">
        <f>659 / 86400</f>
        <v>7.6273148148148151E-3</v>
      </c>
      <c r="I929" t="s">
        <v>127</v>
      </c>
      <c r="J929" t="s">
        <v>177</v>
      </c>
      <c r="K929" s="5">
        <f>1046 / 86400</f>
        <v>1.2106481481481482E-2</v>
      </c>
      <c r="L929" s="5">
        <f>2224 / 86400</f>
        <v>2.5740740740740741E-2</v>
      </c>
    </row>
    <row r="930" spans="1:12" x14ac:dyDescent="0.25">
      <c r="A930" s="3">
        <v>45701.426041666666</v>
      </c>
      <c r="B930" t="s">
        <v>131</v>
      </c>
      <c r="C930" s="3">
        <v>45701.430196759262</v>
      </c>
      <c r="D930" t="s">
        <v>47</v>
      </c>
      <c r="E930" s="4">
        <v>0.85199999999999998</v>
      </c>
      <c r="F930" s="4">
        <v>413845.39399999997</v>
      </c>
      <c r="G930" s="4">
        <v>413846.24599999998</v>
      </c>
      <c r="H930" s="5">
        <f>99 / 86400</f>
        <v>1.1458333333333333E-3</v>
      </c>
      <c r="I930" t="s">
        <v>294</v>
      </c>
      <c r="J930" t="s">
        <v>140</v>
      </c>
      <c r="K930" s="5">
        <f>359 / 86400</f>
        <v>4.1550925925925922E-3</v>
      </c>
      <c r="L930" s="5">
        <f>1420 / 86400</f>
        <v>1.6435185185185185E-2</v>
      </c>
    </row>
    <row r="931" spans="1:12" x14ac:dyDescent="0.25">
      <c r="A931" s="3">
        <v>45701.446631944447</v>
      </c>
      <c r="B931" t="s">
        <v>47</v>
      </c>
      <c r="C931" s="3">
        <v>45701.620046296295</v>
      </c>
      <c r="D931" t="s">
        <v>80</v>
      </c>
      <c r="E931" s="4">
        <v>77.459999999999994</v>
      </c>
      <c r="F931" s="4">
        <v>413846.24599999998</v>
      </c>
      <c r="G931" s="4">
        <v>413923.70600000001</v>
      </c>
      <c r="H931" s="5">
        <f>4640 / 86400</f>
        <v>5.3703703703703705E-2</v>
      </c>
      <c r="I931" t="s">
        <v>40</v>
      </c>
      <c r="J931" t="s">
        <v>23</v>
      </c>
      <c r="K931" s="5">
        <f>14983 / 86400</f>
        <v>0.17341435185185186</v>
      </c>
      <c r="L931" s="5">
        <f>40 / 86400</f>
        <v>4.6296296296296298E-4</v>
      </c>
    </row>
    <row r="932" spans="1:12" x14ac:dyDescent="0.25">
      <c r="A932" s="3">
        <v>45701.620509259257</v>
      </c>
      <c r="B932" t="s">
        <v>80</v>
      </c>
      <c r="C932" s="3">
        <v>45701.621076388888</v>
      </c>
      <c r="D932" t="s">
        <v>80</v>
      </c>
      <c r="E932" s="4">
        <v>6.3E-2</v>
      </c>
      <c r="F932" s="4">
        <v>413923.70600000001</v>
      </c>
      <c r="G932" s="4">
        <v>413923.76899999997</v>
      </c>
      <c r="H932" s="5">
        <f>0 / 86400</f>
        <v>0</v>
      </c>
      <c r="I932" t="s">
        <v>140</v>
      </c>
      <c r="J932" t="s">
        <v>37</v>
      </c>
      <c r="K932" s="5">
        <f>49 / 86400</f>
        <v>5.6712962962962967E-4</v>
      </c>
      <c r="L932" s="5">
        <f>668 / 86400</f>
        <v>7.7314814814814815E-3</v>
      </c>
    </row>
    <row r="933" spans="1:12" x14ac:dyDescent="0.25">
      <c r="A933" s="3">
        <v>45701.628807870366</v>
      </c>
      <c r="B933" t="s">
        <v>80</v>
      </c>
      <c r="C933" s="3">
        <v>45701.634583333333</v>
      </c>
      <c r="D933" t="s">
        <v>81</v>
      </c>
      <c r="E933" s="4">
        <v>1.7629999999999999</v>
      </c>
      <c r="F933" s="4">
        <v>413923.76899999997</v>
      </c>
      <c r="G933" s="4">
        <v>413925.53200000001</v>
      </c>
      <c r="H933" s="5">
        <f>119 / 86400</f>
        <v>1.3773148148148147E-3</v>
      </c>
      <c r="I933" t="s">
        <v>231</v>
      </c>
      <c r="J933" t="s">
        <v>58</v>
      </c>
      <c r="K933" s="5">
        <f>499 / 86400</f>
        <v>5.7754629629629631E-3</v>
      </c>
      <c r="L933" s="5">
        <f>386 / 86400</f>
        <v>4.4675925925925924E-3</v>
      </c>
    </row>
    <row r="934" spans="1:12" x14ac:dyDescent="0.25">
      <c r="A934" s="3">
        <v>45701.639050925922</v>
      </c>
      <c r="B934" t="s">
        <v>81</v>
      </c>
      <c r="C934" s="3">
        <v>45701.741099537037</v>
      </c>
      <c r="D934" t="s">
        <v>187</v>
      </c>
      <c r="E934" s="4">
        <v>50.457999999999998</v>
      </c>
      <c r="F934" s="4">
        <v>413925.53200000001</v>
      </c>
      <c r="G934" s="4">
        <v>413975.99</v>
      </c>
      <c r="H934" s="5">
        <f>2900 / 86400</f>
        <v>3.3564814814814818E-2</v>
      </c>
      <c r="I934" t="s">
        <v>46</v>
      </c>
      <c r="J934" t="s">
        <v>74</v>
      </c>
      <c r="K934" s="5">
        <f>8816 / 86400</f>
        <v>0.10203703703703704</v>
      </c>
      <c r="L934" s="5">
        <f>75 / 86400</f>
        <v>8.6805555555555551E-4</v>
      </c>
    </row>
    <row r="935" spans="1:12" x14ac:dyDescent="0.25">
      <c r="A935" s="3">
        <v>45701.741967592592</v>
      </c>
      <c r="B935" t="s">
        <v>187</v>
      </c>
      <c r="C935" s="3">
        <v>45701.981932870374</v>
      </c>
      <c r="D935" t="s">
        <v>80</v>
      </c>
      <c r="E935" s="4">
        <v>105.137</v>
      </c>
      <c r="F935" s="4">
        <v>413975.99</v>
      </c>
      <c r="G935" s="4">
        <v>414081.12699999998</v>
      </c>
      <c r="H935" s="5">
        <f>7280 / 86400</f>
        <v>8.4259259259259256E-2</v>
      </c>
      <c r="I935" t="s">
        <v>19</v>
      </c>
      <c r="J935" t="s">
        <v>76</v>
      </c>
      <c r="K935" s="5">
        <f>20732 / 86400</f>
        <v>0.2399537037037037</v>
      </c>
      <c r="L935" s="5">
        <f>549 / 86400</f>
        <v>6.3541666666666668E-3</v>
      </c>
    </row>
    <row r="936" spans="1:12" x14ac:dyDescent="0.25">
      <c r="A936" s="3">
        <v>45701.988287037035</v>
      </c>
      <c r="B936" t="s">
        <v>80</v>
      </c>
      <c r="C936" s="3">
        <v>45701.988703703704</v>
      </c>
      <c r="D936" t="s">
        <v>80</v>
      </c>
      <c r="E936" s="4">
        <v>5.8000000000000003E-2</v>
      </c>
      <c r="F936" s="4">
        <v>414081.12699999998</v>
      </c>
      <c r="G936" s="4">
        <v>414081.185</v>
      </c>
      <c r="H936" s="5">
        <f>0 / 86400</f>
        <v>0</v>
      </c>
      <c r="I936" t="s">
        <v>128</v>
      </c>
      <c r="J936" t="s">
        <v>156</v>
      </c>
      <c r="K936" s="5">
        <f>35 / 86400</f>
        <v>4.0509259259259258E-4</v>
      </c>
      <c r="L936" s="5">
        <f>975 / 86400</f>
        <v>1.1284722222222222E-2</v>
      </c>
    </row>
    <row r="937" spans="1:12" x14ac:dyDescent="0.25">
      <c r="A937" s="11"/>
      <c r="B937" s="11"/>
      <c r="C937" s="11"/>
      <c r="D937" s="11"/>
      <c r="E937" s="11"/>
      <c r="F937" s="11"/>
      <c r="G937" s="11"/>
      <c r="H937" s="11"/>
      <c r="I937" s="11"/>
      <c r="J937" s="11"/>
    </row>
    <row r="938" spans="1:12" x14ac:dyDescent="0.25">
      <c r="A938" s="11"/>
      <c r="B938" s="11"/>
      <c r="C938" s="11"/>
      <c r="D938" s="11"/>
      <c r="E938" s="11"/>
      <c r="F938" s="11"/>
      <c r="G938" s="11"/>
      <c r="H938" s="11"/>
      <c r="I938" s="11"/>
      <c r="J938" s="11"/>
    </row>
    <row r="939" spans="1:12" s="10" customFormat="1" ht="20.100000000000001" customHeight="1" x14ac:dyDescent="0.35">
      <c r="A939" s="12" t="s">
        <v>461</v>
      </c>
      <c r="B939" s="12"/>
      <c r="C939" s="12"/>
      <c r="D939" s="12"/>
      <c r="E939" s="12"/>
      <c r="F939" s="12"/>
      <c r="G939" s="12"/>
      <c r="H939" s="12"/>
      <c r="I939" s="12"/>
      <c r="J939" s="12"/>
    </row>
    <row r="940" spans="1:12" x14ac:dyDescent="0.25">
      <c r="A940" s="11"/>
      <c r="B940" s="11"/>
      <c r="C940" s="11"/>
      <c r="D940" s="11"/>
      <c r="E940" s="11"/>
      <c r="F940" s="11"/>
      <c r="G940" s="11"/>
      <c r="H940" s="11"/>
      <c r="I940" s="11"/>
      <c r="J940" s="11"/>
    </row>
    <row r="941" spans="1:12" ht="30" x14ac:dyDescent="0.25">
      <c r="A941" s="2" t="s">
        <v>5</v>
      </c>
      <c r="B941" s="2" t="s">
        <v>6</v>
      </c>
      <c r="C941" s="2" t="s">
        <v>7</v>
      </c>
      <c r="D941" s="2" t="s">
        <v>8</v>
      </c>
      <c r="E941" s="2" t="s">
        <v>9</v>
      </c>
      <c r="F941" s="2" t="s">
        <v>10</v>
      </c>
      <c r="G941" s="2" t="s">
        <v>11</v>
      </c>
      <c r="H941" s="2" t="s">
        <v>12</v>
      </c>
      <c r="I941" s="2" t="s">
        <v>13</v>
      </c>
      <c r="J941" s="2" t="s">
        <v>14</v>
      </c>
      <c r="K941" s="2" t="s">
        <v>15</v>
      </c>
      <c r="L941" s="2" t="s">
        <v>16</v>
      </c>
    </row>
    <row r="942" spans="1:12" x14ac:dyDescent="0.25">
      <c r="A942" s="3">
        <v>45701.175821759258</v>
      </c>
      <c r="B942" t="s">
        <v>27</v>
      </c>
      <c r="C942" s="3">
        <v>45701.176678240736</v>
      </c>
      <c r="D942" t="s">
        <v>27</v>
      </c>
      <c r="E942" s="4">
        <v>8.9999999999999993E-3</v>
      </c>
      <c r="F942" s="4">
        <v>327890.76799999998</v>
      </c>
      <c r="G942" s="4">
        <v>327890.777</v>
      </c>
      <c r="H942" s="5">
        <f>19 / 86400</f>
        <v>2.199074074074074E-4</v>
      </c>
      <c r="I942" t="s">
        <v>124</v>
      </c>
      <c r="J942" t="s">
        <v>91</v>
      </c>
      <c r="K942" s="5">
        <f>74 / 86400</f>
        <v>8.564814814814815E-4</v>
      </c>
      <c r="L942" s="5">
        <f>15267 / 86400</f>
        <v>0.17670138888888889</v>
      </c>
    </row>
    <row r="943" spans="1:12" x14ac:dyDescent="0.25">
      <c r="A943" s="3">
        <v>45701.177557870367</v>
      </c>
      <c r="B943" t="s">
        <v>27</v>
      </c>
      <c r="C943" s="3">
        <v>45701.332627314812</v>
      </c>
      <c r="D943" t="s">
        <v>158</v>
      </c>
      <c r="E943" s="4">
        <v>81.978999999999999</v>
      </c>
      <c r="F943" s="4">
        <v>327890.777</v>
      </c>
      <c r="G943" s="4">
        <v>327972.75599999999</v>
      </c>
      <c r="H943" s="5">
        <f>2401 / 86400</f>
        <v>2.7789351851851853E-2</v>
      </c>
      <c r="I943" t="s">
        <v>32</v>
      </c>
      <c r="J943" t="s">
        <v>132</v>
      </c>
      <c r="K943" s="5">
        <f>13397 / 86400</f>
        <v>0.15505787037037036</v>
      </c>
      <c r="L943" s="5">
        <f>659 / 86400</f>
        <v>7.6273148148148151E-3</v>
      </c>
    </row>
    <row r="944" spans="1:12" x14ac:dyDescent="0.25">
      <c r="A944" s="3">
        <v>45701.340254629627</v>
      </c>
      <c r="B944" t="s">
        <v>158</v>
      </c>
      <c r="C944" s="3">
        <v>45701.34337962963</v>
      </c>
      <c r="D944" t="s">
        <v>118</v>
      </c>
      <c r="E944" s="4">
        <v>0.95399999999999996</v>
      </c>
      <c r="F944" s="4">
        <v>327972.75599999999</v>
      </c>
      <c r="G944" s="4">
        <v>327973.71000000002</v>
      </c>
      <c r="H944" s="5">
        <f>59 / 86400</f>
        <v>6.8287037037037036E-4</v>
      </c>
      <c r="I944" t="s">
        <v>169</v>
      </c>
      <c r="J944" t="s">
        <v>58</v>
      </c>
      <c r="K944" s="5">
        <f>269 / 86400</f>
        <v>3.1134259259259257E-3</v>
      </c>
      <c r="L944" s="5">
        <f>2850 / 86400</f>
        <v>3.2986111111111112E-2</v>
      </c>
    </row>
    <row r="945" spans="1:12" x14ac:dyDescent="0.25">
      <c r="A945" s="3">
        <v>45701.37636574074</v>
      </c>
      <c r="B945" t="s">
        <v>118</v>
      </c>
      <c r="C945" s="3">
        <v>45701.380405092597</v>
      </c>
      <c r="D945" t="s">
        <v>131</v>
      </c>
      <c r="E945" s="4">
        <v>1.1080000000000001</v>
      </c>
      <c r="F945" s="4">
        <v>327973.71000000002</v>
      </c>
      <c r="G945" s="4">
        <v>327974.81800000003</v>
      </c>
      <c r="H945" s="5">
        <f>20 / 86400</f>
        <v>2.3148148148148149E-4</v>
      </c>
      <c r="I945" t="s">
        <v>132</v>
      </c>
      <c r="J945" t="s">
        <v>149</v>
      </c>
      <c r="K945" s="5">
        <f>348 / 86400</f>
        <v>4.0277777777777777E-3</v>
      </c>
      <c r="L945" s="5">
        <f>3480 / 86400</f>
        <v>4.027777777777778E-2</v>
      </c>
    </row>
    <row r="946" spans="1:12" x14ac:dyDescent="0.25">
      <c r="A946" s="3">
        <v>45701.420682870375</v>
      </c>
      <c r="B946" t="s">
        <v>131</v>
      </c>
      <c r="C946" s="3">
        <v>45701.53738425926</v>
      </c>
      <c r="D946" t="s">
        <v>402</v>
      </c>
      <c r="E946" s="4">
        <v>51.741</v>
      </c>
      <c r="F946" s="4">
        <v>327974.81800000003</v>
      </c>
      <c r="G946" s="4">
        <v>328026.55900000001</v>
      </c>
      <c r="H946" s="5">
        <f>2300 / 86400</f>
        <v>2.6620370370370371E-2</v>
      </c>
      <c r="I946" t="s">
        <v>33</v>
      </c>
      <c r="J946" t="s">
        <v>76</v>
      </c>
      <c r="K946" s="5">
        <f>10083 / 86400</f>
        <v>0.11670138888888888</v>
      </c>
      <c r="L946" s="5">
        <f>995 / 86400</f>
        <v>1.1516203703703704E-2</v>
      </c>
    </row>
    <row r="947" spans="1:12" x14ac:dyDescent="0.25">
      <c r="A947" s="3">
        <v>45701.548900462964</v>
      </c>
      <c r="B947" t="s">
        <v>402</v>
      </c>
      <c r="C947" s="3">
        <v>45701.663460648153</v>
      </c>
      <c r="D947" t="s">
        <v>82</v>
      </c>
      <c r="E947" s="4">
        <v>45.906999999999996</v>
      </c>
      <c r="F947" s="4">
        <v>328026.55900000001</v>
      </c>
      <c r="G947" s="4">
        <v>328072.46600000001</v>
      </c>
      <c r="H947" s="5">
        <f>3125 / 86400</f>
        <v>3.6168981481481483E-2</v>
      </c>
      <c r="I947" t="s">
        <v>200</v>
      </c>
      <c r="J947" t="s">
        <v>20</v>
      </c>
      <c r="K947" s="5">
        <f>9897 / 86400</f>
        <v>0.11454861111111111</v>
      </c>
      <c r="L947" s="5">
        <f>951 / 86400</f>
        <v>1.1006944444444444E-2</v>
      </c>
    </row>
    <row r="948" spans="1:12" x14ac:dyDescent="0.25">
      <c r="A948" s="3">
        <v>45701.674467592587</v>
      </c>
      <c r="B948" t="s">
        <v>82</v>
      </c>
      <c r="C948" s="3">
        <v>45701.716967592598</v>
      </c>
      <c r="D948" t="s">
        <v>24</v>
      </c>
      <c r="E948" s="4">
        <v>23.064</v>
      </c>
      <c r="F948" s="4">
        <v>328072.46600000001</v>
      </c>
      <c r="G948" s="4">
        <v>328095.53000000003</v>
      </c>
      <c r="H948" s="5">
        <f>620 / 86400</f>
        <v>7.1759259259259259E-3</v>
      </c>
      <c r="I948" t="s">
        <v>60</v>
      </c>
      <c r="J948" t="s">
        <v>152</v>
      </c>
      <c r="K948" s="5">
        <f>3671 / 86400</f>
        <v>4.2488425925925923E-2</v>
      </c>
      <c r="L948" s="5">
        <f>210 / 86400</f>
        <v>2.4305555555555556E-3</v>
      </c>
    </row>
    <row r="949" spans="1:12" x14ac:dyDescent="0.25">
      <c r="A949" s="3">
        <v>45701.719398148147</v>
      </c>
      <c r="B949" t="s">
        <v>24</v>
      </c>
      <c r="C949" s="3">
        <v>45701.721863425926</v>
      </c>
      <c r="D949" t="s">
        <v>27</v>
      </c>
      <c r="E949" s="4">
        <v>0.496</v>
      </c>
      <c r="F949" s="4">
        <v>328095.53000000003</v>
      </c>
      <c r="G949" s="4">
        <v>328096.02600000001</v>
      </c>
      <c r="H949" s="5">
        <f>0 / 86400</f>
        <v>0</v>
      </c>
      <c r="I949" t="s">
        <v>58</v>
      </c>
      <c r="J949" t="s">
        <v>90</v>
      </c>
      <c r="K949" s="5">
        <f>213 / 86400</f>
        <v>2.4652777777777776E-3</v>
      </c>
      <c r="L949" s="5">
        <f>863 / 86400</f>
        <v>9.9884259259259266E-3</v>
      </c>
    </row>
    <row r="950" spans="1:12" x14ac:dyDescent="0.25">
      <c r="A950" s="3">
        <v>45701.731851851851</v>
      </c>
      <c r="B950" t="s">
        <v>27</v>
      </c>
      <c r="C950" s="3">
        <v>45701.732442129629</v>
      </c>
      <c r="D950" t="s">
        <v>27</v>
      </c>
      <c r="E950" s="4">
        <v>3.4000000000000002E-2</v>
      </c>
      <c r="F950" s="4">
        <v>328096.02600000001</v>
      </c>
      <c r="G950" s="4">
        <v>328096.06</v>
      </c>
      <c r="H950" s="5">
        <f>0 / 86400</f>
        <v>0</v>
      </c>
      <c r="I950" t="s">
        <v>37</v>
      </c>
      <c r="J950" t="s">
        <v>110</v>
      </c>
      <c r="K950" s="5">
        <f>51 / 86400</f>
        <v>5.9027777777777778E-4</v>
      </c>
      <c r="L950" s="5">
        <f>23116 / 86400</f>
        <v>0.26754629629629628</v>
      </c>
    </row>
    <row r="951" spans="1:12" x14ac:dyDescent="0.25">
      <c r="A951" s="11"/>
      <c r="B951" s="11"/>
      <c r="C951" s="11"/>
      <c r="D951" s="11"/>
      <c r="E951" s="11"/>
      <c r="F951" s="11"/>
      <c r="G951" s="11"/>
      <c r="H951" s="11"/>
      <c r="I951" s="11"/>
      <c r="J951" s="11"/>
    </row>
    <row r="952" spans="1:12" x14ac:dyDescent="0.25">
      <c r="A952" s="11"/>
      <c r="B952" s="11"/>
      <c r="C952" s="11"/>
      <c r="D952" s="11"/>
      <c r="E952" s="11"/>
      <c r="F952" s="11"/>
      <c r="G952" s="11"/>
      <c r="H952" s="11"/>
      <c r="I952" s="11"/>
      <c r="J952" s="11"/>
    </row>
    <row r="953" spans="1:12" s="10" customFormat="1" ht="20.100000000000001" customHeight="1" x14ac:dyDescent="0.35">
      <c r="A953" s="12" t="s">
        <v>462</v>
      </c>
      <c r="B953" s="12"/>
      <c r="C953" s="12"/>
      <c r="D953" s="12"/>
      <c r="E953" s="12"/>
      <c r="F953" s="12"/>
      <c r="G953" s="12"/>
      <c r="H953" s="12"/>
      <c r="I953" s="12"/>
      <c r="J953" s="12"/>
    </row>
    <row r="954" spans="1:12" x14ac:dyDescent="0.25">
      <c r="A954" s="11"/>
      <c r="B954" s="11"/>
      <c r="C954" s="11"/>
      <c r="D954" s="11"/>
      <c r="E954" s="11"/>
      <c r="F954" s="11"/>
      <c r="G954" s="11"/>
      <c r="H954" s="11"/>
      <c r="I954" s="11"/>
      <c r="J954" s="11"/>
    </row>
    <row r="955" spans="1:12" ht="30" x14ac:dyDescent="0.25">
      <c r="A955" s="2" t="s">
        <v>5</v>
      </c>
      <c r="B955" s="2" t="s">
        <v>6</v>
      </c>
      <c r="C955" s="2" t="s">
        <v>7</v>
      </c>
      <c r="D955" s="2" t="s">
        <v>8</v>
      </c>
      <c r="E955" s="2" t="s">
        <v>9</v>
      </c>
      <c r="F955" s="2" t="s">
        <v>10</v>
      </c>
      <c r="G955" s="2" t="s">
        <v>11</v>
      </c>
      <c r="H955" s="2" t="s">
        <v>12</v>
      </c>
      <c r="I955" s="2" t="s">
        <v>13</v>
      </c>
      <c r="J955" s="2" t="s">
        <v>14</v>
      </c>
      <c r="K955" s="2" t="s">
        <v>15</v>
      </c>
      <c r="L955" s="2" t="s">
        <v>16</v>
      </c>
    </row>
    <row r="956" spans="1:12" x14ac:dyDescent="0.25">
      <c r="A956" s="3">
        <v>45701.340798611112</v>
      </c>
      <c r="B956" t="s">
        <v>89</v>
      </c>
      <c r="C956" s="3">
        <v>45701.3512037037</v>
      </c>
      <c r="D956" t="s">
        <v>89</v>
      </c>
      <c r="E956" s="4">
        <v>8.5999999999999993E-2</v>
      </c>
      <c r="F956" s="4">
        <v>81594.293999999994</v>
      </c>
      <c r="G956" s="4">
        <v>81594.38</v>
      </c>
      <c r="H956" s="5">
        <f>839 / 86400</f>
        <v>9.7106481481481488E-3</v>
      </c>
      <c r="I956" t="s">
        <v>90</v>
      </c>
      <c r="J956" t="s">
        <v>91</v>
      </c>
      <c r="K956" s="5">
        <f>898 / 86400</f>
        <v>1.0393518518518519E-2</v>
      </c>
      <c r="L956" s="5">
        <f>29703 / 86400</f>
        <v>0.34378472222222223</v>
      </c>
    </row>
    <row r="957" spans="1:12" x14ac:dyDescent="0.25">
      <c r="A957" s="3">
        <v>45701.354189814811</v>
      </c>
      <c r="B957" t="s">
        <v>89</v>
      </c>
      <c r="C957" s="3">
        <v>45701.360046296293</v>
      </c>
      <c r="D957" t="s">
        <v>89</v>
      </c>
      <c r="E957" s="4">
        <v>0</v>
      </c>
      <c r="F957" s="4">
        <v>81594.38</v>
      </c>
      <c r="G957" s="4">
        <v>81594.38</v>
      </c>
      <c r="H957" s="5">
        <f>499 / 86400</f>
        <v>5.7754629629629631E-3</v>
      </c>
      <c r="I957" t="s">
        <v>91</v>
      </c>
      <c r="J957" t="s">
        <v>91</v>
      </c>
      <c r="K957" s="5">
        <f>506 / 86400</f>
        <v>5.8564814814814816E-3</v>
      </c>
      <c r="L957" s="5">
        <f>76 / 86400</f>
        <v>8.7962962962962962E-4</v>
      </c>
    </row>
    <row r="958" spans="1:12" x14ac:dyDescent="0.25">
      <c r="A958" s="3">
        <v>45701.360925925925</v>
      </c>
      <c r="B958" t="s">
        <v>89</v>
      </c>
      <c r="C958" s="3">
        <v>45701.363865740743</v>
      </c>
      <c r="D958" t="s">
        <v>89</v>
      </c>
      <c r="E958" s="4">
        <v>0</v>
      </c>
      <c r="F958" s="4">
        <v>81594.38</v>
      </c>
      <c r="G958" s="4">
        <v>81594.38</v>
      </c>
      <c r="H958" s="5">
        <f>239 / 86400</f>
        <v>2.7662037037037039E-3</v>
      </c>
      <c r="I958" t="s">
        <v>91</v>
      </c>
      <c r="J958" t="s">
        <v>91</v>
      </c>
      <c r="K958" s="5">
        <f>253 / 86400</f>
        <v>2.9282407407407408E-3</v>
      </c>
      <c r="L958" s="5">
        <f>374 / 86400</f>
        <v>4.3287037037037035E-3</v>
      </c>
    </row>
    <row r="959" spans="1:12" x14ac:dyDescent="0.25">
      <c r="A959" s="3">
        <v>45701.36819444444</v>
      </c>
      <c r="B959" t="s">
        <v>89</v>
      </c>
      <c r="C959" s="3">
        <v>45701.369837962964</v>
      </c>
      <c r="D959" t="s">
        <v>89</v>
      </c>
      <c r="E959" s="4">
        <v>0</v>
      </c>
      <c r="F959" s="4">
        <v>81594.38</v>
      </c>
      <c r="G959" s="4">
        <v>81594.38</v>
      </c>
      <c r="H959" s="5">
        <f>139 / 86400</f>
        <v>1.6087962962962963E-3</v>
      </c>
      <c r="I959" t="s">
        <v>91</v>
      </c>
      <c r="J959" t="s">
        <v>91</v>
      </c>
      <c r="K959" s="5">
        <f>142 / 86400</f>
        <v>1.6435185185185185E-3</v>
      </c>
      <c r="L959" s="5">
        <f>31525 / 86400</f>
        <v>0.36487268518518517</v>
      </c>
    </row>
    <row r="960" spans="1:12" x14ac:dyDescent="0.25">
      <c r="A960" s="3">
        <v>45701.734710648147</v>
      </c>
      <c r="B960" t="s">
        <v>89</v>
      </c>
      <c r="C960" s="3">
        <v>45701.734930555554</v>
      </c>
      <c r="D960" t="s">
        <v>89</v>
      </c>
      <c r="E960" s="4">
        <v>0</v>
      </c>
      <c r="F960" s="4">
        <v>81594.38</v>
      </c>
      <c r="G960" s="4">
        <v>81594.38</v>
      </c>
      <c r="H960" s="5">
        <f>0 / 86400</f>
        <v>0</v>
      </c>
      <c r="I960" t="s">
        <v>91</v>
      </c>
      <c r="J960" t="s">
        <v>91</v>
      </c>
      <c r="K960" s="5">
        <f>19 / 86400</f>
        <v>2.199074074074074E-4</v>
      </c>
      <c r="L960" s="5">
        <f>2017 / 86400</f>
        <v>2.3344907407407408E-2</v>
      </c>
    </row>
    <row r="961" spans="1:12" x14ac:dyDescent="0.25">
      <c r="A961" s="3">
        <v>45701.758275462962</v>
      </c>
      <c r="B961" t="s">
        <v>89</v>
      </c>
      <c r="C961" s="3">
        <v>45701.797685185185</v>
      </c>
      <c r="D961" t="s">
        <v>89</v>
      </c>
      <c r="E961" s="4">
        <v>8.6999999999999994E-2</v>
      </c>
      <c r="F961" s="4">
        <v>81594.38</v>
      </c>
      <c r="G961" s="4">
        <v>81594.467000000004</v>
      </c>
      <c r="H961" s="5">
        <f>3339 / 86400</f>
        <v>3.8645833333333331E-2</v>
      </c>
      <c r="I961" t="s">
        <v>90</v>
      </c>
      <c r="J961" t="s">
        <v>91</v>
      </c>
      <c r="K961" s="5">
        <f>3405 / 86400</f>
        <v>3.9409722222222221E-2</v>
      </c>
      <c r="L961" s="5">
        <f>8232 / 86400</f>
        <v>9.5277777777777781E-2</v>
      </c>
    </row>
    <row r="962" spans="1:12" x14ac:dyDescent="0.25">
      <c r="A962" s="3">
        <v>45701.892962962964</v>
      </c>
      <c r="B962" t="s">
        <v>89</v>
      </c>
      <c r="C962" s="3">
        <v>45701.895902777775</v>
      </c>
      <c r="D962" t="s">
        <v>89</v>
      </c>
      <c r="E962" s="4">
        <v>0.10299999999999999</v>
      </c>
      <c r="F962" s="4">
        <v>81594.467000000004</v>
      </c>
      <c r="G962" s="4">
        <v>81594.570000000007</v>
      </c>
      <c r="H962" s="5">
        <f>159 / 86400</f>
        <v>1.8402777777777777E-3</v>
      </c>
      <c r="I962" t="s">
        <v>161</v>
      </c>
      <c r="J962" t="s">
        <v>125</v>
      </c>
      <c r="K962" s="5">
        <f>254 / 86400</f>
        <v>2.9398148148148148E-3</v>
      </c>
      <c r="L962" s="5">
        <f>8993 / 86400</f>
        <v>0.10408564814814815</v>
      </c>
    </row>
    <row r="963" spans="1:12" x14ac:dyDescent="0.25">
      <c r="A963" s="11"/>
      <c r="B963" s="11"/>
      <c r="C963" s="11"/>
      <c r="D963" s="11"/>
      <c r="E963" s="11"/>
      <c r="F963" s="11"/>
      <c r="G963" s="11"/>
      <c r="H963" s="11"/>
      <c r="I963" s="11"/>
      <c r="J963" s="11"/>
    </row>
    <row r="964" spans="1:12" x14ac:dyDescent="0.25">
      <c r="A964" s="11"/>
      <c r="B964" s="11"/>
      <c r="C964" s="11"/>
      <c r="D964" s="11"/>
      <c r="E964" s="11"/>
      <c r="F964" s="11"/>
      <c r="G964" s="11"/>
      <c r="H964" s="11"/>
      <c r="I964" s="11"/>
      <c r="J964" s="11"/>
    </row>
    <row r="965" spans="1:12" s="10" customFormat="1" ht="20.100000000000001" customHeight="1" x14ac:dyDescent="0.35">
      <c r="A965" s="12" t="s">
        <v>463</v>
      </c>
      <c r="B965" s="12"/>
      <c r="C965" s="12"/>
      <c r="D965" s="12"/>
      <c r="E965" s="12"/>
      <c r="F965" s="12"/>
      <c r="G965" s="12"/>
      <c r="H965" s="12"/>
      <c r="I965" s="12"/>
      <c r="J965" s="12"/>
    </row>
    <row r="966" spans="1:12" x14ac:dyDescent="0.25">
      <c r="A966" s="11"/>
      <c r="B966" s="11"/>
      <c r="C966" s="11"/>
      <c r="D966" s="11"/>
      <c r="E966" s="11"/>
      <c r="F966" s="11"/>
      <c r="G966" s="11"/>
      <c r="H966" s="11"/>
      <c r="I966" s="11"/>
      <c r="J966" s="11"/>
    </row>
    <row r="967" spans="1:12" ht="30" x14ac:dyDescent="0.25">
      <c r="A967" s="2" t="s">
        <v>5</v>
      </c>
      <c r="B967" s="2" t="s">
        <v>6</v>
      </c>
      <c r="C967" s="2" t="s">
        <v>7</v>
      </c>
      <c r="D967" s="2" t="s">
        <v>8</v>
      </c>
      <c r="E967" s="2" t="s">
        <v>9</v>
      </c>
      <c r="F967" s="2" t="s">
        <v>10</v>
      </c>
      <c r="G967" s="2" t="s">
        <v>11</v>
      </c>
      <c r="H967" s="2" t="s">
        <v>12</v>
      </c>
      <c r="I967" s="2" t="s">
        <v>13</v>
      </c>
      <c r="J967" s="2" t="s">
        <v>14</v>
      </c>
      <c r="K967" s="2" t="s">
        <v>15</v>
      </c>
      <c r="L967" s="2" t="s">
        <v>16</v>
      </c>
    </row>
    <row r="968" spans="1:12" x14ac:dyDescent="0.25">
      <c r="A968" s="3">
        <v>45701.211261574077</v>
      </c>
      <c r="B968" t="s">
        <v>38</v>
      </c>
      <c r="C968" s="3">
        <v>45701.216817129629</v>
      </c>
      <c r="D968" t="s">
        <v>374</v>
      </c>
      <c r="E968" s="4">
        <v>0.64200000000000002</v>
      </c>
      <c r="F968" s="4">
        <v>469634.10100000002</v>
      </c>
      <c r="G968" s="4">
        <v>469634.74300000002</v>
      </c>
      <c r="H968" s="5">
        <f>279 / 86400</f>
        <v>3.2291666666666666E-3</v>
      </c>
      <c r="I968" t="s">
        <v>135</v>
      </c>
      <c r="J968" t="s">
        <v>37</v>
      </c>
      <c r="K968" s="5">
        <f>479 / 86400</f>
        <v>5.5439814814814813E-3</v>
      </c>
      <c r="L968" s="5">
        <f>18386 / 86400</f>
        <v>0.21280092592592592</v>
      </c>
    </row>
    <row r="969" spans="1:12" x14ac:dyDescent="0.25">
      <c r="A969" s="3">
        <v>45701.218356481477</v>
      </c>
      <c r="B969" t="s">
        <v>374</v>
      </c>
      <c r="C969" s="3">
        <v>45701.390868055554</v>
      </c>
      <c r="D969" t="s">
        <v>119</v>
      </c>
      <c r="E969" s="4">
        <v>62.392000000000003</v>
      </c>
      <c r="F969" s="4">
        <v>469634.74300000002</v>
      </c>
      <c r="G969" s="4">
        <v>469697.13500000001</v>
      </c>
      <c r="H969" s="5">
        <f>6019 / 86400</f>
        <v>6.9664351851851852E-2</v>
      </c>
      <c r="I969" t="s">
        <v>70</v>
      </c>
      <c r="J969" t="s">
        <v>29</v>
      </c>
      <c r="K969" s="5">
        <f>14904 / 86400</f>
        <v>0.17249999999999999</v>
      </c>
      <c r="L969" s="5">
        <f>881 / 86400</f>
        <v>1.019675925925926E-2</v>
      </c>
    </row>
    <row r="970" spans="1:12" x14ac:dyDescent="0.25">
      <c r="A970" s="3">
        <v>45701.401064814811</v>
      </c>
      <c r="B970" t="s">
        <v>119</v>
      </c>
      <c r="C970" s="3">
        <v>45701.485821759255</v>
      </c>
      <c r="D970" t="s">
        <v>118</v>
      </c>
      <c r="E970" s="4">
        <v>39.015000000000001</v>
      </c>
      <c r="F970" s="4">
        <v>469697.13500000001</v>
      </c>
      <c r="G970" s="4">
        <v>469736.15</v>
      </c>
      <c r="H970" s="5">
        <f>2000 / 86400</f>
        <v>2.3148148148148147E-2</v>
      </c>
      <c r="I970" t="s">
        <v>42</v>
      </c>
      <c r="J970" t="s">
        <v>23</v>
      </c>
      <c r="K970" s="5">
        <f>7322 / 86400</f>
        <v>8.4745370370370374E-2</v>
      </c>
      <c r="L970" s="5">
        <f>88 / 86400</f>
        <v>1.0185185185185184E-3</v>
      </c>
    </row>
    <row r="971" spans="1:12" x14ac:dyDescent="0.25">
      <c r="A971" s="3">
        <v>45701.486840277779</v>
      </c>
      <c r="B971" t="s">
        <v>118</v>
      </c>
      <c r="C971" s="3">
        <v>45701.488391203704</v>
      </c>
      <c r="D971" t="s">
        <v>38</v>
      </c>
      <c r="E971" s="4">
        <v>0.22900000000000001</v>
      </c>
      <c r="F971" s="4">
        <v>469736.15</v>
      </c>
      <c r="G971" s="4">
        <v>469736.37900000002</v>
      </c>
      <c r="H971" s="5">
        <f>39 / 86400</f>
        <v>4.5138888888888887E-4</v>
      </c>
      <c r="I971" t="s">
        <v>135</v>
      </c>
      <c r="J971" t="s">
        <v>156</v>
      </c>
      <c r="K971" s="5">
        <f>134 / 86400</f>
        <v>1.5509259259259259E-3</v>
      </c>
      <c r="L971" s="5">
        <f>394 / 86400</f>
        <v>4.5601851851851853E-3</v>
      </c>
    </row>
    <row r="972" spans="1:12" x14ac:dyDescent="0.25">
      <c r="A972" s="3">
        <v>45701.492951388893</v>
      </c>
      <c r="B972" t="s">
        <v>38</v>
      </c>
      <c r="C972" s="3">
        <v>45701.497025462959</v>
      </c>
      <c r="D972" t="s">
        <v>131</v>
      </c>
      <c r="E972" s="4">
        <v>1.405</v>
      </c>
      <c r="F972" s="4">
        <v>469736.37900000002</v>
      </c>
      <c r="G972" s="4">
        <v>469737.78399999999</v>
      </c>
      <c r="H972" s="5">
        <f>20 / 86400</f>
        <v>2.3148148148148149E-4</v>
      </c>
      <c r="I972" t="s">
        <v>135</v>
      </c>
      <c r="J972" t="s">
        <v>43</v>
      </c>
      <c r="K972" s="5">
        <f>352 / 86400</f>
        <v>4.0740740740740737E-3</v>
      </c>
      <c r="L972" s="5">
        <f>2659 / 86400</f>
        <v>3.0775462962962963E-2</v>
      </c>
    </row>
    <row r="973" spans="1:12" x14ac:dyDescent="0.25">
      <c r="A973" s="3">
        <v>45701.527800925927</v>
      </c>
      <c r="B973" t="s">
        <v>131</v>
      </c>
      <c r="C973" s="3">
        <v>45701.528275462959</v>
      </c>
      <c r="D973" t="s">
        <v>131</v>
      </c>
      <c r="E973" s="4">
        <v>4.7E-2</v>
      </c>
      <c r="F973" s="4">
        <v>469737.78399999999</v>
      </c>
      <c r="G973" s="4">
        <v>469737.83100000001</v>
      </c>
      <c r="H973" s="5">
        <f>0 / 86400</f>
        <v>0</v>
      </c>
      <c r="I973" t="s">
        <v>177</v>
      </c>
      <c r="J973" t="s">
        <v>177</v>
      </c>
      <c r="K973" s="5">
        <f>40 / 86400</f>
        <v>4.6296296296296298E-4</v>
      </c>
      <c r="L973" s="5">
        <f>150 / 86400</f>
        <v>1.736111111111111E-3</v>
      </c>
    </row>
    <row r="974" spans="1:12" x14ac:dyDescent="0.25">
      <c r="A974" s="3">
        <v>45701.530011574076</v>
      </c>
      <c r="B974" t="s">
        <v>131</v>
      </c>
      <c r="C974" s="3">
        <v>45701.535983796297</v>
      </c>
      <c r="D974" t="s">
        <v>374</v>
      </c>
      <c r="E974" s="4">
        <v>0.747</v>
      </c>
      <c r="F974" s="4">
        <v>469737.83100000001</v>
      </c>
      <c r="G974" s="4">
        <v>469738.57799999998</v>
      </c>
      <c r="H974" s="5">
        <f>359 / 86400</f>
        <v>4.1550925925925922E-3</v>
      </c>
      <c r="I974" t="s">
        <v>155</v>
      </c>
      <c r="J974" t="s">
        <v>37</v>
      </c>
      <c r="K974" s="5">
        <f>515 / 86400</f>
        <v>5.9606481481481481E-3</v>
      </c>
      <c r="L974" s="5">
        <f>42 / 86400</f>
        <v>4.861111111111111E-4</v>
      </c>
    </row>
    <row r="975" spans="1:12" x14ac:dyDescent="0.25">
      <c r="A975" s="3">
        <v>45701.536469907413</v>
      </c>
      <c r="B975" t="s">
        <v>374</v>
      </c>
      <c r="C975" s="3">
        <v>45701.609340277777</v>
      </c>
      <c r="D975" t="s">
        <v>403</v>
      </c>
      <c r="E975" s="4">
        <v>34.368000000000002</v>
      </c>
      <c r="F975" s="4">
        <v>469738.57799999998</v>
      </c>
      <c r="G975" s="4">
        <v>469772.946</v>
      </c>
      <c r="H975" s="5">
        <f>1700 / 86400</f>
        <v>1.9675925925925927E-2</v>
      </c>
      <c r="I975" t="s">
        <v>31</v>
      </c>
      <c r="J975" t="s">
        <v>34</v>
      </c>
      <c r="K975" s="5">
        <f>6295 / 86400</f>
        <v>7.2858796296296297E-2</v>
      </c>
      <c r="L975" s="5">
        <f>554 / 86400</f>
        <v>6.4120370370370373E-3</v>
      </c>
    </row>
    <row r="976" spans="1:12" x14ac:dyDescent="0.25">
      <c r="A976" s="3">
        <v>45701.615752314814</v>
      </c>
      <c r="B976" t="s">
        <v>403</v>
      </c>
      <c r="C976" s="3">
        <v>45701.629675925928</v>
      </c>
      <c r="D976" t="s">
        <v>83</v>
      </c>
      <c r="E976" s="4">
        <v>4.423</v>
      </c>
      <c r="F976" s="4">
        <v>469772.946</v>
      </c>
      <c r="G976" s="4">
        <v>469777.36900000001</v>
      </c>
      <c r="H976" s="5">
        <f>259 / 86400</f>
        <v>2.9976851851851853E-3</v>
      </c>
      <c r="I976" t="s">
        <v>127</v>
      </c>
      <c r="J976" t="s">
        <v>58</v>
      </c>
      <c r="K976" s="5">
        <f>1203 / 86400</f>
        <v>1.3923611111111111E-2</v>
      </c>
      <c r="L976" s="5">
        <f>201 / 86400</f>
        <v>2.3263888888888887E-3</v>
      </c>
    </row>
    <row r="977" spans="1:12" x14ac:dyDescent="0.25">
      <c r="A977" s="3">
        <v>45701.632002314815</v>
      </c>
      <c r="B977" t="s">
        <v>83</v>
      </c>
      <c r="C977" s="3">
        <v>45701.64944444444</v>
      </c>
      <c r="D977" t="s">
        <v>199</v>
      </c>
      <c r="E977" s="4">
        <v>8.3529999999999998</v>
      </c>
      <c r="F977" s="4">
        <v>469777.36900000001</v>
      </c>
      <c r="G977" s="4">
        <v>469785.72200000001</v>
      </c>
      <c r="H977" s="5">
        <f>400 / 86400</f>
        <v>4.6296296296296294E-3</v>
      </c>
      <c r="I977" t="s">
        <v>173</v>
      </c>
      <c r="J977" t="s">
        <v>34</v>
      </c>
      <c r="K977" s="5">
        <f>1506 / 86400</f>
        <v>1.7430555555555557E-2</v>
      </c>
      <c r="L977" s="5">
        <f>131 / 86400</f>
        <v>1.5162037037037036E-3</v>
      </c>
    </row>
    <row r="978" spans="1:12" x14ac:dyDescent="0.25">
      <c r="A978" s="3">
        <v>45701.650960648149</v>
      </c>
      <c r="B978" t="s">
        <v>199</v>
      </c>
      <c r="C978" s="3">
        <v>45701.681817129633</v>
      </c>
      <c r="D978" t="s">
        <v>158</v>
      </c>
      <c r="E978" s="4">
        <v>20.873000000000001</v>
      </c>
      <c r="F978" s="4">
        <v>469785.72200000001</v>
      </c>
      <c r="G978" s="4">
        <v>469806.59499999997</v>
      </c>
      <c r="H978" s="5">
        <f>201 / 86400</f>
        <v>2.3263888888888887E-3</v>
      </c>
      <c r="I978" t="s">
        <v>95</v>
      </c>
      <c r="J978" t="s">
        <v>145</v>
      </c>
      <c r="K978" s="5">
        <f>2665 / 86400</f>
        <v>3.0844907407407408E-2</v>
      </c>
      <c r="L978" s="5">
        <f>494 / 86400</f>
        <v>5.7175925925925927E-3</v>
      </c>
    </row>
    <row r="979" spans="1:12" x14ac:dyDescent="0.25">
      <c r="A979" s="3">
        <v>45701.687534722223</v>
      </c>
      <c r="B979" t="s">
        <v>158</v>
      </c>
      <c r="C979" s="3">
        <v>45701.690740740742</v>
      </c>
      <c r="D979" t="s">
        <v>118</v>
      </c>
      <c r="E979" s="4">
        <v>0.99</v>
      </c>
      <c r="F979" s="4">
        <v>469806.59499999997</v>
      </c>
      <c r="G979" s="4">
        <v>469807.58500000002</v>
      </c>
      <c r="H979" s="5">
        <f>20 / 86400</f>
        <v>2.3148148148148149E-4</v>
      </c>
      <c r="I979" t="s">
        <v>294</v>
      </c>
      <c r="J979" t="s">
        <v>58</v>
      </c>
      <c r="K979" s="5">
        <f>277 / 86400</f>
        <v>3.2060185185185186E-3</v>
      </c>
      <c r="L979" s="5">
        <f>116 / 86400</f>
        <v>1.3425925925925925E-3</v>
      </c>
    </row>
    <row r="980" spans="1:12" x14ac:dyDescent="0.25">
      <c r="A980" s="3">
        <v>45701.692083333328</v>
      </c>
      <c r="B980" t="s">
        <v>118</v>
      </c>
      <c r="C980" s="3">
        <v>45701.692812499998</v>
      </c>
      <c r="D980" t="s">
        <v>118</v>
      </c>
      <c r="E980" s="4">
        <v>2.9000000000000001E-2</v>
      </c>
      <c r="F980" s="4">
        <v>469807.58500000002</v>
      </c>
      <c r="G980" s="4">
        <v>469807.614</v>
      </c>
      <c r="H980" s="5">
        <f>20 / 86400</f>
        <v>2.3148148148148149E-4</v>
      </c>
      <c r="I980" t="s">
        <v>110</v>
      </c>
      <c r="J980" t="s">
        <v>110</v>
      </c>
      <c r="K980" s="5">
        <f>63 / 86400</f>
        <v>7.291666666666667E-4</v>
      </c>
      <c r="L980" s="5">
        <f>6647 / 86400</f>
        <v>7.6932870370370374E-2</v>
      </c>
    </row>
    <row r="981" spans="1:12" x14ac:dyDescent="0.25">
      <c r="A981" s="3">
        <v>45701.769745370373</v>
      </c>
      <c r="B981" t="s">
        <v>118</v>
      </c>
      <c r="C981" s="3">
        <v>45701.771319444444</v>
      </c>
      <c r="D981" t="s">
        <v>47</v>
      </c>
      <c r="E981" s="4">
        <v>0.215</v>
      </c>
      <c r="F981" s="4">
        <v>469807.614</v>
      </c>
      <c r="G981" s="4">
        <v>469807.82900000003</v>
      </c>
      <c r="H981" s="5">
        <f>19 / 86400</f>
        <v>2.199074074074074E-4</v>
      </c>
      <c r="I981" t="s">
        <v>149</v>
      </c>
      <c r="J981" t="s">
        <v>156</v>
      </c>
      <c r="K981" s="5">
        <f>136 / 86400</f>
        <v>1.5740740740740741E-3</v>
      </c>
      <c r="L981" s="5">
        <f>98 / 86400</f>
        <v>1.1342592592592593E-3</v>
      </c>
    </row>
    <row r="982" spans="1:12" x14ac:dyDescent="0.25">
      <c r="A982" s="3">
        <v>45701.772453703699</v>
      </c>
      <c r="B982" t="s">
        <v>47</v>
      </c>
      <c r="C982" s="3">
        <v>45701.773645833338</v>
      </c>
      <c r="D982" t="s">
        <v>38</v>
      </c>
      <c r="E982" s="4">
        <v>0.23599999999999999</v>
      </c>
      <c r="F982" s="4">
        <v>469807.82900000003</v>
      </c>
      <c r="G982" s="4">
        <v>469808.065</v>
      </c>
      <c r="H982" s="5">
        <f>0 / 86400</f>
        <v>0</v>
      </c>
      <c r="I982" t="s">
        <v>29</v>
      </c>
      <c r="J982" t="s">
        <v>90</v>
      </c>
      <c r="K982" s="5">
        <f>103 / 86400</f>
        <v>1.1921296296296296E-3</v>
      </c>
      <c r="L982" s="5">
        <f>19450 / 86400</f>
        <v>0.22511574074074073</v>
      </c>
    </row>
    <row r="983" spans="1:12" x14ac:dyDescent="0.25">
      <c r="A983" s="3">
        <v>45701.998761574076</v>
      </c>
      <c r="B983" t="s">
        <v>38</v>
      </c>
      <c r="C983" s="3">
        <v>45701.999479166669</v>
      </c>
      <c r="D983" t="s">
        <v>38</v>
      </c>
      <c r="E983" s="4">
        <v>1.0999999999999999E-2</v>
      </c>
      <c r="F983" s="4">
        <v>469808.065</v>
      </c>
      <c r="G983" s="4">
        <v>469808.076</v>
      </c>
      <c r="H983" s="5">
        <f>59 / 86400</f>
        <v>6.8287037037037036E-4</v>
      </c>
      <c r="I983" t="s">
        <v>91</v>
      </c>
      <c r="J983" t="s">
        <v>125</v>
      </c>
      <c r="K983" s="5">
        <f>62 / 86400</f>
        <v>7.1759259259259259E-4</v>
      </c>
      <c r="L983" s="5">
        <f>44 / 86400</f>
        <v>5.0925925925925921E-4</v>
      </c>
    </row>
    <row r="984" spans="1:12" x14ac:dyDescent="0.25">
      <c r="A984" s="11"/>
      <c r="B984" s="11"/>
      <c r="C984" s="11"/>
      <c r="D984" s="11"/>
      <c r="E984" s="11"/>
      <c r="F984" s="11"/>
      <c r="G984" s="11"/>
      <c r="H984" s="11"/>
      <c r="I984" s="11"/>
      <c r="J984" s="11"/>
    </row>
    <row r="985" spans="1:12" x14ac:dyDescent="0.25">
      <c r="A985" s="11"/>
      <c r="B985" s="11"/>
      <c r="C985" s="11"/>
      <c r="D985" s="11"/>
      <c r="E985" s="11"/>
      <c r="F985" s="11"/>
      <c r="G985" s="11"/>
      <c r="H985" s="11"/>
      <c r="I985" s="11"/>
      <c r="J985" s="11"/>
    </row>
    <row r="986" spans="1:12" s="10" customFormat="1" ht="20.100000000000001" customHeight="1" x14ac:dyDescent="0.35">
      <c r="A986" s="12" t="s">
        <v>464</v>
      </c>
      <c r="B986" s="12"/>
      <c r="C986" s="12"/>
      <c r="D986" s="12"/>
      <c r="E986" s="12"/>
      <c r="F986" s="12"/>
      <c r="G986" s="12"/>
      <c r="H986" s="12"/>
      <c r="I986" s="12"/>
      <c r="J986" s="12"/>
    </row>
    <row r="987" spans="1:12" x14ac:dyDescent="0.25">
      <c r="A987" s="11"/>
      <c r="B987" s="11"/>
      <c r="C987" s="11"/>
      <c r="D987" s="11"/>
      <c r="E987" s="11"/>
      <c r="F987" s="11"/>
      <c r="G987" s="11"/>
      <c r="H987" s="11"/>
      <c r="I987" s="11"/>
      <c r="J987" s="11"/>
    </row>
    <row r="988" spans="1:12" ht="30" x14ac:dyDescent="0.25">
      <c r="A988" s="2" t="s">
        <v>5</v>
      </c>
      <c r="B988" s="2" t="s">
        <v>6</v>
      </c>
      <c r="C988" s="2" t="s">
        <v>7</v>
      </c>
      <c r="D988" s="2" t="s">
        <v>8</v>
      </c>
      <c r="E988" s="2" t="s">
        <v>9</v>
      </c>
      <c r="F988" s="2" t="s">
        <v>10</v>
      </c>
      <c r="G988" s="2" t="s">
        <v>11</v>
      </c>
      <c r="H988" s="2" t="s">
        <v>12</v>
      </c>
      <c r="I988" s="2" t="s">
        <v>13</v>
      </c>
      <c r="J988" s="2" t="s">
        <v>14</v>
      </c>
      <c r="K988" s="2" t="s">
        <v>15</v>
      </c>
      <c r="L988" s="2" t="s">
        <v>16</v>
      </c>
    </row>
    <row r="989" spans="1:12" x14ac:dyDescent="0.25">
      <c r="A989" s="3">
        <v>45701.529212962967</v>
      </c>
      <c r="B989" t="s">
        <v>83</v>
      </c>
      <c r="C989" s="3">
        <v>45701.532291666663</v>
      </c>
      <c r="D989" t="s">
        <v>83</v>
      </c>
      <c r="E989" s="4">
        <v>0</v>
      </c>
      <c r="F989" s="4">
        <v>428213.33600000001</v>
      </c>
      <c r="G989" s="4">
        <v>428213.33600000001</v>
      </c>
      <c r="H989" s="5">
        <f>260 / 86400</f>
        <v>3.0092592592592593E-3</v>
      </c>
      <c r="I989" t="s">
        <v>91</v>
      </c>
      <c r="J989" t="s">
        <v>91</v>
      </c>
      <c r="K989" s="5">
        <f>266 / 86400</f>
        <v>3.0787037037037037E-3</v>
      </c>
      <c r="L989" s="5">
        <f>46083 / 86400</f>
        <v>0.53336805555555555</v>
      </c>
    </row>
    <row r="990" spans="1:12" x14ac:dyDescent="0.25">
      <c r="A990" s="3">
        <v>45701.536446759259</v>
      </c>
      <c r="B990" t="s">
        <v>83</v>
      </c>
      <c r="C990" s="3">
        <v>45701.537974537037</v>
      </c>
      <c r="D990" t="s">
        <v>83</v>
      </c>
      <c r="E990" s="4">
        <v>0</v>
      </c>
      <c r="F990" s="4">
        <v>428213.33600000001</v>
      </c>
      <c r="G990" s="4">
        <v>428213.33600000001</v>
      </c>
      <c r="H990" s="5">
        <f>119 / 86400</f>
        <v>1.3773148148148147E-3</v>
      </c>
      <c r="I990" t="s">
        <v>91</v>
      </c>
      <c r="J990" t="s">
        <v>91</v>
      </c>
      <c r="K990" s="5">
        <f>131 / 86400</f>
        <v>1.5162037037037036E-3</v>
      </c>
      <c r="L990" s="5">
        <f>905 / 86400</f>
        <v>1.0474537037037037E-2</v>
      </c>
    </row>
    <row r="991" spans="1:12" x14ac:dyDescent="0.25">
      <c r="A991" s="3">
        <v>45701.548449074078</v>
      </c>
      <c r="B991" t="s">
        <v>83</v>
      </c>
      <c r="C991" s="3">
        <v>45701.548738425925</v>
      </c>
      <c r="D991" t="s">
        <v>83</v>
      </c>
      <c r="E991" s="4">
        <v>0</v>
      </c>
      <c r="F991" s="4">
        <v>428213.33600000001</v>
      </c>
      <c r="G991" s="4">
        <v>428213.33600000001</v>
      </c>
      <c r="H991" s="5">
        <f>19 / 86400</f>
        <v>2.199074074074074E-4</v>
      </c>
      <c r="I991" t="s">
        <v>91</v>
      </c>
      <c r="J991" t="s">
        <v>91</v>
      </c>
      <c r="K991" s="5">
        <f>25 / 86400</f>
        <v>2.8935185185185184E-4</v>
      </c>
      <c r="L991" s="5">
        <f>58 / 86400</f>
        <v>6.7129629629629625E-4</v>
      </c>
    </row>
    <row r="992" spans="1:12" x14ac:dyDescent="0.25">
      <c r="A992" s="3">
        <v>45701.549409722225</v>
      </c>
      <c r="B992" t="s">
        <v>83</v>
      </c>
      <c r="C992" s="3">
        <v>45701.550046296295</v>
      </c>
      <c r="D992" t="s">
        <v>83</v>
      </c>
      <c r="E992" s="4">
        <v>0</v>
      </c>
      <c r="F992" s="4">
        <v>428213.33600000001</v>
      </c>
      <c r="G992" s="4">
        <v>428213.33600000001</v>
      </c>
      <c r="H992" s="5">
        <f>39 / 86400</f>
        <v>4.5138888888888887E-4</v>
      </c>
      <c r="I992" t="s">
        <v>91</v>
      </c>
      <c r="J992" t="s">
        <v>91</v>
      </c>
      <c r="K992" s="5">
        <f>55 / 86400</f>
        <v>6.3657407407407413E-4</v>
      </c>
      <c r="L992" s="5">
        <f>56 / 86400</f>
        <v>6.4814814814814813E-4</v>
      </c>
    </row>
    <row r="993" spans="1:12" x14ac:dyDescent="0.25">
      <c r="A993" s="3">
        <v>45701.55069444445</v>
      </c>
      <c r="B993" t="s">
        <v>83</v>
      </c>
      <c r="C993" s="3">
        <v>45701.55091435185</v>
      </c>
      <c r="D993" t="s">
        <v>83</v>
      </c>
      <c r="E993" s="4">
        <v>0</v>
      </c>
      <c r="F993" s="4">
        <v>428213.33600000001</v>
      </c>
      <c r="G993" s="4">
        <v>428213.33600000001</v>
      </c>
      <c r="H993" s="5">
        <f>0 / 86400</f>
        <v>0</v>
      </c>
      <c r="I993" t="s">
        <v>91</v>
      </c>
      <c r="J993" t="s">
        <v>91</v>
      </c>
      <c r="K993" s="5">
        <f>18 / 86400</f>
        <v>2.0833333333333335E-4</v>
      </c>
      <c r="L993" s="5">
        <f>869 / 86400</f>
        <v>1.005787037037037E-2</v>
      </c>
    </row>
    <row r="994" spans="1:12" x14ac:dyDescent="0.25">
      <c r="A994" s="3">
        <v>45701.560972222222</v>
      </c>
      <c r="B994" t="s">
        <v>83</v>
      </c>
      <c r="C994" s="3">
        <v>45701.561435185184</v>
      </c>
      <c r="D994" t="s">
        <v>83</v>
      </c>
      <c r="E994" s="4">
        <v>0</v>
      </c>
      <c r="F994" s="4">
        <v>428213.33600000001</v>
      </c>
      <c r="G994" s="4">
        <v>428213.33600000001</v>
      </c>
      <c r="H994" s="5">
        <f>19 / 86400</f>
        <v>2.199074074074074E-4</v>
      </c>
      <c r="I994" t="s">
        <v>91</v>
      </c>
      <c r="J994" t="s">
        <v>91</v>
      </c>
      <c r="K994" s="5">
        <f>40 / 86400</f>
        <v>4.6296296296296298E-4</v>
      </c>
      <c r="L994" s="5">
        <f>163 / 86400</f>
        <v>1.8865740740740742E-3</v>
      </c>
    </row>
    <row r="995" spans="1:12" x14ac:dyDescent="0.25">
      <c r="A995" s="3">
        <v>45701.563321759255</v>
      </c>
      <c r="B995" t="s">
        <v>83</v>
      </c>
      <c r="C995" s="3">
        <v>45701.563530092593</v>
      </c>
      <c r="D995" t="s">
        <v>83</v>
      </c>
      <c r="E995" s="4">
        <v>0</v>
      </c>
      <c r="F995" s="4">
        <v>428213.33600000001</v>
      </c>
      <c r="G995" s="4">
        <v>428213.33600000001</v>
      </c>
      <c r="H995" s="5">
        <f>0 / 86400</f>
        <v>0</v>
      </c>
      <c r="I995" t="s">
        <v>91</v>
      </c>
      <c r="J995" t="s">
        <v>91</v>
      </c>
      <c r="K995" s="5">
        <f>18 / 86400</f>
        <v>2.0833333333333335E-4</v>
      </c>
      <c r="L995" s="5">
        <f>370 / 86400</f>
        <v>4.2824074074074075E-3</v>
      </c>
    </row>
    <row r="996" spans="1:12" x14ac:dyDescent="0.25">
      <c r="A996" s="3">
        <v>45701.567812499998</v>
      </c>
      <c r="B996" t="s">
        <v>83</v>
      </c>
      <c r="C996" s="3">
        <v>45701.56858796296</v>
      </c>
      <c r="D996" t="s">
        <v>83</v>
      </c>
      <c r="E996" s="4">
        <v>0</v>
      </c>
      <c r="F996" s="4">
        <v>428213.33600000001</v>
      </c>
      <c r="G996" s="4">
        <v>428213.33600000001</v>
      </c>
      <c r="H996" s="5">
        <f>59 / 86400</f>
        <v>6.8287037037037036E-4</v>
      </c>
      <c r="I996" t="s">
        <v>91</v>
      </c>
      <c r="J996" t="s">
        <v>91</v>
      </c>
      <c r="K996" s="5">
        <f>67 / 86400</f>
        <v>7.7546296296296293E-4</v>
      </c>
      <c r="L996" s="5">
        <f>1325 / 86400</f>
        <v>1.5335648148148149E-2</v>
      </c>
    </row>
    <row r="997" spans="1:12" x14ac:dyDescent="0.25">
      <c r="A997" s="3">
        <v>45701.583923611106</v>
      </c>
      <c r="B997" t="s">
        <v>83</v>
      </c>
      <c r="C997" s="3">
        <v>45701.586956018524</v>
      </c>
      <c r="D997" t="s">
        <v>83</v>
      </c>
      <c r="E997" s="4">
        <v>0</v>
      </c>
      <c r="F997" s="4">
        <v>428213.33600000001</v>
      </c>
      <c r="G997" s="4">
        <v>428213.33600000001</v>
      </c>
      <c r="H997" s="5">
        <f>259 / 86400</f>
        <v>2.9976851851851853E-3</v>
      </c>
      <c r="I997" t="s">
        <v>91</v>
      </c>
      <c r="J997" t="s">
        <v>91</v>
      </c>
      <c r="K997" s="5">
        <f>262 / 86400</f>
        <v>3.0324074074074073E-3</v>
      </c>
      <c r="L997" s="5">
        <f>444 / 86400</f>
        <v>5.138888888888889E-3</v>
      </c>
    </row>
    <row r="998" spans="1:12" x14ac:dyDescent="0.25">
      <c r="A998" s="3">
        <v>45701.592094907406</v>
      </c>
      <c r="B998" t="s">
        <v>83</v>
      </c>
      <c r="C998" s="3">
        <v>45701.592256944445</v>
      </c>
      <c r="D998" t="s">
        <v>83</v>
      </c>
      <c r="E998" s="4">
        <v>0</v>
      </c>
      <c r="F998" s="4">
        <v>428213.33600000001</v>
      </c>
      <c r="G998" s="4">
        <v>428213.33600000001</v>
      </c>
      <c r="H998" s="5">
        <f>0 / 86400</f>
        <v>0</v>
      </c>
      <c r="I998" t="s">
        <v>91</v>
      </c>
      <c r="J998" t="s">
        <v>91</v>
      </c>
      <c r="K998" s="5">
        <f>14 / 86400</f>
        <v>1.6203703703703703E-4</v>
      </c>
      <c r="L998" s="5">
        <f>467 / 86400</f>
        <v>5.4050925925925924E-3</v>
      </c>
    </row>
    <row r="999" spans="1:12" x14ac:dyDescent="0.25">
      <c r="A999" s="3">
        <v>45701.597662037035</v>
      </c>
      <c r="B999" t="s">
        <v>83</v>
      </c>
      <c r="C999" s="3">
        <v>45701.597812499997</v>
      </c>
      <c r="D999" t="s">
        <v>83</v>
      </c>
      <c r="E999" s="4">
        <v>0</v>
      </c>
      <c r="F999" s="4">
        <v>428213.33600000001</v>
      </c>
      <c r="G999" s="4">
        <v>428213.33600000001</v>
      </c>
      <c r="H999" s="5">
        <f>0 / 86400</f>
        <v>0</v>
      </c>
      <c r="I999" t="s">
        <v>91</v>
      </c>
      <c r="J999" t="s">
        <v>91</v>
      </c>
      <c r="K999" s="5">
        <f>13 / 86400</f>
        <v>1.5046296296296297E-4</v>
      </c>
      <c r="L999" s="5">
        <f>361 / 86400</f>
        <v>4.178240740740741E-3</v>
      </c>
    </row>
    <row r="1000" spans="1:12" x14ac:dyDescent="0.25">
      <c r="A1000" s="3">
        <v>45701.601990740739</v>
      </c>
      <c r="B1000" t="s">
        <v>83</v>
      </c>
      <c r="C1000" s="3">
        <v>45701.921249999999</v>
      </c>
      <c r="D1000" t="s">
        <v>83</v>
      </c>
      <c r="E1000" s="4">
        <v>0</v>
      </c>
      <c r="F1000" s="4">
        <v>428213.33600000001</v>
      </c>
      <c r="G1000" s="4">
        <v>428213.33600000001</v>
      </c>
      <c r="H1000" s="5">
        <f>27579 / 86400</f>
        <v>0.31920138888888888</v>
      </c>
      <c r="I1000" t="s">
        <v>91</v>
      </c>
      <c r="J1000" t="s">
        <v>91</v>
      </c>
      <c r="K1000" s="5">
        <f>27584 / 86400</f>
        <v>0.31925925925925924</v>
      </c>
      <c r="L1000" s="5">
        <f>142 / 86400</f>
        <v>1.6435185185185185E-3</v>
      </c>
    </row>
    <row r="1001" spans="1:12" x14ac:dyDescent="0.25">
      <c r="A1001" s="3">
        <v>45701.922893518524</v>
      </c>
      <c r="B1001" t="s">
        <v>83</v>
      </c>
      <c r="C1001" s="3">
        <v>45701.923090277778</v>
      </c>
      <c r="D1001" t="s">
        <v>83</v>
      </c>
      <c r="E1001" s="4">
        <v>0</v>
      </c>
      <c r="F1001" s="4">
        <v>428213.33600000001</v>
      </c>
      <c r="G1001" s="4">
        <v>428213.33600000001</v>
      </c>
      <c r="H1001" s="5">
        <f>0 / 86400</f>
        <v>0</v>
      </c>
      <c r="I1001" t="s">
        <v>91</v>
      </c>
      <c r="J1001" t="s">
        <v>91</v>
      </c>
      <c r="K1001" s="5">
        <f>17 / 86400</f>
        <v>1.9675925925925926E-4</v>
      </c>
      <c r="L1001" s="5">
        <f>209 / 86400</f>
        <v>2.4189814814814816E-3</v>
      </c>
    </row>
    <row r="1002" spans="1:12" x14ac:dyDescent="0.25">
      <c r="A1002" s="3">
        <v>45701.925509259258</v>
      </c>
      <c r="B1002" t="s">
        <v>83</v>
      </c>
      <c r="C1002" s="3">
        <v>45701.92569444445</v>
      </c>
      <c r="D1002" t="s">
        <v>83</v>
      </c>
      <c r="E1002" s="4">
        <v>0</v>
      </c>
      <c r="F1002" s="4">
        <v>428213.33600000001</v>
      </c>
      <c r="G1002" s="4">
        <v>428213.33600000001</v>
      </c>
      <c r="H1002" s="5">
        <f>0 / 86400</f>
        <v>0</v>
      </c>
      <c r="I1002" t="s">
        <v>91</v>
      </c>
      <c r="J1002" t="s">
        <v>91</v>
      </c>
      <c r="K1002" s="5">
        <f>16 / 86400</f>
        <v>1.8518518518518518E-4</v>
      </c>
      <c r="L1002" s="5">
        <f>103 / 86400</f>
        <v>1.1921296296296296E-3</v>
      </c>
    </row>
    <row r="1003" spans="1:12" x14ac:dyDescent="0.25">
      <c r="A1003" s="3">
        <v>45701.926886574074</v>
      </c>
      <c r="B1003" t="s">
        <v>83</v>
      </c>
      <c r="C1003" s="3">
        <v>45701.99998842593</v>
      </c>
      <c r="D1003" t="s">
        <v>83</v>
      </c>
      <c r="E1003" s="4">
        <v>0</v>
      </c>
      <c r="F1003" s="4">
        <v>428213.33600000001</v>
      </c>
      <c r="G1003" s="4">
        <v>428213.33600000001</v>
      </c>
      <c r="H1003" s="5">
        <f>6319 / 86400</f>
        <v>7.3136574074074076E-2</v>
      </c>
      <c r="I1003" t="s">
        <v>91</v>
      </c>
      <c r="J1003" t="s">
        <v>91</v>
      </c>
      <c r="K1003" s="5">
        <f>6316 / 86400</f>
        <v>7.3101851851851848E-2</v>
      </c>
      <c r="L1003" s="5">
        <f>0 / 86400</f>
        <v>0</v>
      </c>
    </row>
    <row r="1004" spans="1:12" x14ac:dyDescent="0.25">
      <c r="A1004" s="11"/>
      <c r="B1004" s="11"/>
      <c r="C1004" s="11"/>
      <c r="D1004" s="11"/>
      <c r="E1004" s="11"/>
      <c r="F1004" s="11"/>
      <c r="G1004" s="11"/>
      <c r="H1004" s="11"/>
      <c r="I1004" s="11"/>
      <c r="J1004" s="11"/>
    </row>
    <row r="1005" spans="1:12" x14ac:dyDescent="0.25">
      <c r="A1005" s="11"/>
      <c r="B1005" s="11"/>
      <c r="C1005" s="11"/>
      <c r="D1005" s="11"/>
      <c r="E1005" s="11"/>
      <c r="F1005" s="11"/>
      <c r="G1005" s="11"/>
      <c r="H1005" s="11"/>
      <c r="I1005" s="11"/>
      <c r="J1005" s="11"/>
    </row>
    <row r="1006" spans="1:12" s="10" customFormat="1" ht="20.100000000000001" customHeight="1" x14ac:dyDescent="0.35">
      <c r="A1006" s="12" t="s">
        <v>465</v>
      </c>
      <c r="B1006" s="12"/>
      <c r="C1006" s="12"/>
      <c r="D1006" s="12"/>
      <c r="E1006" s="12"/>
      <c r="F1006" s="12"/>
      <c r="G1006" s="12"/>
      <c r="H1006" s="12"/>
      <c r="I1006" s="12"/>
      <c r="J1006" s="12"/>
    </row>
    <row r="1007" spans="1:12" x14ac:dyDescent="0.25">
      <c r="A1007" s="11"/>
      <c r="B1007" s="11"/>
      <c r="C1007" s="11"/>
      <c r="D1007" s="11"/>
      <c r="E1007" s="11"/>
      <c r="F1007" s="11"/>
      <c r="G1007" s="11"/>
      <c r="H1007" s="11"/>
      <c r="I1007" s="11"/>
      <c r="J1007" s="11"/>
    </row>
    <row r="1008" spans="1:12" ht="30" x14ac:dyDescent="0.25">
      <c r="A1008" s="2" t="s">
        <v>5</v>
      </c>
      <c r="B1008" s="2" t="s">
        <v>6</v>
      </c>
      <c r="C1008" s="2" t="s">
        <v>7</v>
      </c>
      <c r="D1008" s="2" t="s">
        <v>8</v>
      </c>
      <c r="E1008" s="2" t="s">
        <v>9</v>
      </c>
      <c r="F1008" s="2" t="s">
        <v>10</v>
      </c>
      <c r="G1008" s="2" t="s">
        <v>11</v>
      </c>
      <c r="H1008" s="2" t="s">
        <v>12</v>
      </c>
      <c r="I1008" s="2" t="s">
        <v>13</v>
      </c>
      <c r="J1008" s="2" t="s">
        <v>14</v>
      </c>
      <c r="K1008" s="2" t="s">
        <v>15</v>
      </c>
      <c r="L1008" s="2" t="s">
        <v>16</v>
      </c>
    </row>
    <row r="1009" spans="1:12" x14ac:dyDescent="0.25">
      <c r="A1009" s="3">
        <v>45701.282442129625</v>
      </c>
      <c r="B1009" t="s">
        <v>27</v>
      </c>
      <c r="C1009" s="3">
        <v>45701.320879629631</v>
      </c>
      <c r="D1009" t="s">
        <v>404</v>
      </c>
      <c r="E1009" s="4">
        <v>15.547000000000001</v>
      </c>
      <c r="F1009" s="4">
        <v>575527.39500000002</v>
      </c>
      <c r="G1009" s="4">
        <v>575542.94200000004</v>
      </c>
      <c r="H1009" s="5">
        <f>460 / 86400</f>
        <v>5.324074074074074E-3</v>
      </c>
      <c r="I1009" t="s">
        <v>176</v>
      </c>
      <c r="J1009" t="s">
        <v>20</v>
      </c>
      <c r="K1009" s="5">
        <f>3321 / 86400</f>
        <v>3.8437499999999999E-2</v>
      </c>
      <c r="L1009" s="5">
        <f>27422 / 86400</f>
        <v>0.31738425925925928</v>
      </c>
    </row>
    <row r="1010" spans="1:12" x14ac:dyDescent="0.25">
      <c r="A1010" s="3">
        <v>45701.355821759258</v>
      </c>
      <c r="B1010" t="s">
        <v>404</v>
      </c>
      <c r="C1010" s="3">
        <v>45701.356192129635</v>
      </c>
      <c r="D1010" t="s">
        <v>404</v>
      </c>
      <c r="E1010" s="4">
        <v>3.0000000000000001E-3</v>
      </c>
      <c r="F1010" s="4">
        <v>575542.94200000004</v>
      </c>
      <c r="G1010" s="4">
        <v>575542.94499999995</v>
      </c>
      <c r="H1010" s="5">
        <f>19 / 86400</f>
        <v>2.199074074074074E-4</v>
      </c>
      <c r="I1010" t="s">
        <v>91</v>
      </c>
      <c r="J1010" t="s">
        <v>91</v>
      </c>
      <c r="K1010" s="5">
        <f>32 / 86400</f>
        <v>3.7037037037037035E-4</v>
      </c>
      <c r="L1010" s="5">
        <f>5095 / 86400</f>
        <v>5.8969907407407408E-2</v>
      </c>
    </row>
    <row r="1011" spans="1:12" x14ac:dyDescent="0.25">
      <c r="A1011" s="3">
        <v>45701.415162037039</v>
      </c>
      <c r="B1011" t="s">
        <v>404</v>
      </c>
      <c r="C1011" s="3">
        <v>45701.42288194444</v>
      </c>
      <c r="D1011" t="s">
        <v>404</v>
      </c>
      <c r="E1011" s="4">
        <v>1.45</v>
      </c>
      <c r="F1011" s="4">
        <v>575542.94499999995</v>
      </c>
      <c r="G1011" s="4">
        <v>575544.39500000002</v>
      </c>
      <c r="H1011" s="5">
        <f>260 / 86400</f>
        <v>3.0092592592592593E-3</v>
      </c>
      <c r="I1011" t="s">
        <v>231</v>
      </c>
      <c r="J1011" t="s">
        <v>90</v>
      </c>
      <c r="K1011" s="5">
        <f>667 / 86400</f>
        <v>7.7199074074074071E-3</v>
      </c>
      <c r="L1011" s="5">
        <f>245 / 86400</f>
        <v>2.8356481481481483E-3</v>
      </c>
    </row>
    <row r="1012" spans="1:12" x14ac:dyDescent="0.25">
      <c r="A1012" s="3">
        <v>45701.425717592589</v>
      </c>
      <c r="B1012" t="s">
        <v>404</v>
      </c>
      <c r="C1012" s="3">
        <v>45701.42868055556</v>
      </c>
      <c r="D1012" t="s">
        <v>404</v>
      </c>
      <c r="E1012" s="4">
        <v>2.3E-2</v>
      </c>
      <c r="F1012" s="4">
        <v>575544.39500000002</v>
      </c>
      <c r="G1012" s="4">
        <v>575544.41799999995</v>
      </c>
      <c r="H1012" s="5">
        <f>239 / 86400</f>
        <v>2.7662037037037039E-3</v>
      </c>
      <c r="I1012" t="s">
        <v>91</v>
      </c>
      <c r="J1012" t="s">
        <v>91</v>
      </c>
      <c r="K1012" s="5">
        <f>256 / 86400</f>
        <v>2.9629629629629628E-3</v>
      </c>
      <c r="L1012" s="5">
        <f>20326 / 86400</f>
        <v>0.23525462962962962</v>
      </c>
    </row>
    <row r="1013" spans="1:12" x14ac:dyDescent="0.25">
      <c r="A1013" s="3">
        <v>45701.663935185185</v>
      </c>
      <c r="B1013" t="s">
        <v>404</v>
      </c>
      <c r="C1013" s="3">
        <v>45701.679467592592</v>
      </c>
      <c r="D1013" t="s">
        <v>405</v>
      </c>
      <c r="E1013" s="4">
        <v>7.0519999999999996</v>
      </c>
      <c r="F1013" s="4">
        <v>575544.41799999995</v>
      </c>
      <c r="G1013" s="4">
        <v>575551.47</v>
      </c>
      <c r="H1013" s="5">
        <f>219 / 86400</f>
        <v>2.5347222222222221E-3</v>
      </c>
      <c r="I1013" t="s">
        <v>63</v>
      </c>
      <c r="J1013" t="s">
        <v>23</v>
      </c>
      <c r="K1013" s="5">
        <f>1342 / 86400</f>
        <v>1.5532407407407408E-2</v>
      </c>
      <c r="L1013" s="5">
        <f>390 / 86400</f>
        <v>4.5138888888888885E-3</v>
      </c>
    </row>
    <row r="1014" spans="1:12" x14ac:dyDescent="0.25">
      <c r="A1014" s="3">
        <v>45701.683981481481</v>
      </c>
      <c r="B1014" t="s">
        <v>405</v>
      </c>
      <c r="C1014" s="3">
        <v>45701.6871412037</v>
      </c>
      <c r="D1014" t="s">
        <v>406</v>
      </c>
      <c r="E1014" s="4">
        <v>1.093</v>
      </c>
      <c r="F1014" s="4">
        <v>575551.47</v>
      </c>
      <c r="G1014" s="4">
        <v>575552.56299999997</v>
      </c>
      <c r="H1014" s="5">
        <f>0 / 86400</f>
        <v>0</v>
      </c>
      <c r="I1014" t="s">
        <v>159</v>
      </c>
      <c r="J1014" t="s">
        <v>43</v>
      </c>
      <c r="K1014" s="5">
        <f>273 / 86400</f>
        <v>3.1597222222222222E-3</v>
      </c>
      <c r="L1014" s="5">
        <f>387 / 86400</f>
        <v>4.4791666666666669E-3</v>
      </c>
    </row>
    <row r="1015" spans="1:12" x14ac:dyDescent="0.25">
      <c r="A1015" s="3">
        <v>45701.691620370373</v>
      </c>
      <c r="B1015" t="s">
        <v>406</v>
      </c>
      <c r="C1015" s="3">
        <v>45701.732905092591</v>
      </c>
      <c r="D1015" t="s">
        <v>27</v>
      </c>
      <c r="E1015" s="4">
        <v>17.440999999999999</v>
      </c>
      <c r="F1015" s="4">
        <v>575552.56299999997</v>
      </c>
      <c r="G1015" s="4">
        <v>575570.00399999996</v>
      </c>
      <c r="H1015" s="5">
        <f>559 / 86400</f>
        <v>6.4699074074074077E-3</v>
      </c>
      <c r="I1015" t="s">
        <v>60</v>
      </c>
      <c r="J1015" t="s">
        <v>76</v>
      </c>
      <c r="K1015" s="5">
        <f>3566 / 86400</f>
        <v>4.1273148148148149E-2</v>
      </c>
      <c r="L1015" s="5">
        <f>5512 / 86400</f>
        <v>6.3796296296296295E-2</v>
      </c>
    </row>
    <row r="1016" spans="1:12" x14ac:dyDescent="0.25">
      <c r="A1016" s="3">
        <v>45701.796701388885</v>
      </c>
      <c r="B1016" t="s">
        <v>27</v>
      </c>
      <c r="C1016" s="3">
        <v>45701.797210648147</v>
      </c>
      <c r="D1016" t="s">
        <v>27</v>
      </c>
      <c r="E1016" s="4">
        <v>2E-3</v>
      </c>
      <c r="F1016" s="4">
        <v>575570.00399999996</v>
      </c>
      <c r="G1016" s="4">
        <v>575570.00600000005</v>
      </c>
      <c r="H1016" s="5">
        <f>20 / 86400</f>
        <v>2.3148148148148149E-4</v>
      </c>
      <c r="I1016" t="s">
        <v>125</v>
      </c>
      <c r="J1016" t="s">
        <v>91</v>
      </c>
      <c r="K1016" s="5">
        <f>43 / 86400</f>
        <v>4.9768518518518521E-4</v>
      </c>
      <c r="L1016" s="5">
        <f>3211 / 86400</f>
        <v>3.7164351851851851E-2</v>
      </c>
    </row>
    <row r="1017" spans="1:12" x14ac:dyDescent="0.25">
      <c r="A1017" s="3">
        <v>45701.834374999999</v>
      </c>
      <c r="B1017" t="s">
        <v>27</v>
      </c>
      <c r="C1017" s="3">
        <v>45701.834479166668</v>
      </c>
      <c r="D1017" t="s">
        <v>27</v>
      </c>
      <c r="E1017" s="4">
        <v>0</v>
      </c>
      <c r="F1017" s="4">
        <v>575570.00600000005</v>
      </c>
      <c r="G1017" s="4">
        <v>575570.00600000005</v>
      </c>
      <c r="H1017" s="5">
        <f>0 / 86400</f>
        <v>0</v>
      </c>
      <c r="I1017" t="s">
        <v>91</v>
      </c>
      <c r="J1017" t="s">
        <v>91</v>
      </c>
      <c r="K1017" s="5">
        <f>8 / 86400</f>
        <v>9.2592592592592588E-5</v>
      </c>
      <c r="L1017" s="5">
        <f>2 / 86400</f>
        <v>2.3148148148148147E-5</v>
      </c>
    </row>
    <row r="1018" spans="1:12" x14ac:dyDescent="0.25">
      <c r="A1018" s="3">
        <v>45701.834502314814</v>
      </c>
      <c r="B1018" t="s">
        <v>27</v>
      </c>
      <c r="C1018" s="3">
        <v>45701.835243055553</v>
      </c>
      <c r="D1018" t="s">
        <v>27</v>
      </c>
      <c r="E1018" s="4">
        <v>5.0000000000000001E-3</v>
      </c>
      <c r="F1018" s="4">
        <v>575570.00600000005</v>
      </c>
      <c r="G1018" s="4">
        <v>575570.01100000006</v>
      </c>
      <c r="H1018" s="5">
        <f>49 / 86400</f>
        <v>5.6712962962962967E-4</v>
      </c>
      <c r="I1018" t="s">
        <v>91</v>
      </c>
      <c r="J1018" t="s">
        <v>91</v>
      </c>
      <c r="K1018" s="5">
        <f>64 / 86400</f>
        <v>7.407407407407407E-4</v>
      </c>
      <c r="L1018" s="5">
        <f>176 / 86400</f>
        <v>2.0370370370370369E-3</v>
      </c>
    </row>
    <row r="1019" spans="1:12" x14ac:dyDescent="0.25">
      <c r="A1019" s="3">
        <v>45701.837280092594</v>
      </c>
      <c r="B1019" t="s">
        <v>27</v>
      </c>
      <c r="C1019" s="3">
        <v>45701.83729166667</v>
      </c>
      <c r="D1019" t="s">
        <v>27</v>
      </c>
      <c r="E1019" s="4">
        <v>0</v>
      </c>
      <c r="F1019" s="4">
        <v>575570.01100000006</v>
      </c>
      <c r="G1019" s="4">
        <v>575570.01100000006</v>
      </c>
      <c r="H1019" s="5">
        <f>0 / 86400</f>
        <v>0</v>
      </c>
      <c r="I1019" t="s">
        <v>91</v>
      </c>
      <c r="J1019" t="s">
        <v>91</v>
      </c>
      <c r="K1019" s="5">
        <f>0 / 86400</f>
        <v>0</v>
      </c>
      <c r="L1019" s="5">
        <f>14057 / 86400</f>
        <v>0.16269675925925925</v>
      </c>
    </row>
    <row r="1020" spans="1:12" x14ac:dyDescent="0.25">
      <c r="A1020" s="11"/>
      <c r="B1020" s="11"/>
      <c r="C1020" s="11"/>
      <c r="D1020" s="11"/>
      <c r="E1020" s="11"/>
      <c r="F1020" s="11"/>
      <c r="G1020" s="11"/>
      <c r="H1020" s="11"/>
      <c r="I1020" s="11"/>
      <c r="J1020" s="11"/>
    </row>
    <row r="1021" spans="1:12" x14ac:dyDescent="0.25">
      <c r="A1021" s="11"/>
      <c r="B1021" s="11"/>
      <c r="C1021" s="11"/>
      <c r="D1021" s="11"/>
      <c r="E1021" s="11"/>
      <c r="F1021" s="11"/>
      <c r="G1021" s="11"/>
      <c r="H1021" s="11"/>
      <c r="I1021" s="11"/>
      <c r="J1021" s="11"/>
    </row>
    <row r="1022" spans="1:12" s="10" customFormat="1" ht="20.100000000000001" customHeight="1" x14ac:dyDescent="0.35">
      <c r="A1022" s="12" t="s">
        <v>466</v>
      </c>
      <c r="B1022" s="12"/>
      <c r="C1022" s="12"/>
      <c r="D1022" s="12"/>
      <c r="E1022" s="12"/>
      <c r="F1022" s="12"/>
      <c r="G1022" s="12"/>
      <c r="H1022" s="12"/>
      <c r="I1022" s="12"/>
      <c r="J1022" s="12"/>
    </row>
    <row r="1023" spans="1:12" x14ac:dyDescent="0.25">
      <c r="A1023" s="11"/>
      <c r="B1023" s="11"/>
      <c r="C1023" s="11"/>
      <c r="D1023" s="11"/>
      <c r="E1023" s="11"/>
      <c r="F1023" s="11"/>
      <c r="G1023" s="11"/>
      <c r="H1023" s="11"/>
      <c r="I1023" s="11"/>
      <c r="J1023" s="11"/>
    </row>
    <row r="1024" spans="1:12" ht="30" x14ac:dyDescent="0.25">
      <c r="A1024" s="2" t="s">
        <v>5</v>
      </c>
      <c r="B1024" s="2" t="s">
        <v>6</v>
      </c>
      <c r="C1024" s="2" t="s">
        <v>7</v>
      </c>
      <c r="D1024" s="2" t="s">
        <v>8</v>
      </c>
      <c r="E1024" s="2" t="s">
        <v>9</v>
      </c>
      <c r="F1024" s="2" t="s">
        <v>10</v>
      </c>
      <c r="G1024" s="2" t="s">
        <v>11</v>
      </c>
      <c r="H1024" s="2" t="s">
        <v>12</v>
      </c>
      <c r="I1024" s="2" t="s">
        <v>13</v>
      </c>
      <c r="J1024" s="2" t="s">
        <v>14</v>
      </c>
      <c r="K1024" s="2" t="s">
        <v>15</v>
      </c>
      <c r="L1024" s="2" t="s">
        <v>16</v>
      </c>
    </row>
    <row r="1025" spans="1:12" x14ac:dyDescent="0.25">
      <c r="A1025" s="3">
        <v>45701.253634259258</v>
      </c>
      <c r="B1025" t="s">
        <v>92</v>
      </c>
      <c r="C1025" s="3">
        <v>45701.597638888888</v>
      </c>
      <c r="D1025" t="s">
        <v>118</v>
      </c>
      <c r="E1025" s="4">
        <v>132.14500000000001</v>
      </c>
      <c r="F1025" s="4">
        <v>416569.38299999997</v>
      </c>
      <c r="G1025" s="4">
        <v>416701.52799999999</v>
      </c>
      <c r="H1025" s="5">
        <f>10937 / 86400</f>
        <v>0.12658564814814816</v>
      </c>
      <c r="I1025" t="s">
        <v>40</v>
      </c>
      <c r="J1025" t="s">
        <v>51</v>
      </c>
      <c r="K1025" s="5">
        <f>29722 / 86400</f>
        <v>0.34400462962962963</v>
      </c>
      <c r="L1025" s="5">
        <f>22405 / 86400</f>
        <v>0.25931712962962961</v>
      </c>
    </row>
    <row r="1026" spans="1:12" x14ac:dyDescent="0.25">
      <c r="A1026" s="3">
        <v>45701.603321759263</v>
      </c>
      <c r="B1026" t="s">
        <v>118</v>
      </c>
      <c r="C1026" s="3">
        <v>45701.605486111112</v>
      </c>
      <c r="D1026" t="s">
        <v>153</v>
      </c>
      <c r="E1026" s="4">
        <v>0.68899999999999995</v>
      </c>
      <c r="F1026" s="4">
        <v>416701.52799999999</v>
      </c>
      <c r="G1026" s="4">
        <v>416702.217</v>
      </c>
      <c r="H1026" s="5">
        <f>20 / 86400</f>
        <v>2.3148148148148149E-4</v>
      </c>
      <c r="I1026" t="s">
        <v>198</v>
      </c>
      <c r="J1026" t="s">
        <v>58</v>
      </c>
      <c r="K1026" s="5">
        <f>187 / 86400</f>
        <v>2.1643518518518518E-3</v>
      </c>
      <c r="L1026" s="5">
        <f>253 / 86400</f>
        <v>2.9282407407407408E-3</v>
      </c>
    </row>
    <row r="1027" spans="1:12" x14ac:dyDescent="0.25">
      <c r="A1027" s="3">
        <v>45701.608414351853</v>
      </c>
      <c r="B1027" t="s">
        <v>153</v>
      </c>
      <c r="C1027" s="3">
        <v>45701.609270833331</v>
      </c>
      <c r="D1027" t="s">
        <v>158</v>
      </c>
      <c r="E1027" s="4">
        <v>0.24299999999999999</v>
      </c>
      <c r="F1027" s="4">
        <v>416702.217</v>
      </c>
      <c r="G1027" s="4">
        <v>416702.46</v>
      </c>
      <c r="H1027" s="5">
        <f>0 / 86400</f>
        <v>0</v>
      </c>
      <c r="I1027" t="s">
        <v>74</v>
      </c>
      <c r="J1027" t="s">
        <v>120</v>
      </c>
      <c r="K1027" s="5">
        <f>73 / 86400</f>
        <v>8.4490740740740739E-4</v>
      </c>
      <c r="L1027" s="5">
        <f>223 / 86400</f>
        <v>2.5810185185185185E-3</v>
      </c>
    </row>
    <row r="1028" spans="1:12" x14ac:dyDescent="0.25">
      <c r="A1028" s="3">
        <v>45701.611851851849</v>
      </c>
      <c r="B1028" t="s">
        <v>158</v>
      </c>
      <c r="C1028" s="3">
        <v>45701.613912037035</v>
      </c>
      <c r="D1028" t="s">
        <v>153</v>
      </c>
      <c r="E1028" s="4">
        <v>0.183</v>
      </c>
      <c r="F1028" s="4">
        <v>416702.46</v>
      </c>
      <c r="G1028" s="4">
        <v>416702.64299999998</v>
      </c>
      <c r="H1028" s="5">
        <f>100 / 86400</f>
        <v>1.1574074074074073E-3</v>
      </c>
      <c r="I1028" t="s">
        <v>51</v>
      </c>
      <c r="J1028" t="s">
        <v>177</v>
      </c>
      <c r="K1028" s="5">
        <f>177 / 86400</f>
        <v>2.0486111111111113E-3</v>
      </c>
      <c r="L1028" s="5">
        <f>40 / 86400</f>
        <v>4.6296296296296298E-4</v>
      </c>
    </row>
    <row r="1029" spans="1:12" x14ac:dyDescent="0.25">
      <c r="A1029" s="3">
        <v>45701.614375000005</v>
      </c>
      <c r="B1029" t="s">
        <v>153</v>
      </c>
      <c r="C1029" s="3">
        <v>45701.835868055554</v>
      </c>
      <c r="D1029" t="s">
        <v>92</v>
      </c>
      <c r="E1029" s="4">
        <v>70.840999999999994</v>
      </c>
      <c r="F1029" s="4">
        <v>416702.64299999998</v>
      </c>
      <c r="G1029" s="4">
        <v>416773.484</v>
      </c>
      <c r="H1029" s="5">
        <f>7580 / 86400</f>
        <v>8.773148148148148E-2</v>
      </c>
      <c r="I1029" t="s">
        <v>40</v>
      </c>
      <c r="J1029" t="s">
        <v>58</v>
      </c>
      <c r="K1029" s="5">
        <f>19137 / 86400</f>
        <v>0.22149305555555557</v>
      </c>
      <c r="L1029" s="5">
        <f>14180 / 86400</f>
        <v>0.16412037037037036</v>
      </c>
    </row>
    <row r="1030" spans="1:12" x14ac:dyDescent="0.25">
      <c r="A1030" s="11"/>
      <c r="B1030" s="11"/>
      <c r="C1030" s="11"/>
      <c r="D1030" s="11"/>
      <c r="E1030" s="11"/>
      <c r="F1030" s="11"/>
      <c r="G1030" s="11"/>
      <c r="H1030" s="11"/>
      <c r="I1030" s="11"/>
      <c r="J1030" s="11"/>
    </row>
    <row r="1031" spans="1:12" x14ac:dyDescent="0.25">
      <c r="A1031" s="11"/>
      <c r="B1031" s="11"/>
      <c r="C1031" s="11"/>
      <c r="D1031" s="11"/>
      <c r="E1031" s="11"/>
      <c r="F1031" s="11"/>
      <c r="G1031" s="11"/>
      <c r="H1031" s="11"/>
      <c r="I1031" s="11"/>
      <c r="J1031" s="11"/>
    </row>
    <row r="1032" spans="1:12" s="10" customFormat="1" ht="20.100000000000001" customHeight="1" x14ac:dyDescent="0.35">
      <c r="A1032" s="12" t="s">
        <v>467</v>
      </c>
      <c r="B1032" s="12"/>
      <c r="C1032" s="12"/>
      <c r="D1032" s="12"/>
      <c r="E1032" s="12"/>
      <c r="F1032" s="12"/>
      <c r="G1032" s="12"/>
      <c r="H1032" s="12"/>
      <c r="I1032" s="12"/>
      <c r="J1032" s="12"/>
    </row>
    <row r="1033" spans="1:12" x14ac:dyDescent="0.25">
      <c r="A1033" s="11"/>
      <c r="B1033" s="11"/>
      <c r="C1033" s="11"/>
      <c r="D1033" s="11"/>
      <c r="E1033" s="11"/>
      <c r="F1033" s="11"/>
      <c r="G1033" s="11"/>
      <c r="H1033" s="11"/>
      <c r="I1033" s="11"/>
      <c r="J1033" s="11"/>
    </row>
    <row r="1034" spans="1:12" ht="30" x14ac:dyDescent="0.25">
      <c r="A1034" s="2" t="s">
        <v>5</v>
      </c>
      <c r="B1034" s="2" t="s">
        <v>6</v>
      </c>
      <c r="C1034" s="2" t="s">
        <v>7</v>
      </c>
      <c r="D1034" s="2" t="s">
        <v>8</v>
      </c>
      <c r="E1034" s="2" t="s">
        <v>9</v>
      </c>
      <c r="F1034" s="2" t="s">
        <v>10</v>
      </c>
      <c r="G1034" s="2" t="s">
        <v>11</v>
      </c>
      <c r="H1034" s="2" t="s">
        <v>12</v>
      </c>
      <c r="I1034" s="2" t="s">
        <v>13</v>
      </c>
      <c r="J1034" s="2" t="s">
        <v>14</v>
      </c>
      <c r="K1034" s="2" t="s">
        <v>15</v>
      </c>
      <c r="L1034" s="2" t="s">
        <v>16</v>
      </c>
    </row>
    <row r="1035" spans="1:12" x14ac:dyDescent="0.25">
      <c r="A1035" s="3">
        <v>45701.332268518519</v>
      </c>
      <c r="B1035" t="s">
        <v>93</v>
      </c>
      <c r="C1035" s="3">
        <v>45701.34311342593</v>
      </c>
      <c r="D1035" t="s">
        <v>371</v>
      </c>
      <c r="E1035" s="4">
        <v>8.6859999999999999</v>
      </c>
      <c r="F1035" s="4">
        <v>400545.94</v>
      </c>
      <c r="G1035" s="4">
        <v>400554.62599999999</v>
      </c>
      <c r="H1035" s="5">
        <f>179 / 86400</f>
        <v>2.0717592592592593E-3</v>
      </c>
      <c r="I1035" t="s">
        <v>203</v>
      </c>
      <c r="J1035" t="s">
        <v>162</v>
      </c>
      <c r="K1035" s="5">
        <f>936 / 86400</f>
        <v>1.0833333333333334E-2</v>
      </c>
      <c r="L1035" s="5">
        <f>39805 / 86400</f>
        <v>0.4607060185185185</v>
      </c>
    </row>
    <row r="1036" spans="1:12" x14ac:dyDescent="0.25">
      <c r="A1036" s="3">
        <v>45701.471550925926</v>
      </c>
      <c r="B1036" t="s">
        <v>371</v>
      </c>
      <c r="C1036" s="3">
        <v>45701.49428240741</v>
      </c>
      <c r="D1036" t="s">
        <v>407</v>
      </c>
      <c r="E1036" s="4">
        <v>6.6719999999999997</v>
      </c>
      <c r="F1036" s="4">
        <v>400554.62599999999</v>
      </c>
      <c r="G1036" s="4">
        <v>400561.29800000001</v>
      </c>
      <c r="H1036" s="5">
        <f>520 / 86400</f>
        <v>6.0185185185185185E-3</v>
      </c>
      <c r="I1036" t="s">
        <v>219</v>
      </c>
      <c r="J1036" t="s">
        <v>120</v>
      </c>
      <c r="K1036" s="5">
        <f>1964 / 86400</f>
        <v>2.2731481481481481E-2</v>
      </c>
      <c r="L1036" s="5">
        <f>4968 / 86400</f>
        <v>5.7500000000000002E-2</v>
      </c>
    </row>
    <row r="1037" spans="1:12" x14ac:dyDescent="0.25">
      <c r="A1037" s="3">
        <v>45701.551782407405</v>
      </c>
      <c r="B1037" t="s">
        <v>407</v>
      </c>
      <c r="C1037" s="3">
        <v>45701.574189814812</v>
      </c>
      <c r="D1037" t="s">
        <v>93</v>
      </c>
      <c r="E1037" s="4">
        <v>13.242000000000001</v>
      </c>
      <c r="F1037" s="4">
        <v>400561.29800000001</v>
      </c>
      <c r="G1037" s="4">
        <v>400574.54</v>
      </c>
      <c r="H1037" s="5">
        <f>119 / 86400</f>
        <v>1.3773148148148147E-3</v>
      </c>
      <c r="I1037" t="s">
        <v>151</v>
      </c>
      <c r="J1037" t="s">
        <v>135</v>
      </c>
      <c r="K1037" s="5">
        <f>1936 / 86400</f>
        <v>2.2407407407407407E-2</v>
      </c>
      <c r="L1037" s="5">
        <f>9672 / 86400</f>
        <v>0.11194444444444444</v>
      </c>
    </row>
    <row r="1038" spans="1:12" x14ac:dyDescent="0.25">
      <c r="A1038" s="3">
        <v>45701.68613425926</v>
      </c>
      <c r="B1038" t="s">
        <v>93</v>
      </c>
      <c r="C1038" s="3">
        <v>45701.710532407407</v>
      </c>
      <c r="D1038" t="s">
        <v>303</v>
      </c>
      <c r="E1038" s="4">
        <v>13.332000000000001</v>
      </c>
      <c r="F1038" s="4">
        <v>400574.54</v>
      </c>
      <c r="G1038" s="4">
        <v>400587.87199999997</v>
      </c>
      <c r="H1038" s="5">
        <f>459 / 86400</f>
        <v>5.3125000000000004E-3</v>
      </c>
      <c r="I1038" t="s">
        <v>282</v>
      </c>
      <c r="J1038" t="s">
        <v>152</v>
      </c>
      <c r="K1038" s="5">
        <f>2108 / 86400</f>
        <v>2.4398148148148148E-2</v>
      </c>
      <c r="L1038" s="5">
        <f>103 / 86400</f>
        <v>1.1921296296296296E-3</v>
      </c>
    </row>
    <row r="1039" spans="1:12" x14ac:dyDescent="0.25">
      <c r="A1039" s="3">
        <v>45701.711724537032</v>
      </c>
      <c r="B1039" t="s">
        <v>303</v>
      </c>
      <c r="C1039" s="3">
        <v>45701.959907407407</v>
      </c>
      <c r="D1039" t="s">
        <v>96</v>
      </c>
      <c r="E1039" s="4">
        <v>89.718999999999994</v>
      </c>
      <c r="F1039" s="4">
        <v>400587.87199999997</v>
      </c>
      <c r="G1039" s="4">
        <v>400677.59100000001</v>
      </c>
      <c r="H1039" s="5">
        <f>7658 / 86400</f>
        <v>8.863425925925926E-2</v>
      </c>
      <c r="I1039" t="s">
        <v>95</v>
      </c>
      <c r="J1039" t="s">
        <v>29</v>
      </c>
      <c r="K1039" s="5">
        <f>21442 / 86400</f>
        <v>0.24817129629629631</v>
      </c>
      <c r="L1039" s="5">
        <f>2593 / 86400</f>
        <v>3.0011574074074072E-2</v>
      </c>
    </row>
    <row r="1040" spans="1:12" x14ac:dyDescent="0.25">
      <c r="A1040" s="3">
        <v>45701.989918981482</v>
      </c>
      <c r="B1040" t="s">
        <v>96</v>
      </c>
      <c r="C1040" s="3">
        <v>45701.99998842593</v>
      </c>
      <c r="D1040" t="s">
        <v>94</v>
      </c>
      <c r="E1040" s="4">
        <v>7.4</v>
      </c>
      <c r="F1040" s="4">
        <v>400677.59100000001</v>
      </c>
      <c r="G1040" s="4">
        <v>400684.99099999998</v>
      </c>
      <c r="H1040" s="5">
        <f>60 / 86400</f>
        <v>6.9444444444444447E-4</v>
      </c>
      <c r="I1040" t="s">
        <v>207</v>
      </c>
      <c r="J1040" t="s">
        <v>169</v>
      </c>
      <c r="K1040" s="5">
        <f>870 / 86400</f>
        <v>1.0069444444444445E-2</v>
      </c>
      <c r="L1040" s="5">
        <f>0 / 86400</f>
        <v>0</v>
      </c>
    </row>
    <row r="1041" spans="1:12" x14ac:dyDescent="0.25">
      <c r="A1041" s="11"/>
      <c r="B1041" s="11"/>
      <c r="C1041" s="11"/>
      <c r="D1041" s="11"/>
      <c r="E1041" s="11"/>
      <c r="F1041" s="11"/>
      <c r="G1041" s="11"/>
      <c r="H1041" s="11"/>
      <c r="I1041" s="11"/>
      <c r="J1041" s="11"/>
    </row>
    <row r="1042" spans="1:12" x14ac:dyDescent="0.25">
      <c r="A1042" s="11"/>
      <c r="B1042" s="11"/>
      <c r="C1042" s="11"/>
      <c r="D1042" s="11"/>
      <c r="E1042" s="11"/>
      <c r="F1042" s="11"/>
      <c r="G1042" s="11"/>
      <c r="H1042" s="11"/>
      <c r="I1042" s="11"/>
      <c r="J1042" s="11"/>
    </row>
    <row r="1043" spans="1:12" s="10" customFormat="1" ht="20.100000000000001" customHeight="1" x14ac:dyDescent="0.35">
      <c r="A1043" s="12" t="s">
        <v>468</v>
      </c>
      <c r="B1043" s="12"/>
      <c r="C1043" s="12"/>
      <c r="D1043" s="12"/>
      <c r="E1043" s="12"/>
      <c r="F1043" s="12"/>
      <c r="G1043" s="12"/>
      <c r="H1043" s="12"/>
      <c r="I1043" s="12"/>
      <c r="J1043" s="12"/>
    </row>
    <row r="1044" spans="1:12" x14ac:dyDescent="0.25">
      <c r="A1044" s="11"/>
      <c r="B1044" s="11"/>
      <c r="C1044" s="11"/>
      <c r="D1044" s="11"/>
      <c r="E1044" s="11"/>
      <c r="F1044" s="11"/>
      <c r="G1044" s="11"/>
      <c r="H1044" s="11"/>
      <c r="I1044" s="11"/>
      <c r="J1044" s="11"/>
    </row>
    <row r="1045" spans="1:12" ht="30" x14ac:dyDescent="0.25">
      <c r="A1045" s="2" t="s">
        <v>5</v>
      </c>
      <c r="B1045" s="2" t="s">
        <v>6</v>
      </c>
      <c r="C1045" s="2" t="s">
        <v>7</v>
      </c>
      <c r="D1045" s="2" t="s">
        <v>8</v>
      </c>
      <c r="E1045" s="2" t="s">
        <v>9</v>
      </c>
      <c r="F1045" s="2" t="s">
        <v>10</v>
      </c>
      <c r="G1045" s="2" t="s">
        <v>11</v>
      </c>
      <c r="H1045" s="2" t="s">
        <v>12</v>
      </c>
      <c r="I1045" s="2" t="s">
        <v>13</v>
      </c>
      <c r="J1045" s="2" t="s">
        <v>14</v>
      </c>
      <c r="K1045" s="2" t="s">
        <v>15</v>
      </c>
      <c r="L1045" s="2" t="s">
        <v>16</v>
      </c>
    </row>
    <row r="1046" spans="1:12" x14ac:dyDescent="0.25">
      <c r="A1046" s="3">
        <v>45701.305347222224</v>
      </c>
      <c r="B1046" t="s">
        <v>27</v>
      </c>
      <c r="C1046" s="3">
        <v>45701.308622685188</v>
      </c>
      <c r="D1046" t="s">
        <v>27</v>
      </c>
      <c r="E1046" s="4">
        <v>0.44</v>
      </c>
      <c r="F1046" s="4">
        <v>382537.56800000003</v>
      </c>
      <c r="G1046" s="4">
        <v>382538.00799999997</v>
      </c>
      <c r="H1046" s="5">
        <f>59 / 86400</f>
        <v>6.8287037037037036E-4</v>
      </c>
      <c r="I1046" t="s">
        <v>20</v>
      </c>
      <c r="J1046" t="s">
        <v>156</v>
      </c>
      <c r="K1046" s="5">
        <f>282 / 86400</f>
        <v>3.2638888888888891E-3</v>
      </c>
      <c r="L1046" s="5">
        <f>28037 / 86400</f>
        <v>0.32450231481481484</v>
      </c>
    </row>
    <row r="1047" spans="1:12" x14ac:dyDescent="0.25">
      <c r="A1047" s="3">
        <v>45701.327777777777</v>
      </c>
      <c r="B1047" t="s">
        <v>27</v>
      </c>
      <c r="C1047" s="3">
        <v>45701.38144675926</v>
      </c>
      <c r="D1047" t="s">
        <v>104</v>
      </c>
      <c r="E1047" s="4">
        <v>25.34</v>
      </c>
      <c r="F1047" s="4">
        <v>382538.00799999997</v>
      </c>
      <c r="G1047" s="4">
        <v>382563.348</v>
      </c>
      <c r="H1047" s="5">
        <f>1200 / 86400</f>
        <v>1.3888888888888888E-2</v>
      </c>
      <c r="I1047" t="s">
        <v>184</v>
      </c>
      <c r="J1047" t="s">
        <v>34</v>
      </c>
      <c r="K1047" s="5">
        <f>4637 / 86400</f>
        <v>5.3668981481481484E-2</v>
      </c>
      <c r="L1047" s="5">
        <f>484 / 86400</f>
        <v>5.6018518518518518E-3</v>
      </c>
    </row>
    <row r="1048" spans="1:12" x14ac:dyDescent="0.25">
      <c r="A1048" s="3">
        <v>45701.387048611112</v>
      </c>
      <c r="B1048" t="s">
        <v>104</v>
      </c>
      <c r="C1048" s="3">
        <v>45701.391423611116</v>
      </c>
      <c r="D1048" t="s">
        <v>133</v>
      </c>
      <c r="E1048" s="4">
        <v>1.272</v>
      </c>
      <c r="F1048" s="4">
        <v>382563.348</v>
      </c>
      <c r="G1048" s="4">
        <v>382564.62</v>
      </c>
      <c r="H1048" s="5">
        <f>60 / 86400</f>
        <v>6.9444444444444447E-4</v>
      </c>
      <c r="I1048" t="s">
        <v>219</v>
      </c>
      <c r="J1048" t="s">
        <v>120</v>
      </c>
      <c r="K1048" s="5">
        <f>377 / 86400</f>
        <v>4.363425925925926E-3</v>
      </c>
      <c r="L1048" s="5">
        <f>543 / 86400</f>
        <v>6.2847222222222219E-3</v>
      </c>
    </row>
    <row r="1049" spans="1:12" x14ac:dyDescent="0.25">
      <c r="A1049" s="3">
        <v>45701.39770833333</v>
      </c>
      <c r="B1049" t="s">
        <v>133</v>
      </c>
      <c r="C1049" s="3">
        <v>45701.398495370369</v>
      </c>
      <c r="D1049" t="s">
        <v>133</v>
      </c>
      <c r="E1049" s="4">
        <v>2.5000000000000001E-2</v>
      </c>
      <c r="F1049" s="4">
        <v>382564.62</v>
      </c>
      <c r="G1049" s="4">
        <v>382564.64500000002</v>
      </c>
      <c r="H1049" s="5">
        <f>20 / 86400</f>
        <v>2.3148148148148149E-4</v>
      </c>
      <c r="I1049" t="s">
        <v>37</v>
      </c>
      <c r="J1049" t="s">
        <v>125</v>
      </c>
      <c r="K1049" s="5">
        <f>67 / 86400</f>
        <v>7.7546296296296293E-4</v>
      </c>
      <c r="L1049" s="5">
        <f>3646 / 86400</f>
        <v>4.2199074074074076E-2</v>
      </c>
    </row>
    <row r="1050" spans="1:12" x14ac:dyDescent="0.25">
      <c r="A1050" s="3">
        <v>45701.440694444449</v>
      </c>
      <c r="B1050" t="s">
        <v>133</v>
      </c>
      <c r="C1050" s="3">
        <v>45701.443506944444</v>
      </c>
      <c r="D1050" t="s">
        <v>47</v>
      </c>
      <c r="E1050" s="4">
        <v>0.92100000000000004</v>
      </c>
      <c r="F1050" s="4">
        <v>382564.64500000002</v>
      </c>
      <c r="G1050" s="4">
        <v>382565.56599999999</v>
      </c>
      <c r="H1050" s="5">
        <f>20 / 86400</f>
        <v>2.3148148148148149E-4</v>
      </c>
      <c r="I1050" t="s">
        <v>132</v>
      </c>
      <c r="J1050" t="s">
        <v>43</v>
      </c>
      <c r="K1050" s="5">
        <f>242 / 86400</f>
        <v>2.8009259259259259E-3</v>
      </c>
      <c r="L1050" s="5">
        <f>4497 / 86400</f>
        <v>5.2048611111111108E-2</v>
      </c>
    </row>
    <row r="1051" spans="1:12" x14ac:dyDescent="0.25">
      <c r="A1051" s="3">
        <v>45701.495555555557</v>
      </c>
      <c r="B1051" t="s">
        <v>47</v>
      </c>
      <c r="C1051" s="3">
        <v>45701.616331018522</v>
      </c>
      <c r="D1051" t="s">
        <v>175</v>
      </c>
      <c r="E1051" s="4">
        <v>50.639000000000003</v>
      </c>
      <c r="F1051" s="4">
        <v>382565.56599999999</v>
      </c>
      <c r="G1051" s="4">
        <v>382616.20500000002</v>
      </c>
      <c r="H1051" s="5">
        <f>3418 / 86400</f>
        <v>3.9560185185185184E-2</v>
      </c>
      <c r="I1051" t="s">
        <v>75</v>
      </c>
      <c r="J1051" t="s">
        <v>20</v>
      </c>
      <c r="K1051" s="5">
        <f>10435 / 86400</f>
        <v>0.12077546296296296</v>
      </c>
      <c r="L1051" s="5">
        <f>46 / 86400</f>
        <v>5.3240740740740744E-4</v>
      </c>
    </row>
    <row r="1052" spans="1:12" x14ac:dyDescent="0.25">
      <c r="A1052" s="3">
        <v>45701.616863425923</v>
      </c>
      <c r="B1052" t="s">
        <v>175</v>
      </c>
      <c r="C1052" s="3">
        <v>45701.763981481483</v>
      </c>
      <c r="D1052" t="s">
        <v>385</v>
      </c>
      <c r="E1052" s="4">
        <v>49.802999999999997</v>
      </c>
      <c r="F1052" s="4">
        <v>382616.20500000002</v>
      </c>
      <c r="G1052" s="4">
        <v>382666.00799999997</v>
      </c>
      <c r="H1052" s="5">
        <f>4480 / 86400</f>
        <v>5.185185185185185E-2</v>
      </c>
      <c r="I1052" t="s">
        <v>186</v>
      </c>
      <c r="J1052" t="s">
        <v>43</v>
      </c>
      <c r="K1052" s="5">
        <f>12711 / 86400</f>
        <v>0.14711805555555554</v>
      </c>
      <c r="L1052" s="5">
        <f>450 / 86400</f>
        <v>5.208333333333333E-3</v>
      </c>
    </row>
    <row r="1053" spans="1:12" x14ac:dyDescent="0.25">
      <c r="A1053" s="3">
        <v>45701.769189814819</v>
      </c>
      <c r="B1053" t="s">
        <v>385</v>
      </c>
      <c r="C1053" s="3">
        <v>45701.771122685182</v>
      </c>
      <c r="D1053" t="s">
        <v>385</v>
      </c>
      <c r="E1053" s="4">
        <v>1.7999999999999999E-2</v>
      </c>
      <c r="F1053" s="4">
        <v>382666.00799999997</v>
      </c>
      <c r="G1053" s="4">
        <v>382666.02600000001</v>
      </c>
      <c r="H1053" s="5">
        <f>120 / 86400</f>
        <v>1.3888888888888889E-3</v>
      </c>
      <c r="I1053" t="s">
        <v>37</v>
      </c>
      <c r="J1053" t="s">
        <v>91</v>
      </c>
      <c r="K1053" s="5">
        <f>166 / 86400</f>
        <v>1.9212962962962964E-3</v>
      </c>
      <c r="L1053" s="5">
        <f>575 / 86400</f>
        <v>6.6550925925925927E-3</v>
      </c>
    </row>
    <row r="1054" spans="1:12" x14ac:dyDescent="0.25">
      <c r="A1054" s="3">
        <v>45701.777777777781</v>
      </c>
      <c r="B1054" t="s">
        <v>385</v>
      </c>
      <c r="C1054" s="3">
        <v>45701.779930555553</v>
      </c>
      <c r="D1054" t="s">
        <v>144</v>
      </c>
      <c r="E1054" s="4">
        <v>0.94699999999999995</v>
      </c>
      <c r="F1054" s="4">
        <v>382666.02600000001</v>
      </c>
      <c r="G1054" s="4">
        <v>382666.973</v>
      </c>
      <c r="H1054" s="5">
        <f>20 / 86400</f>
        <v>2.3148148148148149E-4</v>
      </c>
      <c r="I1054" t="s">
        <v>284</v>
      </c>
      <c r="J1054" t="s">
        <v>76</v>
      </c>
      <c r="K1054" s="5">
        <f>185 / 86400</f>
        <v>2.1412037037037038E-3</v>
      </c>
      <c r="L1054" s="5">
        <f>391 / 86400</f>
        <v>4.5254629629629629E-3</v>
      </c>
    </row>
    <row r="1055" spans="1:12" x14ac:dyDescent="0.25">
      <c r="A1055" s="3">
        <v>45701.784456018519</v>
      </c>
      <c r="B1055" t="s">
        <v>144</v>
      </c>
      <c r="C1055" s="3">
        <v>45701.840300925927</v>
      </c>
      <c r="D1055" t="s">
        <v>408</v>
      </c>
      <c r="E1055" s="4">
        <v>30.847999999999999</v>
      </c>
      <c r="F1055" s="4">
        <v>382666.973</v>
      </c>
      <c r="G1055" s="4">
        <v>382697.821</v>
      </c>
      <c r="H1055" s="5">
        <f>1200 / 86400</f>
        <v>1.3888888888888888E-2</v>
      </c>
      <c r="I1055" t="s">
        <v>55</v>
      </c>
      <c r="J1055" t="s">
        <v>152</v>
      </c>
      <c r="K1055" s="5">
        <f>4825 / 86400</f>
        <v>5.5844907407407406E-2</v>
      </c>
      <c r="L1055" s="5">
        <f>211 / 86400</f>
        <v>2.4421296296296296E-3</v>
      </c>
    </row>
    <row r="1056" spans="1:12" x14ac:dyDescent="0.25">
      <c r="A1056" s="3">
        <v>45701.84274305556</v>
      </c>
      <c r="B1056" t="s">
        <v>408</v>
      </c>
      <c r="C1056" s="3">
        <v>45701.844189814816</v>
      </c>
      <c r="D1056" t="s">
        <v>27</v>
      </c>
      <c r="E1056" s="4">
        <v>0.45600000000000002</v>
      </c>
      <c r="F1056" s="4">
        <v>382697.821</v>
      </c>
      <c r="G1056" s="4">
        <v>382698.277</v>
      </c>
      <c r="H1056" s="5">
        <f>0 / 86400</f>
        <v>0</v>
      </c>
      <c r="I1056" t="s">
        <v>51</v>
      </c>
      <c r="J1056" t="s">
        <v>58</v>
      </c>
      <c r="K1056" s="5">
        <f>125 / 86400</f>
        <v>1.4467592592592592E-3</v>
      </c>
      <c r="L1056" s="5">
        <f>266 / 86400</f>
        <v>3.0787037037037037E-3</v>
      </c>
    </row>
    <row r="1057" spans="1:12" x14ac:dyDescent="0.25">
      <c r="A1057" s="3">
        <v>45701.847268518519</v>
      </c>
      <c r="B1057" t="s">
        <v>27</v>
      </c>
      <c r="C1057" s="3">
        <v>45701.848113425927</v>
      </c>
      <c r="D1057" t="s">
        <v>27</v>
      </c>
      <c r="E1057" s="4">
        <v>2.5999999999999999E-2</v>
      </c>
      <c r="F1057" s="4">
        <v>382698.277</v>
      </c>
      <c r="G1057" s="4">
        <v>382698.30300000001</v>
      </c>
      <c r="H1057" s="5">
        <f>20 / 86400</f>
        <v>2.3148148148148149E-4</v>
      </c>
      <c r="I1057" t="s">
        <v>110</v>
      </c>
      <c r="J1057" t="s">
        <v>125</v>
      </c>
      <c r="K1057" s="5">
        <f>72 / 86400</f>
        <v>8.3333333333333339E-4</v>
      </c>
      <c r="L1057" s="5">
        <f>13122 / 86400</f>
        <v>0.15187500000000001</v>
      </c>
    </row>
    <row r="1058" spans="1:12" x14ac:dyDescent="0.25">
      <c r="A1058" s="11"/>
      <c r="B1058" s="11"/>
      <c r="C1058" s="11"/>
      <c r="D1058" s="11"/>
      <c r="E1058" s="11"/>
      <c r="F1058" s="11"/>
      <c r="G1058" s="11"/>
      <c r="H1058" s="11"/>
      <c r="I1058" s="11"/>
      <c r="J1058" s="11"/>
    </row>
    <row r="1059" spans="1:12" x14ac:dyDescent="0.25">
      <c r="A1059" s="11"/>
      <c r="B1059" s="11"/>
      <c r="C1059" s="11"/>
      <c r="D1059" s="11"/>
      <c r="E1059" s="11"/>
      <c r="F1059" s="11"/>
      <c r="G1059" s="11"/>
      <c r="H1059" s="11"/>
      <c r="I1059" s="11"/>
      <c r="J1059" s="11"/>
    </row>
    <row r="1060" spans="1:12" s="10" customFormat="1" ht="20.100000000000001" customHeight="1" x14ac:dyDescent="0.35">
      <c r="A1060" s="12" t="s">
        <v>469</v>
      </c>
      <c r="B1060" s="12"/>
      <c r="C1060" s="12"/>
      <c r="D1060" s="12"/>
      <c r="E1060" s="12"/>
      <c r="F1060" s="12"/>
      <c r="G1060" s="12"/>
      <c r="H1060" s="12"/>
      <c r="I1060" s="12"/>
      <c r="J1060" s="12"/>
    </row>
    <row r="1061" spans="1:12" x14ac:dyDescent="0.25">
      <c r="A1061" s="11"/>
      <c r="B1061" s="11"/>
      <c r="C1061" s="11"/>
      <c r="D1061" s="11"/>
      <c r="E1061" s="11"/>
      <c r="F1061" s="11"/>
      <c r="G1061" s="11"/>
      <c r="H1061" s="11"/>
      <c r="I1061" s="11"/>
      <c r="J1061" s="11"/>
    </row>
    <row r="1062" spans="1:12" ht="30" x14ac:dyDescent="0.25">
      <c r="A1062" s="2" t="s">
        <v>5</v>
      </c>
      <c r="B1062" s="2" t="s">
        <v>6</v>
      </c>
      <c r="C1062" s="2" t="s">
        <v>7</v>
      </c>
      <c r="D1062" s="2" t="s">
        <v>8</v>
      </c>
      <c r="E1062" s="2" t="s">
        <v>9</v>
      </c>
      <c r="F1062" s="2" t="s">
        <v>10</v>
      </c>
      <c r="G1062" s="2" t="s">
        <v>11</v>
      </c>
      <c r="H1062" s="2" t="s">
        <v>12</v>
      </c>
      <c r="I1062" s="2" t="s">
        <v>13</v>
      </c>
      <c r="J1062" s="2" t="s">
        <v>14</v>
      </c>
      <c r="K1062" s="2" t="s">
        <v>15</v>
      </c>
      <c r="L1062" s="2" t="s">
        <v>16</v>
      </c>
    </row>
    <row r="1063" spans="1:12" x14ac:dyDescent="0.25">
      <c r="A1063" s="3">
        <v>45701.192708333328</v>
      </c>
      <c r="B1063" t="s">
        <v>18</v>
      </c>
      <c r="C1063" s="3">
        <v>45701.193726851852</v>
      </c>
      <c r="D1063" t="s">
        <v>18</v>
      </c>
      <c r="E1063" s="4">
        <v>8.9999999999999993E-3</v>
      </c>
      <c r="F1063" s="4">
        <v>546126.37899999996</v>
      </c>
      <c r="G1063" s="4">
        <v>546126.38800000004</v>
      </c>
      <c r="H1063" s="5">
        <f>79 / 86400</f>
        <v>9.1435185185185185E-4</v>
      </c>
      <c r="I1063" t="s">
        <v>91</v>
      </c>
      <c r="J1063" t="s">
        <v>91</v>
      </c>
      <c r="K1063" s="5">
        <f>88 / 86400</f>
        <v>1.0185185185185184E-3</v>
      </c>
      <c r="L1063" s="5">
        <f>22882 / 86400</f>
        <v>0.26483796296296297</v>
      </c>
    </row>
    <row r="1064" spans="1:12" x14ac:dyDescent="0.25">
      <c r="A1064" s="3">
        <v>45701.265856481477</v>
      </c>
      <c r="B1064" t="s">
        <v>18</v>
      </c>
      <c r="C1064" s="3">
        <v>45701.266018518523</v>
      </c>
      <c r="D1064" t="s">
        <v>18</v>
      </c>
      <c r="E1064" s="4">
        <v>2E-3</v>
      </c>
      <c r="F1064" s="4">
        <v>546126.38800000004</v>
      </c>
      <c r="G1064" s="4">
        <v>546126.39</v>
      </c>
      <c r="H1064" s="5">
        <f>0 / 86400</f>
        <v>0</v>
      </c>
      <c r="I1064" t="s">
        <v>91</v>
      </c>
      <c r="J1064" t="s">
        <v>125</v>
      </c>
      <c r="K1064" s="5">
        <f>14 / 86400</f>
        <v>1.6203703703703703E-4</v>
      </c>
      <c r="L1064" s="5">
        <f>1838 / 86400</f>
        <v>2.1273148148148149E-2</v>
      </c>
    </row>
    <row r="1065" spans="1:12" x14ac:dyDescent="0.25">
      <c r="A1065" s="3">
        <v>45701.287291666667</v>
      </c>
      <c r="B1065" t="s">
        <v>18</v>
      </c>
      <c r="C1065" s="3">
        <v>45701.557962962965</v>
      </c>
      <c r="D1065" t="s">
        <v>158</v>
      </c>
      <c r="E1065" s="4">
        <v>101.79</v>
      </c>
      <c r="F1065" s="4">
        <v>546126.39</v>
      </c>
      <c r="G1065" s="4">
        <v>546228.18000000005</v>
      </c>
      <c r="H1065" s="5">
        <f>8523 / 86400</f>
        <v>9.8645833333333335E-2</v>
      </c>
      <c r="I1065" t="s">
        <v>70</v>
      </c>
      <c r="J1065" t="s">
        <v>51</v>
      </c>
      <c r="K1065" s="5">
        <f>23385 / 86400</f>
        <v>0.27065972222222223</v>
      </c>
      <c r="L1065" s="5">
        <f>923 / 86400</f>
        <v>1.068287037037037E-2</v>
      </c>
    </row>
    <row r="1066" spans="1:12" x14ac:dyDescent="0.25">
      <c r="A1066" s="3">
        <v>45701.568645833337</v>
      </c>
      <c r="B1066" t="s">
        <v>158</v>
      </c>
      <c r="C1066" s="3">
        <v>45701.571898148148</v>
      </c>
      <c r="D1066" t="s">
        <v>21</v>
      </c>
      <c r="E1066" s="4">
        <v>0.65</v>
      </c>
      <c r="F1066" s="4">
        <v>546228.18000000005</v>
      </c>
      <c r="G1066" s="4">
        <v>546228.82999999996</v>
      </c>
      <c r="H1066" s="5">
        <f>59 / 86400</f>
        <v>6.8287037037037036E-4</v>
      </c>
      <c r="I1066" t="s">
        <v>71</v>
      </c>
      <c r="J1066" t="s">
        <v>90</v>
      </c>
      <c r="K1066" s="5">
        <f>280 / 86400</f>
        <v>3.2407407407407406E-3</v>
      </c>
      <c r="L1066" s="5">
        <f>126 / 86400</f>
        <v>1.4583333333333334E-3</v>
      </c>
    </row>
    <row r="1067" spans="1:12" x14ac:dyDescent="0.25">
      <c r="A1067" s="3">
        <v>45701.57335648148</v>
      </c>
      <c r="B1067" t="s">
        <v>21</v>
      </c>
      <c r="C1067" s="3">
        <v>45701.577708333338</v>
      </c>
      <c r="D1067" t="s">
        <v>144</v>
      </c>
      <c r="E1067" s="4">
        <v>0.34599999999999997</v>
      </c>
      <c r="F1067" s="4">
        <v>546228.82999999996</v>
      </c>
      <c r="G1067" s="4">
        <v>546229.17599999998</v>
      </c>
      <c r="H1067" s="5">
        <f>220 / 86400</f>
        <v>2.5462962962962965E-3</v>
      </c>
      <c r="I1067" t="s">
        <v>135</v>
      </c>
      <c r="J1067" t="s">
        <v>124</v>
      </c>
      <c r="K1067" s="5">
        <f>376 / 86400</f>
        <v>4.3518518518518515E-3</v>
      </c>
      <c r="L1067" s="5">
        <f>80 / 86400</f>
        <v>9.2592592592592596E-4</v>
      </c>
    </row>
    <row r="1068" spans="1:12" x14ac:dyDescent="0.25">
      <c r="A1068" s="3">
        <v>45701.578634259262</v>
      </c>
      <c r="B1068" t="s">
        <v>144</v>
      </c>
      <c r="C1068" s="3">
        <v>45701.57975694444</v>
      </c>
      <c r="D1068" t="s">
        <v>144</v>
      </c>
      <c r="E1068" s="4">
        <v>0</v>
      </c>
      <c r="F1068" s="4">
        <v>546229.17599999998</v>
      </c>
      <c r="G1068" s="4">
        <v>546229.17599999998</v>
      </c>
      <c r="H1068" s="5">
        <f>79 / 86400</f>
        <v>9.1435185185185185E-4</v>
      </c>
      <c r="I1068" t="s">
        <v>91</v>
      </c>
      <c r="J1068" t="s">
        <v>91</v>
      </c>
      <c r="K1068" s="5">
        <f>97 / 86400</f>
        <v>1.1226851851851851E-3</v>
      </c>
      <c r="L1068" s="5">
        <f>1709 / 86400</f>
        <v>1.9780092592592592E-2</v>
      </c>
    </row>
    <row r="1069" spans="1:12" x14ac:dyDescent="0.25">
      <c r="A1069" s="3">
        <v>45701.599537037036</v>
      </c>
      <c r="B1069" t="s">
        <v>144</v>
      </c>
      <c r="C1069" s="3">
        <v>45701.600115740745</v>
      </c>
      <c r="D1069" t="s">
        <v>89</v>
      </c>
      <c r="E1069" s="4">
        <v>8.0000000000000002E-3</v>
      </c>
      <c r="F1069" s="4">
        <v>546229.17599999998</v>
      </c>
      <c r="G1069" s="4">
        <v>546229.18400000001</v>
      </c>
      <c r="H1069" s="5">
        <f>39 / 86400</f>
        <v>4.5138888888888887E-4</v>
      </c>
      <c r="I1069" t="s">
        <v>37</v>
      </c>
      <c r="J1069" t="s">
        <v>125</v>
      </c>
      <c r="K1069" s="5">
        <f>50 / 86400</f>
        <v>5.7870370370370367E-4</v>
      </c>
      <c r="L1069" s="5">
        <f>4582 / 86400</f>
        <v>5.303240740740741E-2</v>
      </c>
    </row>
    <row r="1070" spans="1:12" x14ac:dyDescent="0.25">
      <c r="A1070" s="3">
        <v>45701.653148148151</v>
      </c>
      <c r="B1070" t="s">
        <v>89</v>
      </c>
      <c r="C1070" s="3">
        <v>45701.654953703706</v>
      </c>
      <c r="D1070" t="s">
        <v>89</v>
      </c>
      <c r="E1070" s="4">
        <v>0.05</v>
      </c>
      <c r="F1070" s="4">
        <v>546229.18400000001</v>
      </c>
      <c r="G1070" s="4">
        <v>546229.23400000005</v>
      </c>
      <c r="H1070" s="5">
        <f>79 / 86400</f>
        <v>9.1435185185185185E-4</v>
      </c>
      <c r="I1070" t="s">
        <v>37</v>
      </c>
      <c r="J1070" t="s">
        <v>125</v>
      </c>
      <c r="K1070" s="5">
        <f>156 / 86400</f>
        <v>1.8055555555555555E-3</v>
      </c>
      <c r="L1070" s="5">
        <f>2401 / 86400</f>
        <v>2.7789351851851853E-2</v>
      </c>
    </row>
    <row r="1071" spans="1:12" x14ac:dyDescent="0.25">
      <c r="A1071" s="3">
        <v>45701.682743055557</v>
      </c>
      <c r="B1071" t="s">
        <v>89</v>
      </c>
      <c r="C1071" s="3">
        <v>45701.683900462958</v>
      </c>
      <c r="D1071" t="s">
        <v>144</v>
      </c>
      <c r="E1071" s="4">
        <v>1.9E-2</v>
      </c>
      <c r="F1071" s="4">
        <v>546229.23400000005</v>
      </c>
      <c r="G1071" s="4">
        <v>546229.25300000003</v>
      </c>
      <c r="H1071" s="5">
        <f>40 / 86400</f>
        <v>4.6296296296296298E-4</v>
      </c>
      <c r="I1071" t="s">
        <v>125</v>
      </c>
      <c r="J1071" t="s">
        <v>125</v>
      </c>
      <c r="K1071" s="5">
        <f>100 / 86400</f>
        <v>1.1574074074074073E-3</v>
      </c>
      <c r="L1071" s="5">
        <f>6790 / 86400</f>
        <v>7.8587962962962957E-2</v>
      </c>
    </row>
    <row r="1072" spans="1:12" x14ac:dyDescent="0.25">
      <c r="A1072" s="3">
        <v>45701.762488425928</v>
      </c>
      <c r="B1072" t="s">
        <v>144</v>
      </c>
      <c r="C1072" s="3">
        <v>45701.975752314815</v>
      </c>
      <c r="D1072" t="s">
        <v>160</v>
      </c>
      <c r="E1072" s="4">
        <v>94.480999999999995</v>
      </c>
      <c r="F1072" s="4">
        <v>546229.25300000003</v>
      </c>
      <c r="G1072" s="4">
        <v>546323.73400000005</v>
      </c>
      <c r="H1072" s="5">
        <f>5561 / 86400</f>
        <v>6.4363425925925921E-2</v>
      </c>
      <c r="I1072" t="s">
        <v>32</v>
      </c>
      <c r="J1072" t="s">
        <v>76</v>
      </c>
      <c r="K1072" s="5">
        <f>18425 / 86400</f>
        <v>0.21325231481481483</v>
      </c>
      <c r="L1072" s="5">
        <f>258 / 86400</f>
        <v>2.9861111111111113E-3</v>
      </c>
    </row>
    <row r="1073" spans="1:12" x14ac:dyDescent="0.25">
      <c r="A1073" s="3">
        <v>45701.978738425925</v>
      </c>
      <c r="B1073" t="s">
        <v>160</v>
      </c>
      <c r="C1073" s="3">
        <v>45701.980671296296</v>
      </c>
      <c r="D1073" t="s">
        <v>18</v>
      </c>
      <c r="E1073" s="4">
        <v>0.313</v>
      </c>
      <c r="F1073" s="4">
        <v>546323.73400000005</v>
      </c>
      <c r="G1073" s="4">
        <v>546324.04700000002</v>
      </c>
      <c r="H1073" s="5">
        <f>60 / 86400</f>
        <v>6.9444444444444447E-4</v>
      </c>
      <c r="I1073" t="s">
        <v>71</v>
      </c>
      <c r="J1073" t="s">
        <v>161</v>
      </c>
      <c r="K1073" s="5">
        <f>166 / 86400</f>
        <v>1.9212962962962964E-3</v>
      </c>
      <c r="L1073" s="5">
        <f>1669 / 86400</f>
        <v>1.9317129629629629E-2</v>
      </c>
    </row>
    <row r="1074" spans="1:12" x14ac:dyDescent="0.25">
      <c r="A1074" s="11"/>
      <c r="B1074" s="11"/>
      <c r="C1074" s="11"/>
      <c r="D1074" s="11"/>
      <c r="E1074" s="11"/>
      <c r="F1074" s="11"/>
      <c r="G1074" s="11"/>
      <c r="H1074" s="11"/>
      <c r="I1074" s="11"/>
      <c r="J1074" s="11"/>
    </row>
    <row r="1075" spans="1:12" x14ac:dyDescent="0.25">
      <c r="A1075" s="11"/>
      <c r="B1075" s="11"/>
      <c r="C1075" s="11"/>
      <c r="D1075" s="11"/>
      <c r="E1075" s="11"/>
      <c r="F1075" s="11"/>
      <c r="G1075" s="11"/>
      <c r="H1075" s="11"/>
      <c r="I1075" s="11"/>
      <c r="J1075" s="11"/>
    </row>
    <row r="1076" spans="1:12" s="10" customFormat="1" ht="20.100000000000001" customHeight="1" x14ac:dyDescent="0.35">
      <c r="A1076" s="12" t="s">
        <v>470</v>
      </c>
      <c r="B1076" s="12"/>
      <c r="C1076" s="12"/>
      <c r="D1076" s="12"/>
      <c r="E1076" s="12"/>
      <c r="F1076" s="12"/>
      <c r="G1076" s="12"/>
      <c r="H1076" s="12"/>
      <c r="I1076" s="12"/>
      <c r="J1076" s="12"/>
    </row>
    <row r="1077" spans="1:12" x14ac:dyDescent="0.25">
      <c r="A1077" s="11"/>
      <c r="B1077" s="11"/>
      <c r="C1077" s="11"/>
      <c r="D1077" s="11"/>
      <c r="E1077" s="11"/>
      <c r="F1077" s="11"/>
      <c r="G1077" s="11"/>
      <c r="H1077" s="11"/>
      <c r="I1077" s="11"/>
      <c r="J1077" s="11"/>
    </row>
    <row r="1078" spans="1:12" ht="30" x14ac:dyDescent="0.25">
      <c r="A1078" s="2" t="s">
        <v>5</v>
      </c>
      <c r="B1078" s="2" t="s">
        <v>6</v>
      </c>
      <c r="C1078" s="2" t="s">
        <v>7</v>
      </c>
      <c r="D1078" s="2" t="s">
        <v>8</v>
      </c>
      <c r="E1078" s="2" t="s">
        <v>9</v>
      </c>
      <c r="F1078" s="2" t="s">
        <v>10</v>
      </c>
      <c r="G1078" s="2" t="s">
        <v>11</v>
      </c>
      <c r="H1078" s="2" t="s">
        <v>12</v>
      </c>
      <c r="I1078" s="2" t="s">
        <v>13</v>
      </c>
      <c r="J1078" s="2" t="s">
        <v>14</v>
      </c>
      <c r="K1078" s="2" t="s">
        <v>15</v>
      </c>
      <c r="L1078" s="2" t="s">
        <v>16</v>
      </c>
    </row>
    <row r="1079" spans="1:12" x14ac:dyDescent="0.25">
      <c r="A1079" s="3">
        <v>45701</v>
      </c>
      <c r="B1079" t="s">
        <v>48</v>
      </c>
      <c r="C1079" s="3">
        <v>45701.001261574071</v>
      </c>
      <c r="D1079" t="s">
        <v>48</v>
      </c>
      <c r="E1079" s="4">
        <v>0</v>
      </c>
      <c r="F1079" s="4">
        <v>103666.243</v>
      </c>
      <c r="G1079" s="4">
        <v>103666.243</v>
      </c>
      <c r="H1079" s="5">
        <f>100 / 86400</f>
        <v>1.1574074074074073E-3</v>
      </c>
      <c r="I1079" t="s">
        <v>91</v>
      </c>
      <c r="J1079" t="s">
        <v>91</v>
      </c>
      <c r="K1079" s="5">
        <f>109 / 86400</f>
        <v>1.261574074074074E-3</v>
      </c>
      <c r="L1079" s="5">
        <f>3 / 86400</f>
        <v>3.4722222222222222E-5</v>
      </c>
    </row>
    <row r="1080" spans="1:12" x14ac:dyDescent="0.25">
      <c r="A1080" s="3">
        <v>45701.001296296294</v>
      </c>
      <c r="B1080" t="s">
        <v>48</v>
      </c>
      <c r="C1080" s="3">
        <v>45701.019976851851</v>
      </c>
      <c r="D1080" t="s">
        <v>48</v>
      </c>
      <c r="E1080" s="4">
        <v>0</v>
      </c>
      <c r="F1080" s="4">
        <v>103666.243</v>
      </c>
      <c r="G1080" s="4">
        <v>103666.243</v>
      </c>
      <c r="H1080" s="5">
        <f>1602 / 86400</f>
        <v>1.8541666666666668E-2</v>
      </c>
      <c r="I1080" t="s">
        <v>91</v>
      </c>
      <c r="J1080" t="s">
        <v>91</v>
      </c>
      <c r="K1080" s="5">
        <f>1614 / 86400</f>
        <v>1.8680555555555554E-2</v>
      </c>
      <c r="L1080" s="5">
        <f>100 / 86400</f>
        <v>1.1574074074074073E-3</v>
      </c>
    </row>
    <row r="1081" spans="1:12" x14ac:dyDescent="0.25">
      <c r="A1081" s="3">
        <v>45701.021134259259</v>
      </c>
      <c r="B1081" t="s">
        <v>48</v>
      </c>
      <c r="C1081" s="3">
        <v>45701.103634259256</v>
      </c>
      <c r="D1081" t="s">
        <v>297</v>
      </c>
      <c r="E1081" s="4">
        <v>41.936999999999998</v>
      </c>
      <c r="F1081" s="4">
        <v>103666.243</v>
      </c>
      <c r="G1081" s="4">
        <v>103708.18</v>
      </c>
      <c r="H1081" s="5">
        <f>2338 / 86400</f>
        <v>2.7060185185185184E-2</v>
      </c>
      <c r="I1081" t="s">
        <v>200</v>
      </c>
      <c r="J1081" t="s">
        <v>74</v>
      </c>
      <c r="K1081" s="5">
        <f>7128 / 86400</f>
        <v>8.2500000000000004E-2</v>
      </c>
      <c r="L1081" s="5">
        <f>304 / 86400</f>
        <v>3.5185185185185185E-3</v>
      </c>
    </row>
    <row r="1082" spans="1:12" x14ac:dyDescent="0.25">
      <c r="A1082" s="3">
        <v>45701.107152777782</v>
      </c>
      <c r="B1082" t="s">
        <v>297</v>
      </c>
      <c r="C1082" s="3">
        <v>45701.115798611107</v>
      </c>
      <c r="D1082" t="s">
        <v>96</v>
      </c>
      <c r="E1082" s="4">
        <v>5.468</v>
      </c>
      <c r="F1082" s="4">
        <v>103708.18</v>
      </c>
      <c r="G1082" s="4">
        <v>103713.648</v>
      </c>
      <c r="H1082" s="5">
        <f>99 / 86400</f>
        <v>1.1458333333333333E-3</v>
      </c>
      <c r="I1082" t="s">
        <v>282</v>
      </c>
      <c r="J1082" t="s">
        <v>138</v>
      </c>
      <c r="K1082" s="5">
        <f>747 / 86400</f>
        <v>8.6458333333333335E-3</v>
      </c>
      <c r="L1082" s="5">
        <f>682 / 86400</f>
        <v>7.8935185185185185E-3</v>
      </c>
    </row>
    <row r="1083" spans="1:12" x14ac:dyDescent="0.25">
      <c r="A1083" s="3">
        <v>45701.123692129629</v>
      </c>
      <c r="B1083" t="s">
        <v>96</v>
      </c>
      <c r="C1083" s="3">
        <v>45701.124965277777</v>
      </c>
      <c r="D1083" t="s">
        <v>106</v>
      </c>
      <c r="E1083" s="4">
        <v>0.54800000000000004</v>
      </c>
      <c r="F1083" s="4">
        <v>103713.648</v>
      </c>
      <c r="G1083" s="4">
        <v>103714.196</v>
      </c>
      <c r="H1083" s="5">
        <f>0 / 86400</f>
        <v>0</v>
      </c>
      <c r="I1083" t="s">
        <v>268</v>
      </c>
      <c r="J1083" t="s">
        <v>76</v>
      </c>
      <c r="K1083" s="5">
        <f>110 / 86400</f>
        <v>1.2731481481481483E-3</v>
      </c>
      <c r="L1083" s="5">
        <f>1674 / 86400</f>
        <v>1.9375E-2</v>
      </c>
    </row>
    <row r="1084" spans="1:12" x14ac:dyDescent="0.25">
      <c r="A1084" s="3">
        <v>45701.14434027778</v>
      </c>
      <c r="B1084" t="s">
        <v>106</v>
      </c>
      <c r="C1084" s="3">
        <v>45701.145000000004</v>
      </c>
      <c r="D1084" t="s">
        <v>106</v>
      </c>
      <c r="E1084" s="4">
        <v>7.3999999999999996E-2</v>
      </c>
      <c r="F1084" s="4">
        <v>103714.196</v>
      </c>
      <c r="G1084" s="4">
        <v>103714.27</v>
      </c>
      <c r="H1084" s="5">
        <f>0 / 86400</f>
        <v>0</v>
      </c>
      <c r="I1084" t="s">
        <v>43</v>
      </c>
      <c r="J1084" t="s">
        <v>37</v>
      </c>
      <c r="K1084" s="5">
        <f>57 / 86400</f>
        <v>6.5972222222222224E-4</v>
      </c>
      <c r="L1084" s="5">
        <f>9084 / 86400</f>
        <v>0.10513888888888889</v>
      </c>
    </row>
    <row r="1085" spans="1:12" x14ac:dyDescent="0.25">
      <c r="A1085" s="3">
        <v>45701.250138888892</v>
      </c>
      <c r="B1085" t="s">
        <v>106</v>
      </c>
      <c r="C1085" s="3">
        <v>45701.251886574071</v>
      </c>
      <c r="D1085" t="s">
        <v>106</v>
      </c>
      <c r="E1085" s="4">
        <v>0.16300000000000001</v>
      </c>
      <c r="F1085" s="4">
        <v>103714.27</v>
      </c>
      <c r="G1085" s="4">
        <v>103714.433</v>
      </c>
      <c r="H1085" s="5">
        <f>58 / 86400</f>
        <v>6.7129629629629625E-4</v>
      </c>
      <c r="I1085" t="s">
        <v>29</v>
      </c>
      <c r="J1085" t="s">
        <v>177</v>
      </c>
      <c r="K1085" s="5">
        <f>151 / 86400</f>
        <v>1.7476851851851852E-3</v>
      </c>
      <c r="L1085" s="5">
        <f>5937 / 86400</f>
        <v>6.8715277777777778E-2</v>
      </c>
    </row>
    <row r="1086" spans="1:12" x14ac:dyDescent="0.25">
      <c r="A1086" s="3">
        <v>45701.320601851854</v>
      </c>
      <c r="B1086" t="s">
        <v>106</v>
      </c>
      <c r="C1086" s="3">
        <v>45701.46565972222</v>
      </c>
      <c r="D1086" t="s">
        <v>300</v>
      </c>
      <c r="E1086" s="4">
        <v>70.180000000000007</v>
      </c>
      <c r="F1086" s="4">
        <v>103714.433</v>
      </c>
      <c r="G1086" s="4">
        <v>103784.613</v>
      </c>
      <c r="H1086" s="5">
        <f>3520 / 86400</f>
        <v>4.0740740740740744E-2</v>
      </c>
      <c r="I1086" t="s">
        <v>46</v>
      </c>
      <c r="J1086" t="s">
        <v>34</v>
      </c>
      <c r="K1086" s="5">
        <f>12533 / 86400</f>
        <v>0.14505787037037038</v>
      </c>
      <c r="L1086" s="5">
        <f>4154 / 86400</f>
        <v>4.8078703703703707E-2</v>
      </c>
    </row>
    <row r="1087" spans="1:12" x14ac:dyDescent="0.25">
      <c r="A1087" s="3">
        <v>45701.513738425929</v>
      </c>
      <c r="B1087" t="s">
        <v>300</v>
      </c>
      <c r="C1087" s="3">
        <v>45701.515578703707</v>
      </c>
      <c r="D1087" t="s">
        <v>153</v>
      </c>
      <c r="E1087" s="4">
        <v>0.69399999999999995</v>
      </c>
      <c r="F1087" s="4">
        <v>103784.613</v>
      </c>
      <c r="G1087" s="4">
        <v>103785.307</v>
      </c>
      <c r="H1087" s="5">
        <f>17 / 86400</f>
        <v>1.9675925925925926E-4</v>
      </c>
      <c r="I1087" t="s">
        <v>179</v>
      </c>
      <c r="J1087" t="s">
        <v>51</v>
      </c>
      <c r="K1087" s="5">
        <f>159 / 86400</f>
        <v>1.8402777777777777E-3</v>
      </c>
      <c r="L1087" s="5">
        <f>182 / 86400</f>
        <v>2.1064814814814813E-3</v>
      </c>
    </row>
    <row r="1088" spans="1:12" x14ac:dyDescent="0.25">
      <c r="A1088" s="3">
        <v>45701.517685185187</v>
      </c>
      <c r="B1088" t="s">
        <v>153</v>
      </c>
      <c r="C1088" s="3">
        <v>45701.519733796296</v>
      </c>
      <c r="D1088" t="s">
        <v>409</v>
      </c>
      <c r="E1088" s="4">
        <v>0.63200000000000001</v>
      </c>
      <c r="F1088" s="4">
        <v>103785.307</v>
      </c>
      <c r="G1088" s="4">
        <v>103785.939</v>
      </c>
      <c r="H1088" s="5">
        <f>20 / 86400</f>
        <v>2.3148148148148149E-4</v>
      </c>
      <c r="I1088" t="s">
        <v>219</v>
      </c>
      <c r="J1088" t="s">
        <v>58</v>
      </c>
      <c r="K1088" s="5">
        <f>177 / 86400</f>
        <v>2.0486111111111113E-3</v>
      </c>
      <c r="L1088" s="5">
        <f>41 / 86400</f>
        <v>4.7453703703703704E-4</v>
      </c>
    </row>
    <row r="1089" spans="1:12" x14ac:dyDescent="0.25">
      <c r="A1089" s="3">
        <v>45701.520208333328</v>
      </c>
      <c r="B1089" t="s">
        <v>409</v>
      </c>
      <c r="C1089" s="3">
        <v>45701.521574074075</v>
      </c>
      <c r="D1089" t="s">
        <v>131</v>
      </c>
      <c r="E1089" s="4">
        <v>0.59799999999999998</v>
      </c>
      <c r="F1089" s="4">
        <v>103785.939</v>
      </c>
      <c r="G1089" s="4">
        <v>103786.537</v>
      </c>
      <c r="H1089" s="5">
        <f>0 / 86400</f>
        <v>0</v>
      </c>
      <c r="I1089" t="s">
        <v>233</v>
      </c>
      <c r="J1089" t="s">
        <v>76</v>
      </c>
      <c r="K1089" s="5">
        <f>118 / 86400</f>
        <v>1.3657407407407407E-3</v>
      </c>
      <c r="L1089" s="5">
        <f>1612 / 86400</f>
        <v>1.8657407407407407E-2</v>
      </c>
    </row>
    <row r="1090" spans="1:12" x14ac:dyDescent="0.25">
      <c r="A1090" s="3">
        <v>45701.540231481486</v>
      </c>
      <c r="B1090" t="s">
        <v>131</v>
      </c>
      <c r="C1090" s="3">
        <v>45701.750277777777</v>
      </c>
      <c r="D1090" t="s">
        <v>153</v>
      </c>
      <c r="E1090" s="4">
        <v>95.686999999999998</v>
      </c>
      <c r="F1090" s="4">
        <v>103786.537</v>
      </c>
      <c r="G1090" s="4">
        <v>103882.224</v>
      </c>
      <c r="H1090" s="5">
        <f>5742 / 86400</f>
        <v>6.6458333333333328E-2</v>
      </c>
      <c r="I1090" t="s">
        <v>97</v>
      </c>
      <c r="J1090" t="s">
        <v>23</v>
      </c>
      <c r="K1090" s="5">
        <f>18148 / 86400</f>
        <v>0.21004629629629629</v>
      </c>
      <c r="L1090" s="5">
        <f>197 / 86400</f>
        <v>2.2800925925925927E-3</v>
      </c>
    </row>
    <row r="1091" spans="1:12" x14ac:dyDescent="0.25">
      <c r="A1091" s="3">
        <v>45701.752557870372</v>
      </c>
      <c r="B1091" t="s">
        <v>153</v>
      </c>
      <c r="C1091" s="3">
        <v>45701.753229166672</v>
      </c>
      <c r="D1091" t="s">
        <v>104</v>
      </c>
      <c r="E1091" s="4">
        <v>0.13100000000000001</v>
      </c>
      <c r="F1091" s="4">
        <v>103882.224</v>
      </c>
      <c r="G1091" s="4">
        <v>103882.355</v>
      </c>
      <c r="H1091" s="5">
        <f>0 / 86400</f>
        <v>0</v>
      </c>
      <c r="I1091" t="s">
        <v>43</v>
      </c>
      <c r="J1091" t="s">
        <v>90</v>
      </c>
      <c r="K1091" s="5">
        <f>58 / 86400</f>
        <v>6.7129629629629625E-4</v>
      </c>
      <c r="L1091" s="5">
        <f>996 / 86400</f>
        <v>1.1527777777777777E-2</v>
      </c>
    </row>
    <row r="1092" spans="1:12" x14ac:dyDescent="0.25">
      <c r="A1092" s="3">
        <v>45701.764756944445</v>
      </c>
      <c r="B1092" t="s">
        <v>104</v>
      </c>
      <c r="C1092" s="3">
        <v>45701.768217592587</v>
      </c>
      <c r="D1092" t="s">
        <v>47</v>
      </c>
      <c r="E1092" s="4">
        <v>0.89600000000000002</v>
      </c>
      <c r="F1092" s="4">
        <v>103882.355</v>
      </c>
      <c r="G1092" s="4">
        <v>103883.251</v>
      </c>
      <c r="H1092" s="5">
        <f>57 / 86400</f>
        <v>6.5972222222222224E-4</v>
      </c>
      <c r="I1092" t="s">
        <v>71</v>
      </c>
      <c r="J1092" t="s">
        <v>149</v>
      </c>
      <c r="K1092" s="5">
        <f>299 / 86400</f>
        <v>3.460648148148148E-3</v>
      </c>
      <c r="L1092" s="5">
        <f>5 / 86400</f>
        <v>5.7870370370370373E-5</v>
      </c>
    </row>
    <row r="1093" spans="1:12" x14ac:dyDescent="0.25">
      <c r="A1093" s="3">
        <v>45701.768275462964</v>
      </c>
      <c r="B1093" t="s">
        <v>47</v>
      </c>
      <c r="C1093" s="3">
        <v>45701.772662037038</v>
      </c>
      <c r="D1093" t="s">
        <v>47</v>
      </c>
      <c r="E1093" s="4">
        <v>0.629</v>
      </c>
      <c r="F1093" s="4">
        <v>103883.251</v>
      </c>
      <c r="G1093" s="4">
        <v>103883.88</v>
      </c>
      <c r="H1093" s="5">
        <f>198 / 86400</f>
        <v>2.2916666666666667E-3</v>
      </c>
      <c r="I1093" t="s">
        <v>74</v>
      </c>
      <c r="J1093" t="s">
        <v>156</v>
      </c>
      <c r="K1093" s="5">
        <f>379 / 86400</f>
        <v>4.386574074074074E-3</v>
      </c>
      <c r="L1093" s="5">
        <f>5 / 86400</f>
        <v>5.7870370370370373E-5</v>
      </c>
    </row>
    <row r="1094" spans="1:12" x14ac:dyDescent="0.25">
      <c r="A1094" s="3">
        <v>45701.772719907407</v>
      </c>
      <c r="B1094" t="s">
        <v>47</v>
      </c>
      <c r="C1094" s="3">
        <v>45701.985752314809</v>
      </c>
      <c r="D1094" t="s">
        <v>297</v>
      </c>
      <c r="E1094" s="4">
        <v>94.146000000000001</v>
      </c>
      <c r="F1094" s="4">
        <v>103883.88</v>
      </c>
      <c r="G1094" s="4">
        <v>103978.026</v>
      </c>
      <c r="H1094" s="5">
        <f>6636 / 86400</f>
        <v>7.6805555555555557E-2</v>
      </c>
      <c r="I1094" t="s">
        <v>40</v>
      </c>
      <c r="J1094" t="s">
        <v>76</v>
      </c>
      <c r="K1094" s="5">
        <f>18406 / 86400</f>
        <v>0.21303240740740742</v>
      </c>
      <c r="L1094" s="5">
        <f>113 / 86400</f>
        <v>1.3078703703703703E-3</v>
      </c>
    </row>
    <row r="1095" spans="1:12" x14ac:dyDescent="0.25">
      <c r="A1095" s="3">
        <v>45701.987060185187</v>
      </c>
      <c r="B1095" t="s">
        <v>297</v>
      </c>
      <c r="C1095" s="3">
        <v>45701.99600694445</v>
      </c>
      <c r="D1095" t="s">
        <v>96</v>
      </c>
      <c r="E1095" s="4">
        <v>5.4029999999999996</v>
      </c>
      <c r="F1095" s="4">
        <v>103978.026</v>
      </c>
      <c r="G1095" s="4">
        <v>103983.429</v>
      </c>
      <c r="H1095" s="5">
        <f>117 / 86400</f>
        <v>1.3541666666666667E-3</v>
      </c>
      <c r="I1095" t="s">
        <v>319</v>
      </c>
      <c r="J1095" t="s">
        <v>135</v>
      </c>
      <c r="K1095" s="5">
        <f>773 / 86400</f>
        <v>8.9467592592592585E-3</v>
      </c>
      <c r="L1095" s="5">
        <f>344 / 86400</f>
        <v>3.9814814814814817E-3</v>
      </c>
    </row>
    <row r="1096" spans="1:12" x14ac:dyDescent="0.25">
      <c r="A1096" s="11"/>
      <c r="B1096" s="11"/>
      <c r="C1096" s="11"/>
      <c r="D1096" s="11"/>
      <c r="E1096" s="11"/>
      <c r="F1096" s="11"/>
      <c r="G1096" s="11"/>
      <c r="H1096" s="11"/>
      <c r="I1096" s="11"/>
      <c r="J1096" s="11"/>
    </row>
    <row r="1097" spans="1:12" x14ac:dyDescent="0.25">
      <c r="A1097" s="11"/>
      <c r="B1097" s="11"/>
      <c r="C1097" s="11"/>
      <c r="D1097" s="11"/>
      <c r="E1097" s="11"/>
      <c r="F1097" s="11"/>
      <c r="G1097" s="11"/>
      <c r="H1097" s="11"/>
      <c r="I1097" s="11"/>
      <c r="J1097" s="11"/>
    </row>
    <row r="1098" spans="1:12" s="10" customFormat="1" ht="20.100000000000001" customHeight="1" x14ac:dyDescent="0.35">
      <c r="A1098" s="12" t="s">
        <v>471</v>
      </c>
      <c r="B1098" s="12"/>
      <c r="C1098" s="12"/>
      <c r="D1098" s="12"/>
      <c r="E1098" s="12"/>
      <c r="F1098" s="12"/>
      <c r="G1098" s="12"/>
      <c r="H1098" s="12"/>
      <c r="I1098" s="12"/>
      <c r="J1098" s="12"/>
    </row>
    <row r="1099" spans="1:12" x14ac:dyDescent="0.25">
      <c r="A1099" s="11"/>
      <c r="B1099" s="11"/>
      <c r="C1099" s="11"/>
      <c r="D1099" s="11"/>
      <c r="E1099" s="11"/>
      <c r="F1099" s="11"/>
      <c r="G1099" s="11"/>
      <c r="H1099" s="11"/>
      <c r="I1099" s="11"/>
      <c r="J1099" s="11"/>
    </row>
    <row r="1100" spans="1:12" ht="30" x14ac:dyDescent="0.25">
      <c r="A1100" s="2" t="s">
        <v>5</v>
      </c>
      <c r="B1100" s="2" t="s">
        <v>6</v>
      </c>
      <c r="C1100" s="2" t="s">
        <v>7</v>
      </c>
      <c r="D1100" s="2" t="s">
        <v>8</v>
      </c>
      <c r="E1100" s="2" t="s">
        <v>9</v>
      </c>
      <c r="F1100" s="2" t="s">
        <v>10</v>
      </c>
      <c r="G1100" s="2" t="s">
        <v>11</v>
      </c>
      <c r="H1100" s="2" t="s">
        <v>12</v>
      </c>
      <c r="I1100" s="2" t="s">
        <v>13</v>
      </c>
      <c r="J1100" s="2" t="s">
        <v>14</v>
      </c>
      <c r="K1100" s="2" t="s">
        <v>15</v>
      </c>
      <c r="L1100" s="2" t="s">
        <v>16</v>
      </c>
    </row>
    <row r="1101" spans="1:12" x14ac:dyDescent="0.25">
      <c r="A1101" s="3">
        <v>45701.223136574074</v>
      </c>
      <c r="B1101" t="s">
        <v>27</v>
      </c>
      <c r="C1101" s="3">
        <v>45701.22347222222</v>
      </c>
      <c r="D1101" t="s">
        <v>27</v>
      </c>
      <c r="E1101" s="4">
        <v>0</v>
      </c>
      <c r="F1101" s="4">
        <v>54254.082999999999</v>
      </c>
      <c r="G1101" s="4">
        <v>54254.082999999999</v>
      </c>
      <c r="H1101" s="5">
        <f>17 / 86400</f>
        <v>1.9675925925925926E-4</v>
      </c>
      <c r="I1101" t="s">
        <v>91</v>
      </c>
      <c r="J1101" t="s">
        <v>91</v>
      </c>
      <c r="K1101" s="5">
        <f>29 / 86400</f>
        <v>3.3564814814814812E-4</v>
      </c>
      <c r="L1101" s="5">
        <f>26195 / 86400</f>
        <v>0.30318287037037039</v>
      </c>
    </row>
    <row r="1102" spans="1:12" x14ac:dyDescent="0.25">
      <c r="A1102" s="3">
        <v>45701.303518518514</v>
      </c>
      <c r="B1102" t="s">
        <v>27</v>
      </c>
      <c r="C1102" s="3">
        <v>45701.325636574074</v>
      </c>
      <c r="D1102" t="s">
        <v>410</v>
      </c>
      <c r="E1102" s="4">
        <v>15.457000000000001</v>
      </c>
      <c r="F1102" s="4">
        <v>54254.082999999999</v>
      </c>
      <c r="G1102" s="4">
        <v>54269.54</v>
      </c>
      <c r="H1102" s="5">
        <f>289 / 86400</f>
        <v>3.3449074074074076E-3</v>
      </c>
      <c r="I1102" t="s">
        <v>200</v>
      </c>
      <c r="J1102" t="s">
        <v>159</v>
      </c>
      <c r="K1102" s="5">
        <f>1911 / 86400</f>
        <v>2.2118055555555554E-2</v>
      </c>
      <c r="L1102" s="5">
        <f>14 / 86400</f>
        <v>1.6203703703703703E-4</v>
      </c>
    </row>
    <row r="1103" spans="1:12" x14ac:dyDescent="0.25">
      <c r="A1103" s="3">
        <v>45701.325798611113</v>
      </c>
      <c r="B1103" t="s">
        <v>410</v>
      </c>
      <c r="C1103" s="3">
        <v>45701.342499999999</v>
      </c>
      <c r="D1103" t="s">
        <v>47</v>
      </c>
      <c r="E1103" s="4">
        <v>8.9890000000000008</v>
      </c>
      <c r="F1103" s="4">
        <v>54269.54</v>
      </c>
      <c r="G1103" s="4">
        <v>54278.529000000002</v>
      </c>
      <c r="H1103" s="5">
        <f>200 / 86400</f>
        <v>2.3148148148148147E-3</v>
      </c>
      <c r="I1103" t="s">
        <v>291</v>
      </c>
      <c r="J1103" t="s">
        <v>132</v>
      </c>
      <c r="K1103" s="5">
        <f>1443 / 86400</f>
        <v>1.6701388888888891E-2</v>
      </c>
      <c r="L1103" s="5">
        <f>143 / 86400</f>
        <v>1.6550925925925926E-3</v>
      </c>
    </row>
    <row r="1104" spans="1:12" x14ac:dyDescent="0.25">
      <c r="A1104" s="3">
        <v>45701.344155092593</v>
      </c>
      <c r="B1104" t="s">
        <v>47</v>
      </c>
      <c r="C1104" s="3">
        <v>45701.34542824074</v>
      </c>
      <c r="D1104" t="s">
        <v>47</v>
      </c>
      <c r="E1104" s="4">
        <v>9.6000000000000002E-2</v>
      </c>
      <c r="F1104" s="4">
        <v>54278.529000000002</v>
      </c>
      <c r="G1104" s="4">
        <v>54278.625</v>
      </c>
      <c r="H1104" s="5">
        <f>40 / 86400</f>
        <v>4.6296296296296298E-4</v>
      </c>
      <c r="I1104" t="s">
        <v>43</v>
      </c>
      <c r="J1104" t="s">
        <v>124</v>
      </c>
      <c r="K1104" s="5">
        <f>110 / 86400</f>
        <v>1.2731481481481483E-3</v>
      </c>
      <c r="L1104" s="5">
        <f>165 / 86400</f>
        <v>1.9097222222222222E-3</v>
      </c>
    </row>
    <row r="1105" spans="1:12" x14ac:dyDescent="0.25">
      <c r="A1105" s="3">
        <v>45701.347337962958</v>
      </c>
      <c r="B1105" t="s">
        <v>47</v>
      </c>
      <c r="C1105" s="3">
        <v>45701.34752314815</v>
      </c>
      <c r="D1105" t="s">
        <v>47</v>
      </c>
      <c r="E1105" s="4">
        <v>3.3000000000000002E-2</v>
      </c>
      <c r="F1105" s="4">
        <v>54278.625</v>
      </c>
      <c r="G1105" s="4">
        <v>54278.658000000003</v>
      </c>
      <c r="H1105" s="5">
        <f>0 / 86400</f>
        <v>0</v>
      </c>
      <c r="I1105" t="s">
        <v>91</v>
      </c>
      <c r="J1105" t="s">
        <v>161</v>
      </c>
      <c r="K1105" s="5">
        <f>16 / 86400</f>
        <v>1.8518518518518518E-4</v>
      </c>
      <c r="L1105" s="5">
        <f>525 / 86400</f>
        <v>6.076388888888889E-3</v>
      </c>
    </row>
    <row r="1106" spans="1:12" x14ac:dyDescent="0.25">
      <c r="A1106" s="3">
        <v>45701.353599537033</v>
      </c>
      <c r="B1106" t="s">
        <v>47</v>
      </c>
      <c r="C1106" s="3">
        <v>45701.356273148151</v>
      </c>
      <c r="D1106" t="s">
        <v>385</v>
      </c>
      <c r="E1106" s="4">
        <v>0.44700000000000001</v>
      </c>
      <c r="F1106" s="4">
        <v>54278.658000000003</v>
      </c>
      <c r="G1106" s="4">
        <v>54279.105000000003</v>
      </c>
      <c r="H1106" s="5">
        <f>58 / 86400</f>
        <v>6.7129629629629625E-4</v>
      </c>
      <c r="I1106" t="s">
        <v>120</v>
      </c>
      <c r="J1106" t="s">
        <v>161</v>
      </c>
      <c r="K1106" s="5">
        <f>231 / 86400</f>
        <v>2.673611111111111E-3</v>
      </c>
      <c r="L1106" s="5">
        <f>288 / 86400</f>
        <v>3.3333333333333335E-3</v>
      </c>
    </row>
    <row r="1107" spans="1:12" x14ac:dyDescent="0.25">
      <c r="A1107" s="3">
        <v>45701.359606481477</v>
      </c>
      <c r="B1107" t="s">
        <v>385</v>
      </c>
      <c r="C1107" s="3">
        <v>45701.360925925925</v>
      </c>
      <c r="D1107" t="s">
        <v>385</v>
      </c>
      <c r="E1107" s="4">
        <v>0.01</v>
      </c>
      <c r="F1107" s="4">
        <v>54279.105000000003</v>
      </c>
      <c r="G1107" s="4">
        <v>54279.114999999998</v>
      </c>
      <c r="H1107" s="5">
        <f>97 / 86400</f>
        <v>1.1226851851851851E-3</v>
      </c>
      <c r="I1107" t="s">
        <v>91</v>
      </c>
      <c r="J1107" t="s">
        <v>91</v>
      </c>
      <c r="K1107" s="5">
        <f>114 / 86400</f>
        <v>1.3194444444444445E-3</v>
      </c>
      <c r="L1107" s="5">
        <f>2552 / 86400</f>
        <v>2.9537037037037039E-2</v>
      </c>
    </row>
    <row r="1108" spans="1:12" x14ac:dyDescent="0.25">
      <c r="A1108" s="3">
        <v>45701.390462962961</v>
      </c>
      <c r="B1108" t="s">
        <v>385</v>
      </c>
      <c r="C1108" s="3">
        <v>45701.392164351855</v>
      </c>
      <c r="D1108" t="s">
        <v>47</v>
      </c>
      <c r="E1108" s="4">
        <v>0.22500000000000001</v>
      </c>
      <c r="F1108" s="4">
        <v>54279.114999999998</v>
      </c>
      <c r="G1108" s="4">
        <v>54279.34</v>
      </c>
      <c r="H1108" s="5">
        <f>57 / 86400</f>
        <v>6.5972222222222224E-4</v>
      </c>
      <c r="I1108" t="s">
        <v>120</v>
      </c>
      <c r="J1108" t="s">
        <v>156</v>
      </c>
      <c r="K1108" s="5">
        <f>147 / 86400</f>
        <v>1.7013888888888888E-3</v>
      </c>
      <c r="L1108" s="5">
        <f>3445 / 86400</f>
        <v>3.9872685185185185E-2</v>
      </c>
    </row>
    <row r="1109" spans="1:12" x14ac:dyDescent="0.25">
      <c r="A1109" s="3">
        <v>45701.432037037041</v>
      </c>
      <c r="B1109" t="s">
        <v>47</v>
      </c>
      <c r="C1109" s="3">
        <v>45701.43378472222</v>
      </c>
      <c r="D1109" t="s">
        <v>374</v>
      </c>
      <c r="E1109" s="4">
        <v>0.78800000000000003</v>
      </c>
      <c r="F1109" s="4">
        <v>54279.34</v>
      </c>
      <c r="G1109" s="4">
        <v>54280.127999999997</v>
      </c>
      <c r="H1109" s="5">
        <f>0 / 86400</f>
        <v>0</v>
      </c>
      <c r="I1109" t="s">
        <v>162</v>
      </c>
      <c r="J1109" t="s">
        <v>23</v>
      </c>
      <c r="K1109" s="5">
        <f>151 / 86400</f>
        <v>1.7476851851851852E-3</v>
      </c>
      <c r="L1109" s="5">
        <f>217 / 86400</f>
        <v>2.5115740740740741E-3</v>
      </c>
    </row>
    <row r="1110" spans="1:12" x14ac:dyDescent="0.25">
      <c r="A1110" s="3">
        <v>45701.436296296291</v>
      </c>
      <c r="B1110" t="s">
        <v>374</v>
      </c>
      <c r="C1110" s="3">
        <v>45701.536087962959</v>
      </c>
      <c r="D1110" t="s">
        <v>401</v>
      </c>
      <c r="E1110" s="4">
        <v>47.713000000000001</v>
      </c>
      <c r="F1110" s="4">
        <v>54280.127999999997</v>
      </c>
      <c r="G1110" s="4">
        <v>54327.841</v>
      </c>
      <c r="H1110" s="5">
        <f>2537 / 86400</f>
        <v>2.9363425925925925E-2</v>
      </c>
      <c r="I1110" t="s">
        <v>40</v>
      </c>
      <c r="J1110" t="s">
        <v>34</v>
      </c>
      <c r="K1110" s="5">
        <f>8622 / 86400</f>
        <v>9.9791666666666667E-2</v>
      </c>
      <c r="L1110" s="5">
        <f>91 / 86400</f>
        <v>1.0532407407407407E-3</v>
      </c>
    </row>
    <row r="1111" spans="1:12" x14ac:dyDescent="0.25">
      <c r="A1111" s="3">
        <v>45701.537141203706</v>
      </c>
      <c r="B1111" t="s">
        <v>401</v>
      </c>
      <c r="C1111" s="3">
        <v>45701.543368055558</v>
      </c>
      <c r="D1111" t="s">
        <v>411</v>
      </c>
      <c r="E1111" s="4">
        <v>2.4460000000000002</v>
      </c>
      <c r="F1111" s="4">
        <v>54327.841</v>
      </c>
      <c r="G1111" s="4">
        <v>54330.286999999997</v>
      </c>
      <c r="H1111" s="5">
        <f>120 / 86400</f>
        <v>1.3888888888888889E-3</v>
      </c>
      <c r="I1111" t="s">
        <v>319</v>
      </c>
      <c r="J1111" t="s">
        <v>51</v>
      </c>
      <c r="K1111" s="5">
        <f>538 / 86400</f>
        <v>6.2268518518518515E-3</v>
      </c>
      <c r="L1111" s="5">
        <f>1805 / 86400</f>
        <v>2.0891203703703703E-2</v>
      </c>
    </row>
    <row r="1112" spans="1:12" x14ac:dyDescent="0.25">
      <c r="A1112" s="3">
        <v>45701.564259259263</v>
      </c>
      <c r="B1112" t="s">
        <v>411</v>
      </c>
      <c r="C1112" s="3">
        <v>45701.703229166669</v>
      </c>
      <c r="D1112" t="s">
        <v>371</v>
      </c>
      <c r="E1112" s="4">
        <v>51.134999999999998</v>
      </c>
      <c r="F1112" s="4">
        <v>54330.286999999997</v>
      </c>
      <c r="G1112" s="4">
        <v>54381.421999999999</v>
      </c>
      <c r="H1112" s="5">
        <f>4666 / 86400</f>
        <v>5.4004629629629632E-2</v>
      </c>
      <c r="I1112" t="s">
        <v>87</v>
      </c>
      <c r="J1112" t="s">
        <v>29</v>
      </c>
      <c r="K1112" s="5">
        <f>12007 / 86400</f>
        <v>0.13896990740740742</v>
      </c>
      <c r="L1112" s="5">
        <f>813 / 86400</f>
        <v>9.4097222222222221E-3</v>
      </c>
    </row>
    <row r="1113" spans="1:12" x14ac:dyDescent="0.25">
      <c r="A1113" s="3">
        <v>45701.712638888886</v>
      </c>
      <c r="B1113" t="s">
        <v>371</v>
      </c>
      <c r="C1113" s="3">
        <v>45701.714131944449</v>
      </c>
      <c r="D1113" t="s">
        <v>371</v>
      </c>
      <c r="E1113" s="4">
        <v>2.1000000000000001E-2</v>
      </c>
      <c r="F1113" s="4">
        <v>54381.421999999999</v>
      </c>
      <c r="G1113" s="4">
        <v>54381.442999999999</v>
      </c>
      <c r="H1113" s="5">
        <f>97 / 86400</f>
        <v>1.1226851851851851E-3</v>
      </c>
      <c r="I1113" t="s">
        <v>149</v>
      </c>
      <c r="J1113" t="s">
        <v>125</v>
      </c>
      <c r="K1113" s="5">
        <f>129 / 86400</f>
        <v>1.4930555555555556E-3</v>
      </c>
      <c r="L1113" s="5">
        <f>160 / 86400</f>
        <v>1.8518518518518519E-3</v>
      </c>
    </row>
    <row r="1114" spans="1:12" x14ac:dyDescent="0.25">
      <c r="A1114" s="3">
        <v>45701.715983796297</v>
      </c>
      <c r="B1114" t="s">
        <v>371</v>
      </c>
      <c r="C1114" s="3">
        <v>45701.716134259259</v>
      </c>
      <c r="D1114" t="s">
        <v>371</v>
      </c>
      <c r="E1114" s="4">
        <v>0</v>
      </c>
      <c r="F1114" s="4">
        <v>54381.442999999999</v>
      </c>
      <c r="G1114" s="4">
        <v>54381.442999999999</v>
      </c>
      <c r="H1114" s="5">
        <f>0 / 86400</f>
        <v>0</v>
      </c>
      <c r="I1114" t="s">
        <v>91</v>
      </c>
      <c r="J1114" t="s">
        <v>91</v>
      </c>
      <c r="K1114" s="5">
        <f>13 / 86400</f>
        <v>1.5046296296296297E-4</v>
      </c>
      <c r="L1114" s="5">
        <f>202 / 86400</f>
        <v>2.3379629629629631E-3</v>
      </c>
    </row>
    <row r="1115" spans="1:12" x14ac:dyDescent="0.25">
      <c r="A1115" s="3">
        <v>45701.718472222223</v>
      </c>
      <c r="B1115" t="s">
        <v>371</v>
      </c>
      <c r="C1115" s="3">
        <v>45701.79960648148</v>
      </c>
      <c r="D1115" t="s">
        <v>185</v>
      </c>
      <c r="E1115" s="4">
        <v>39.231000000000002</v>
      </c>
      <c r="F1115" s="4">
        <v>54381.442999999999</v>
      </c>
      <c r="G1115" s="4">
        <v>54420.673999999999</v>
      </c>
      <c r="H1115" s="5">
        <f>2100 / 86400</f>
        <v>2.4305555555555556E-2</v>
      </c>
      <c r="I1115" t="s">
        <v>65</v>
      </c>
      <c r="J1115" t="s">
        <v>34</v>
      </c>
      <c r="K1115" s="5">
        <f>7010 / 86400</f>
        <v>8.1134259259259253E-2</v>
      </c>
      <c r="L1115" s="5">
        <f>93 / 86400</f>
        <v>1.0763888888888889E-3</v>
      </c>
    </row>
    <row r="1116" spans="1:12" x14ac:dyDescent="0.25">
      <c r="A1116" s="3">
        <v>45701.800682870366</v>
      </c>
      <c r="B1116" t="s">
        <v>185</v>
      </c>
      <c r="C1116" s="3">
        <v>45701.923182870371</v>
      </c>
      <c r="D1116" t="s">
        <v>80</v>
      </c>
      <c r="E1116" s="4">
        <v>53.679000000000002</v>
      </c>
      <c r="F1116" s="4">
        <v>54420.673999999999</v>
      </c>
      <c r="G1116" s="4">
        <v>54474.353000000003</v>
      </c>
      <c r="H1116" s="5">
        <f>3548 / 86400</f>
        <v>4.1064814814814818E-2</v>
      </c>
      <c r="I1116" t="s">
        <v>68</v>
      </c>
      <c r="J1116" t="s">
        <v>76</v>
      </c>
      <c r="K1116" s="5">
        <f>10584 / 86400</f>
        <v>0.1225</v>
      </c>
      <c r="L1116" s="5">
        <f>539 / 86400</f>
        <v>6.2384259259259259E-3</v>
      </c>
    </row>
    <row r="1117" spans="1:12" x14ac:dyDescent="0.25">
      <c r="A1117" s="3">
        <v>45701.9294212963</v>
      </c>
      <c r="B1117" t="s">
        <v>80</v>
      </c>
      <c r="C1117" s="3">
        <v>45701.932395833333</v>
      </c>
      <c r="D1117" t="s">
        <v>412</v>
      </c>
      <c r="E1117" s="4">
        <v>0.93700000000000006</v>
      </c>
      <c r="F1117" s="4">
        <v>54474.353000000003</v>
      </c>
      <c r="G1117" s="4">
        <v>54475.29</v>
      </c>
      <c r="H1117" s="5">
        <f>118 / 86400</f>
        <v>1.3657407407407407E-3</v>
      </c>
      <c r="I1117" t="s">
        <v>207</v>
      </c>
      <c r="J1117" t="s">
        <v>58</v>
      </c>
      <c r="K1117" s="5">
        <f>257 / 86400</f>
        <v>2.9745370370370373E-3</v>
      </c>
      <c r="L1117" s="5">
        <f>232 / 86400</f>
        <v>2.685185185185185E-3</v>
      </c>
    </row>
    <row r="1118" spans="1:12" x14ac:dyDescent="0.25">
      <c r="A1118" s="3">
        <v>45701.935081018513</v>
      </c>
      <c r="B1118" t="s">
        <v>412</v>
      </c>
      <c r="C1118" s="3">
        <v>45701.936377314814</v>
      </c>
      <c r="D1118" t="s">
        <v>24</v>
      </c>
      <c r="E1118" s="4">
        <v>0.38800000000000001</v>
      </c>
      <c r="F1118" s="4">
        <v>54475.29</v>
      </c>
      <c r="G1118" s="4">
        <v>54475.678</v>
      </c>
      <c r="H1118" s="5">
        <f>20 / 86400</f>
        <v>2.3148148148148149E-4</v>
      </c>
      <c r="I1118" t="s">
        <v>294</v>
      </c>
      <c r="J1118" t="s">
        <v>120</v>
      </c>
      <c r="K1118" s="5">
        <f>112 / 86400</f>
        <v>1.2962962962962963E-3</v>
      </c>
      <c r="L1118" s="5">
        <f>1588 / 86400</f>
        <v>1.8379629629629631E-2</v>
      </c>
    </row>
    <row r="1119" spans="1:12" x14ac:dyDescent="0.25">
      <c r="A1119" s="3">
        <v>45701.95475694444</v>
      </c>
      <c r="B1119" t="s">
        <v>24</v>
      </c>
      <c r="C1119" s="3">
        <v>45701.955057870371</v>
      </c>
      <c r="D1119" t="s">
        <v>24</v>
      </c>
      <c r="E1119" s="4">
        <v>0</v>
      </c>
      <c r="F1119" s="4">
        <v>54475.678</v>
      </c>
      <c r="G1119" s="4">
        <v>54475.678</v>
      </c>
      <c r="H1119" s="5">
        <f>18 / 86400</f>
        <v>2.0833333333333335E-4</v>
      </c>
      <c r="I1119" t="s">
        <v>91</v>
      </c>
      <c r="J1119" t="s">
        <v>91</v>
      </c>
      <c r="K1119" s="5">
        <f>26 / 86400</f>
        <v>3.0092592592592595E-4</v>
      </c>
      <c r="L1119" s="5">
        <f>64 / 86400</f>
        <v>7.407407407407407E-4</v>
      </c>
    </row>
    <row r="1120" spans="1:12" x14ac:dyDescent="0.25">
      <c r="A1120" s="3">
        <v>45701.95579861111</v>
      </c>
      <c r="B1120" t="s">
        <v>24</v>
      </c>
      <c r="C1120" s="3">
        <v>45701.956134259264</v>
      </c>
      <c r="D1120" t="s">
        <v>24</v>
      </c>
      <c r="E1120" s="4">
        <v>0</v>
      </c>
      <c r="F1120" s="4">
        <v>54475.678</v>
      </c>
      <c r="G1120" s="4">
        <v>54475.678</v>
      </c>
      <c r="H1120" s="5">
        <f>18 / 86400</f>
        <v>2.0833333333333335E-4</v>
      </c>
      <c r="I1120" t="s">
        <v>91</v>
      </c>
      <c r="J1120" t="s">
        <v>91</v>
      </c>
      <c r="K1120" s="5">
        <f>29 / 86400</f>
        <v>3.3564814814814812E-4</v>
      </c>
      <c r="L1120" s="5">
        <f>898 / 86400</f>
        <v>1.0393518518518519E-2</v>
      </c>
    </row>
    <row r="1121" spans="1:12" x14ac:dyDescent="0.25">
      <c r="A1121" s="3">
        <v>45701.966527777782</v>
      </c>
      <c r="B1121" t="s">
        <v>24</v>
      </c>
      <c r="C1121" s="3">
        <v>45701.966921296298</v>
      </c>
      <c r="D1121" t="s">
        <v>24</v>
      </c>
      <c r="E1121" s="4">
        <v>0</v>
      </c>
      <c r="F1121" s="4">
        <v>54475.678</v>
      </c>
      <c r="G1121" s="4">
        <v>54475.678</v>
      </c>
      <c r="H1121" s="5">
        <f>17 / 86400</f>
        <v>1.9675925925925926E-4</v>
      </c>
      <c r="I1121" t="s">
        <v>91</v>
      </c>
      <c r="J1121" t="s">
        <v>91</v>
      </c>
      <c r="K1121" s="5">
        <f>34 / 86400</f>
        <v>3.9351851851851852E-4</v>
      </c>
      <c r="L1121" s="5">
        <f>2857 / 86400</f>
        <v>3.3067129629629627E-2</v>
      </c>
    </row>
    <row r="1122" spans="1:12" x14ac:dyDescent="0.25">
      <c r="A1122" s="11"/>
      <c r="B1122" s="11"/>
      <c r="C1122" s="11"/>
      <c r="D1122" s="11"/>
      <c r="E1122" s="11"/>
      <c r="F1122" s="11"/>
      <c r="G1122" s="11"/>
      <c r="H1122" s="11"/>
      <c r="I1122" s="11"/>
      <c r="J1122" s="11"/>
    </row>
    <row r="1123" spans="1:12" x14ac:dyDescent="0.25">
      <c r="A1123" s="11"/>
      <c r="B1123" s="11"/>
      <c r="C1123" s="11"/>
      <c r="D1123" s="11"/>
      <c r="E1123" s="11"/>
      <c r="F1123" s="11"/>
      <c r="G1123" s="11"/>
      <c r="H1123" s="11"/>
      <c r="I1123" s="11"/>
      <c r="J1123" s="11"/>
    </row>
    <row r="1124" spans="1:12" s="10" customFormat="1" ht="20.100000000000001" customHeight="1" x14ac:dyDescent="0.35">
      <c r="A1124" s="12" t="s">
        <v>472</v>
      </c>
      <c r="B1124" s="12"/>
      <c r="C1124" s="12"/>
      <c r="D1124" s="12"/>
      <c r="E1124" s="12"/>
      <c r="F1124" s="12"/>
      <c r="G1124" s="12"/>
      <c r="H1124" s="12"/>
      <c r="I1124" s="12"/>
      <c r="J1124" s="12"/>
    </row>
    <row r="1125" spans="1:12" x14ac:dyDescent="0.25">
      <c r="A1125" s="11"/>
      <c r="B1125" s="11"/>
      <c r="C1125" s="11"/>
      <c r="D1125" s="11"/>
      <c r="E1125" s="11"/>
      <c r="F1125" s="11"/>
      <c r="G1125" s="11"/>
      <c r="H1125" s="11"/>
      <c r="I1125" s="11"/>
      <c r="J1125" s="11"/>
    </row>
    <row r="1126" spans="1:12" ht="30" x14ac:dyDescent="0.25">
      <c r="A1126" s="2" t="s">
        <v>5</v>
      </c>
      <c r="B1126" s="2" t="s">
        <v>6</v>
      </c>
      <c r="C1126" s="2" t="s">
        <v>7</v>
      </c>
      <c r="D1126" s="2" t="s">
        <v>8</v>
      </c>
      <c r="E1126" s="2" t="s">
        <v>9</v>
      </c>
      <c r="F1126" s="2" t="s">
        <v>10</v>
      </c>
      <c r="G1126" s="2" t="s">
        <v>11</v>
      </c>
      <c r="H1126" s="2" t="s">
        <v>12</v>
      </c>
      <c r="I1126" s="2" t="s">
        <v>13</v>
      </c>
      <c r="J1126" s="2" t="s">
        <v>14</v>
      </c>
      <c r="K1126" s="2" t="s">
        <v>15</v>
      </c>
      <c r="L1126" s="2" t="s">
        <v>16</v>
      </c>
    </row>
    <row r="1127" spans="1:12" x14ac:dyDescent="0.25">
      <c r="A1127" s="3">
        <v>45701.245173611111</v>
      </c>
      <c r="B1127" t="s">
        <v>98</v>
      </c>
      <c r="C1127" s="3">
        <v>45701.479328703703</v>
      </c>
      <c r="D1127" t="s">
        <v>131</v>
      </c>
      <c r="E1127" s="4">
        <v>99.242000000000004</v>
      </c>
      <c r="F1127" s="4">
        <v>45869.614000000001</v>
      </c>
      <c r="G1127" s="4">
        <v>45968.856</v>
      </c>
      <c r="H1127" s="5">
        <f>7679 / 86400</f>
        <v>8.8877314814814812E-2</v>
      </c>
      <c r="I1127" t="s">
        <v>70</v>
      </c>
      <c r="J1127" t="s">
        <v>76</v>
      </c>
      <c r="K1127" s="5">
        <f>20231 / 86400</f>
        <v>0.2341550925925926</v>
      </c>
      <c r="L1127" s="5">
        <f>22171 / 86400</f>
        <v>0.25660879629629629</v>
      </c>
    </row>
    <row r="1128" spans="1:12" x14ac:dyDescent="0.25">
      <c r="A1128" s="3">
        <v>45701.490763888884</v>
      </c>
      <c r="B1128" t="s">
        <v>131</v>
      </c>
      <c r="C1128" s="3">
        <v>45701.495243055557</v>
      </c>
      <c r="D1128" t="s">
        <v>47</v>
      </c>
      <c r="E1128" s="4">
        <v>0.72699999999999998</v>
      </c>
      <c r="F1128" s="4">
        <v>45968.856</v>
      </c>
      <c r="G1128" s="4">
        <v>45969.582999999999</v>
      </c>
      <c r="H1128" s="5">
        <f>217 / 86400</f>
        <v>2.5115740740740741E-3</v>
      </c>
      <c r="I1128" t="s">
        <v>159</v>
      </c>
      <c r="J1128" t="s">
        <v>161</v>
      </c>
      <c r="K1128" s="5">
        <f>387 / 86400</f>
        <v>4.4791666666666669E-3</v>
      </c>
      <c r="L1128" s="5">
        <f>94 / 86400</f>
        <v>1.0879629629629629E-3</v>
      </c>
    </row>
    <row r="1129" spans="1:12" x14ac:dyDescent="0.25">
      <c r="A1129" s="3">
        <v>45701.496331018519</v>
      </c>
      <c r="B1129" t="s">
        <v>47</v>
      </c>
      <c r="C1129" s="3">
        <v>45701.497013888889</v>
      </c>
      <c r="D1129" t="s">
        <v>47</v>
      </c>
      <c r="E1129" s="4">
        <v>0.155</v>
      </c>
      <c r="F1129" s="4">
        <v>45969.582999999999</v>
      </c>
      <c r="G1129" s="4">
        <v>45969.737999999998</v>
      </c>
      <c r="H1129" s="5">
        <f>0 / 86400</f>
        <v>0</v>
      </c>
      <c r="I1129" t="s">
        <v>37</v>
      </c>
      <c r="J1129" t="s">
        <v>140</v>
      </c>
      <c r="K1129" s="5">
        <f>59 / 86400</f>
        <v>6.8287037037037036E-4</v>
      </c>
      <c r="L1129" s="5">
        <f>2249 / 86400</f>
        <v>2.6030092592592594E-2</v>
      </c>
    </row>
    <row r="1130" spans="1:12" x14ac:dyDescent="0.25">
      <c r="A1130" s="3">
        <v>45701.523043981477</v>
      </c>
      <c r="B1130" t="s">
        <v>47</v>
      </c>
      <c r="C1130" s="3">
        <v>45701.524861111116</v>
      </c>
      <c r="D1130" t="s">
        <v>385</v>
      </c>
      <c r="E1130" s="4">
        <v>0.45100000000000001</v>
      </c>
      <c r="F1130" s="4">
        <v>45969.737999999998</v>
      </c>
      <c r="G1130" s="4">
        <v>45970.188999999998</v>
      </c>
      <c r="H1130" s="5">
        <f>37 / 86400</f>
        <v>4.2824074074074075E-4</v>
      </c>
      <c r="I1130" t="s">
        <v>253</v>
      </c>
      <c r="J1130" t="s">
        <v>128</v>
      </c>
      <c r="K1130" s="5">
        <f>157 / 86400</f>
        <v>1.8171296296296297E-3</v>
      </c>
      <c r="L1130" s="5">
        <f>512 / 86400</f>
        <v>5.9259259259259256E-3</v>
      </c>
    </row>
    <row r="1131" spans="1:12" x14ac:dyDescent="0.25">
      <c r="A1131" s="3">
        <v>45701.530787037038</v>
      </c>
      <c r="B1131" t="s">
        <v>385</v>
      </c>
      <c r="C1131" s="3">
        <v>45701.744317129633</v>
      </c>
      <c r="D1131" t="s">
        <v>153</v>
      </c>
      <c r="E1131" s="4">
        <v>93.697000000000003</v>
      </c>
      <c r="F1131" s="4">
        <v>45970.188999999998</v>
      </c>
      <c r="G1131" s="4">
        <v>46063.885999999999</v>
      </c>
      <c r="H1131" s="5">
        <f>6558 / 86400</f>
        <v>7.5902777777777777E-2</v>
      </c>
      <c r="I1131" t="s">
        <v>19</v>
      </c>
      <c r="J1131" t="s">
        <v>76</v>
      </c>
      <c r="K1131" s="5">
        <f>18449 / 86400</f>
        <v>0.21353009259259259</v>
      </c>
      <c r="L1131" s="5">
        <f>292 / 86400</f>
        <v>3.3796296296296296E-3</v>
      </c>
    </row>
    <row r="1132" spans="1:12" x14ac:dyDescent="0.25">
      <c r="A1132" s="3">
        <v>45701.747696759259</v>
      </c>
      <c r="B1132" t="s">
        <v>153</v>
      </c>
      <c r="C1132" s="3">
        <v>45701.75099537037</v>
      </c>
      <c r="D1132" t="s">
        <v>104</v>
      </c>
      <c r="E1132" s="4">
        <v>0.112</v>
      </c>
      <c r="F1132" s="4">
        <v>46063.885999999999</v>
      </c>
      <c r="G1132" s="4">
        <v>46063.998</v>
      </c>
      <c r="H1132" s="5">
        <f>220 / 86400</f>
        <v>2.5462962962962965E-3</v>
      </c>
      <c r="I1132" t="s">
        <v>120</v>
      </c>
      <c r="J1132" t="s">
        <v>125</v>
      </c>
      <c r="K1132" s="5">
        <f>285 / 86400</f>
        <v>3.2986111111111111E-3</v>
      </c>
      <c r="L1132" s="5">
        <f>1305 / 86400</f>
        <v>1.5104166666666667E-2</v>
      </c>
    </row>
    <row r="1133" spans="1:12" x14ac:dyDescent="0.25">
      <c r="A1133" s="3">
        <v>45701.766099537039</v>
      </c>
      <c r="B1133" t="s">
        <v>104</v>
      </c>
      <c r="C1133" s="3">
        <v>45701.782233796301</v>
      </c>
      <c r="D1133" t="s">
        <v>99</v>
      </c>
      <c r="E1133" s="4">
        <v>1.534</v>
      </c>
      <c r="F1133" s="4">
        <v>46063.998</v>
      </c>
      <c r="G1133" s="4">
        <v>46065.531999999999</v>
      </c>
      <c r="H1133" s="5">
        <f>957 / 86400</f>
        <v>1.1076388888888889E-2</v>
      </c>
      <c r="I1133" t="s">
        <v>135</v>
      </c>
      <c r="J1133" t="s">
        <v>177</v>
      </c>
      <c r="K1133" s="5">
        <f>1394 / 86400</f>
        <v>1.6134259259259258E-2</v>
      </c>
      <c r="L1133" s="5">
        <f>18814 / 86400</f>
        <v>0.21775462962962963</v>
      </c>
    </row>
    <row r="1134" spans="1:12" x14ac:dyDescent="0.25">
      <c r="A1134" s="11"/>
      <c r="B1134" s="11"/>
      <c r="C1134" s="11"/>
      <c r="D1134" s="11"/>
      <c r="E1134" s="11"/>
      <c r="F1134" s="11"/>
      <c r="G1134" s="11"/>
      <c r="H1134" s="11"/>
      <c r="I1134" s="11"/>
      <c r="J1134" s="11"/>
    </row>
    <row r="1135" spans="1:12" x14ac:dyDescent="0.25">
      <c r="A1135" s="11"/>
      <c r="B1135" s="11"/>
      <c r="C1135" s="11"/>
      <c r="D1135" s="11"/>
      <c r="E1135" s="11"/>
      <c r="F1135" s="11"/>
      <c r="G1135" s="11"/>
      <c r="H1135" s="11"/>
      <c r="I1135" s="11"/>
      <c r="J1135" s="11"/>
    </row>
    <row r="1136" spans="1:12" s="10" customFormat="1" ht="20.100000000000001" customHeight="1" x14ac:dyDescent="0.35">
      <c r="A1136" s="12" t="s">
        <v>473</v>
      </c>
      <c r="B1136" s="12"/>
      <c r="C1136" s="12"/>
      <c r="D1136" s="12"/>
      <c r="E1136" s="12"/>
      <c r="F1136" s="12"/>
      <c r="G1136" s="12"/>
      <c r="H1136" s="12"/>
      <c r="I1136" s="12"/>
      <c r="J1136" s="12"/>
    </row>
    <row r="1137" spans="1:12" x14ac:dyDescent="0.25">
      <c r="A1137" s="11"/>
      <c r="B1137" s="11"/>
      <c r="C1137" s="11"/>
      <c r="D1137" s="11"/>
      <c r="E1137" s="11"/>
      <c r="F1137" s="11"/>
      <c r="G1137" s="11"/>
      <c r="H1137" s="11"/>
      <c r="I1137" s="11"/>
      <c r="J1137" s="11"/>
    </row>
    <row r="1138" spans="1:12" ht="30" x14ac:dyDescent="0.25">
      <c r="A1138" s="2" t="s">
        <v>5</v>
      </c>
      <c r="B1138" s="2" t="s">
        <v>6</v>
      </c>
      <c r="C1138" s="2" t="s">
        <v>7</v>
      </c>
      <c r="D1138" s="2" t="s">
        <v>8</v>
      </c>
      <c r="E1138" s="2" t="s">
        <v>9</v>
      </c>
      <c r="F1138" s="2" t="s">
        <v>10</v>
      </c>
      <c r="G1138" s="2" t="s">
        <v>11</v>
      </c>
      <c r="H1138" s="2" t="s">
        <v>12</v>
      </c>
      <c r="I1138" s="2" t="s">
        <v>13</v>
      </c>
      <c r="J1138" s="2" t="s">
        <v>14</v>
      </c>
      <c r="K1138" s="2" t="s">
        <v>15</v>
      </c>
      <c r="L1138" s="2" t="s">
        <v>16</v>
      </c>
    </row>
    <row r="1139" spans="1:12" x14ac:dyDescent="0.25">
      <c r="A1139" s="3">
        <v>45701.160891203705</v>
      </c>
      <c r="B1139" t="s">
        <v>100</v>
      </c>
      <c r="C1139" s="3">
        <v>45701.358611111107</v>
      </c>
      <c r="D1139" t="s">
        <v>131</v>
      </c>
      <c r="E1139" s="4">
        <v>102.78100000000001</v>
      </c>
      <c r="F1139" s="4">
        <v>78789.998000000007</v>
      </c>
      <c r="G1139" s="4">
        <v>78892.778999999995</v>
      </c>
      <c r="H1139" s="5">
        <f>4158 / 86400</f>
        <v>4.8125000000000001E-2</v>
      </c>
      <c r="I1139" t="s">
        <v>40</v>
      </c>
      <c r="J1139" t="s">
        <v>132</v>
      </c>
      <c r="K1139" s="5">
        <f>17083 / 86400</f>
        <v>0.19771990740740741</v>
      </c>
      <c r="L1139" s="5">
        <f>15182 / 86400</f>
        <v>0.17571759259259259</v>
      </c>
    </row>
    <row r="1140" spans="1:12" x14ac:dyDescent="0.25">
      <c r="A1140" s="3">
        <v>45701.373437499999</v>
      </c>
      <c r="B1140" t="s">
        <v>131</v>
      </c>
      <c r="C1140" s="3">
        <v>45701.374039351853</v>
      </c>
      <c r="D1140" t="s">
        <v>131</v>
      </c>
      <c r="E1140" s="4">
        <v>0</v>
      </c>
      <c r="F1140" s="4">
        <v>78892.778999999995</v>
      </c>
      <c r="G1140" s="4">
        <v>78892.778999999995</v>
      </c>
      <c r="H1140" s="5">
        <f>38 / 86400</f>
        <v>4.3981481481481481E-4</v>
      </c>
      <c r="I1140" t="s">
        <v>91</v>
      </c>
      <c r="J1140" t="s">
        <v>91</v>
      </c>
      <c r="K1140" s="5">
        <f>52 / 86400</f>
        <v>6.018518518518519E-4</v>
      </c>
      <c r="L1140" s="5">
        <f>186 / 86400</f>
        <v>2.1527777777777778E-3</v>
      </c>
    </row>
    <row r="1141" spans="1:12" x14ac:dyDescent="0.25">
      <c r="A1141" s="3">
        <v>45701.376192129625</v>
      </c>
      <c r="B1141" t="s">
        <v>131</v>
      </c>
      <c r="C1141" s="3">
        <v>45701.574641203704</v>
      </c>
      <c r="D1141" t="s">
        <v>153</v>
      </c>
      <c r="E1141" s="4">
        <v>95.07</v>
      </c>
      <c r="F1141" s="4">
        <v>78892.778999999995</v>
      </c>
      <c r="G1141" s="4">
        <v>78987.849000000002</v>
      </c>
      <c r="H1141" s="5">
        <f>4292 / 86400</f>
        <v>4.9675925925925929E-2</v>
      </c>
      <c r="I1141" t="s">
        <v>42</v>
      </c>
      <c r="J1141" t="s">
        <v>34</v>
      </c>
      <c r="K1141" s="5">
        <f>17146 / 86400</f>
        <v>0.19844907407407408</v>
      </c>
      <c r="L1141" s="5">
        <f>115 / 86400</f>
        <v>1.3310185185185185E-3</v>
      </c>
    </row>
    <row r="1142" spans="1:12" x14ac:dyDescent="0.25">
      <c r="A1142" s="3">
        <v>45701.575972222221</v>
      </c>
      <c r="B1142" t="s">
        <v>153</v>
      </c>
      <c r="C1142" s="3">
        <v>45701.577025462961</v>
      </c>
      <c r="D1142" t="s">
        <v>158</v>
      </c>
      <c r="E1142" s="4">
        <v>0.34699999999999998</v>
      </c>
      <c r="F1142" s="4">
        <v>78987.849000000002</v>
      </c>
      <c r="G1142" s="4">
        <v>78988.195999999996</v>
      </c>
      <c r="H1142" s="5">
        <f>0 / 86400</f>
        <v>0</v>
      </c>
      <c r="I1142" t="s">
        <v>135</v>
      </c>
      <c r="J1142" t="s">
        <v>43</v>
      </c>
      <c r="K1142" s="5">
        <f>91 / 86400</f>
        <v>1.0532407407407407E-3</v>
      </c>
      <c r="L1142" s="5">
        <f>186 / 86400</f>
        <v>2.1527777777777778E-3</v>
      </c>
    </row>
    <row r="1143" spans="1:12" x14ac:dyDescent="0.25">
      <c r="A1143" s="3">
        <v>45701.57917824074</v>
      </c>
      <c r="B1143" t="s">
        <v>158</v>
      </c>
      <c r="C1143" s="3">
        <v>45701.582013888888</v>
      </c>
      <c r="D1143" t="s">
        <v>89</v>
      </c>
      <c r="E1143" s="4">
        <v>0.14799999999999999</v>
      </c>
      <c r="F1143" s="4">
        <v>78988.195999999996</v>
      </c>
      <c r="G1143" s="4">
        <v>78988.343999999997</v>
      </c>
      <c r="H1143" s="5">
        <f>200 / 86400</f>
        <v>2.3148148148148147E-3</v>
      </c>
      <c r="I1143" t="s">
        <v>149</v>
      </c>
      <c r="J1143" t="s">
        <v>110</v>
      </c>
      <c r="K1143" s="5">
        <f>245 / 86400</f>
        <v>2.8356481481481483E-3</v>
      </c>
      <c r="L1143" s="5">
        <f>240 / 86400</f>
        <v>2.7777777777777779E-3</v>
      </c>
    </row>
    <row r="1144" spans="1:12" x14ac:dyDescent="0.25">
      <c r="A1144" s="3">
        <v>45701.584791666668</v>
      </c>
      <c r="B1144" t="s">
        <v>89</v>
      </c>
      <c r="C1144" s="3">
        <v>45701.585405092592</v>
      </c>
      <c r="D1144" t="s">
        <v>89</v>
      </c>
      <c r="E1144" s="4">
        <v>4.0000000000000001E-3</v>
      </c>
      <c r="F1144" s="4">
        <v>78988.343999999997</v>
      </c>
      <c r="G1144" s="4">
        <v>78988.347999999998</v>
      </c>
      <c r="H1144" s="5">
        <f>37 / 86400</f>
        <v>4.2824074074074075E-4</v>
      </c>
      <c r="I1144" t="s">
        <v>91</v>
      </c>
      <c r="J1144" t="s">
        <v>91</v>
      </c>
      <c r="K1144" s="5">
        <f>53 / 86400</f>
        <v>6.134259259259259E-4</v>
      </c>
      <c r="L1144" s="5">
        <f>165 / 86400</f>
        <v>1.9097222222222222E-3</v>
      </c>
    </row>
    <row r="1145" spans="1:12" x14ac:dyDescent="0.25">
      <c r="A1145" s="3">
        <v>45701.587314814809</v>
      </c>
      <c r="B1145" t="s">
        <v>89</v>
      </c>
      <c r="C1145" s="3">
        <v>45701.587719907402</v>
      </c>
      <c r="D1145" t="s">
        <v>89</v>
      </c>
      <c r="E1145" s="4">
        <v>0</v>
      </c>
      <c r="F1145" s="4">
        <v>78988.347999999998</v>
      </c>
      <c r="G1145" s="4">
        <v>78988.347999999998</v>
      </c>
      <c r="H1145" s="5">
        <f>17 / 86400</f>
        <v>1.9675925925925926E-4</v>
      </c>
      <c r="I1145" t="s">
        <v>91</v>
      </c>
      <c r="J1145" t="s">
        <v>91</v>
      </c>
      <c r="K1145" s="5">
        <f>35 / 86400</f>
        <v>4.0509259259259258E-4</v>
      </c>
      <c r="L1145" s="5">
        <f>134 / 86400</f>
        <v>1.5509259259259259E-3</v>
      </c>
    </row>
    <row r="1146" spans="1:12" x14ac:dyDescent="0.25">
      <c r="A1146" s="3">
        <v>45701.589270833334</v>
      </c>
      <c r="B1146" t="s">
        <v>89</v>
      </c>
      <c r="C1146" s="3">
        <v>45701.590624999997</v>
      </c>
      <c r="D1146" t="s">
        <v>89</v>
      </c>
      <c r="E1146" s="4">
        <v>0</v>
      </c>
      <c r="F1146" s="4">
        <v>78988.347999999998</v>
      </c>
      <c r="G1146" s="4">
        <v>78988.347999999998</v>
      </c>
      <c r="H1146" s="5">
        <f>97 / 86400</f>
        <v>1.1226851851851851E-3</v>
      </c>
      <c r="I1146" t="s">
        <v>91</v>
      </c>
      <c r="J1146" t="s">
        <v>91</v>
      </c>
      <c r="K1146" s="5">
        <f>117 / 86400</f>
        <v>1.3541666666666667E-3</v>
      </c>
      <c r="L1146" s="5">
        <f>191 / 86400</f>
        <v>2.2106481481481482E-3</v>
      </c>
    </row>
    <row r="1147" spans="1:12" x14ac:dyDescent="0.25">
      <c r="A1147" s="3">
        <v>45701.592835648145</v>
      </c>
      <c r="B1147" t="s">
        <v>89</v>
      </c>
      <c r="C1147" s="3">
        <v>45701.610358796301</v>
      </c>
      <c r="D1147" t="s">
        <v>104</v>
      </c>
      <c r="E1147" s="4">
        <v>0.27700000000000002</v>
      </c>
      <c r="F1147" s="4">
        <v>78988.347999999998</v>
      </c>
      <c r="G1147" s="4">
        <v>78988.625</v>
      </c>
      <c r="H1147" s="5">
        <f>1437 / 86400</f>
        <v>1.6631944444444446E-2</v>
      </c>
      <c r="I1147" t="s">
        <v>135</v>
      </c>
      <c r="J1147" t="s">
        <v>125</v>
      </c>
      <c r="K1147" s="5">
        <f>1514 / 86400</f>
        <v>1.7523148148148149E-2</v>
      </c>
      <c r="L1147" s="5">
        <f>35 / 86400</f>
        <v>4.0509259259259258E-4</v>
      </c>
    </row>
    <row r="1148" spans="1:12" x14ac:dyDescent="0.25">
      <c r="A1148" s="3">
        <v>45701.610763888893</v>
      </c>
      <c r="B1148" t="s">
        <v>104</v>
      </c>
      <c r="C1148" s="3">
        <v>45701.611354166671</v>
      </c>
      <c r="D1148" t="s">
        <v>104</v>
      </c>
      <c r="E1148" s="4">
        <v>2.4E-2</v>
      </c>
      <c r="F1148" s="4">
        <v>78988.625</v>
      </c>
      <c r="G1148" s="4">
        <v>78988.649000000005</v>
      </c>
      <c r="H1148" s="5">
        <f>18 / 86400</f>
        <v>2.0833333333333335E-4</v>
      </c>
      <c r="I1148" t="s">
        <v>140</v>
      </c>
      <c r="J1148" t="s">
        <v>110</v>
      </c>
      <c r="K1148" s="5">
        <f>51 / 86400</f>
        <v>5.9027777777777778E-4</v>
      </c>
      <c r="L1148" s="5">
        <f>3728 / 86400</f>
        <v>4.3148148148148151E-2</v>
      </c>
    </row>
    <row r="1149" spans="1:12" x14ac:dyDescent="0.25">
      <c r="A1149" s="3">
        <v>45701.654502314814</v>
      </c>
      <c r="B1149" t="s">
        <v>104</v>
      </c>
      <c r="C1149" s="3">
        <v>45701.654722222222</v>
      </c>
      <c r="D1149" t="s">
        <v>104</v>
      </c>
      <c r="E1149" s="4">
        <v>0</v>
      </c>
      <c r="F1149" s="4">
        <v>78988.649000000005</v>
      </c>
      <c r="G1149" s="4">
        <v>78988.649000000005</v>
      </c>
      <c r="H1149" s="5">
        <f>0 / 86400</f>
        <v>0</v>
      </c>
      <c r="I1149" t="s">
        <v>91</v>
      </c>
      <c r="J1149" t="s">
        <v>91</v>
      </c>
      <c r="K1149" s="5">
        <f>19 / 86400</f>
        <v>2.199074074074074E-4</v>
      </c>
      <c r="L1149" s="5">
        <f>19 / 86400</f>
        <v>2.199074074074074E-4</v>
      </c>
    </row>
    <row r="1150" spans="1:12" x14ac:dyDescent="0.25">
      <c r="A1150" s="3">
        <v>45701.654942129629</v>
      </c>
      <c r="B1150" t="s">
        <v>104</v>
      </c>
      <c r="C1150" s="3">
        <v>45701.655011574076</v>
      </c>
      <c r="D1150" t="s">
        <v>104</v>
      </c>
      <c r="E1150" s="4">
        <v>0</v>
      </c>
      <c r="F1150" s="4">
        <v>78988.649000000005</v>
      </c>
      <c r="G1150" s="4">
        <v>78988.649000000005</v>
      </c>
      <c r="H1150" s="5">
        <f>0 / 86400</f>
        <v>0</v>
      </c>
      <c r="I1150" t="s">
        <v>91</v>
      </c>
      <c r="J1150" t="s">
        <v>91</v>
      </c>
      <c r="K1150" s="5">
        <f>6 / 86400</f>
        <v>6.9444444444444444E-5</v>
      </c>
      <c r="L1150" s="5">
        <f>773 / 86400</f>
        <v>8.9467592592592585E-3</v>
      </c>
    </row>
    <row r="1151" spans="1:12" x14ac:dyDescent="0.25">
      <c r="A1151" s="3">
        <v>45701.663958333331</v>
      </c>
      <c r="B1151" t="s">
        <v>104</v>
      </c>
      <c r="C1151" s="3">
        <v>45701.666909722218</v>
      </c>
      <c r="D1151" t="s">
        <v>118</v>
      </c>
      <c r="E1151" s="4">
        <v>0.66200000000000003</v>
      </c>
      <c r="F1151" s="4">
        <v>78988.649000000005</v>
      </c>
      <c r="G1151" s="4">
        <v>78989.311000000002</v>
      </c>
      <c r="H1151" s="5">
        <f>78 / 86400</f>
        <v>9.0277777777777774E-4</v>
      </c>
      <c r="I1151" t="s">
        <v>159</v>
      </c>
      <c r="J1151" t="s">
        <v>140</v>
      </c>
      <c r="K1151" s="5">
        <f>255 / 86400</f>
        <v>2.9513888888888888E-3</v>
      </c>
      <c r="L1151" s="5">
        <f>120 / 86400</f>
        <v>1.3888888888888889E-3</v>
      </c>
    </row>
    <row r="1152" spans="1:12" x14ac:dyDescent="0.25">
      <c r="A1152" s="3">
        <v>45701.668298611112</v>
      </c>
      <c r="B1152" t="s">
        <v>118</v>
      </c>
      <c r="C1152" s="3">
        <v>45701.669259259259</v>
      </c>
      <c r="D1152" t="s">
        <v>118</v>
      </c>
      <c r="E1152" s="4">
        <v>6.3E-2</v>
      </c>
      <c r="F1152" s="4">
        <v>78989.311000000002</v>
      </c>
      <c r="G1152" s="4">
        <v>78989.373999999996</v>
      </c>
      <c r="H1152" s="5">
        <f>38 / 86400</f>
        <v>4.3981481481481481E-4</v>
      </c>
      <c r="I1152" t="s">
        <v>128</v>
      </c>
      <c r="J1152" t="s">
        <v>124</v>
      </c>
      <c r="K1152" s="5">
        <f>83 / 86400</f>
        <v>9.6064814814814819E-4</v>
      </c>
      <c r="L1152" s="5">
        <f>341 / 86400</f>
        <v>3.9467592592592592E-3</v>
      </c>
    </row>
    <row r="1153" spans="1:12" x14ac:dyDescent="0.25">
      <c r="A1153" s="3">
        <v>45701.673206018517</v>
      </c>
      <c r="B1153" t="s">
        <v>118</v>
      </c>
      <c r="C1153" s="3">
        <v>45701.673761574071</v>
      </c>
      <c r="D1153" t="s">
        <v>370</v>
      </c>
      <c r="E1153" s="4">
        <v>2.3E-2</v>
      </c>
      <c r="F1153" s="4">
        <v>78989.373999999996</v>
      </c>
      <c r="G1153" s="4">
        <v>78989.396999999997</v>
      </c>
      <c r="H1153" s="5">
        <f>0 / 86400</f>
        <v>0</v>
      </c>
      <c r="I1153" t="s">
        <v>177</v>
      </c>
      <c r="J1153" t="s">
        <v>110</v>
      </c>
      <c r="K1153" s="5">
        <f>48 / 86400</f>
        <v>5.5555555555555556E-4</v>
      </c>
      <c r="L1153" s="5">
        <f>1247 / 86400</f>
        <v>1.443287037037037E-2</v>
      </c>
    </row>
    <row r="1154" spans="1:12" x14ac:dyDescent="0.25">
      <c r="A1154" s="3">
        <v>45701.688194444447</v>
      </c>
      <c r="B1154" t="s">
        <v>118</v>
      </c>
      <c r="C1154" s="3">
        <v>45701.690995370373</v>
      </c>
      <c r="D1154" t="s">
        <v>118</v>
      </c>
      <c r="E1154" s="4">
        <v>0</v>
      </c>
      <c r="F1154" s="4">
        <v>78989.396999999997</v>
      </c>
      <c r="G1154" s="4">
        <v>78989.396999999997</v>
      </c>
      <c r="H1154" s="5">
        <f>238 / 86400</f>
        <v>2.7546296296296294E-3</v>
      </c>
      <c r="I1154" t="s">
        <v>91</v>
      </c>
      <c r="J1154" t="s">
        <v>91</v>
      </c>
      <c r="K1154" s="5">
        <f>242 / 86400</f>
        <v>2.8009259259259259E-3</v>
      </c>
      <c r="L1154" s="5">
        <f>25 / 86400</f>
        <v>2.8935185185185184E-4</v>
      </c>
    </row>
    <row r="1155" spans="1:12" x14ac:dyDescent="0.25">
      <c r="A1155" s="3">
        <v>45701.691284722227</v>
      </c>
      <c r="B1155" t="s">
        <v>118</v>
      </c>
      <c r="C1155" s="3">
        <v>45701.696817129632</v>
      </c>
      <c r="D1155" t="s">
        <v>21</v>
      </c>
      <c r="E1155" s="4">
        <v>1.4410000000000001</v>
      </c>
      <c r="F1155" s="4">
        <v>78989.396999999997</v>
      </c>
      <c r="G1155" s="4">
        <v>78990.838000000003</v>
      </c>
      <c r="H1155" s="5">
        <f>198 / 86400</f>
        <v>2.2916666666666667E-3</v>
      </c>
      <c r="I1155" t="s">
        <v>202</v>
      </c>
      <c r="J1155" t="s">
        <v>149</v>
      </c>
      <c r="K1155" s="5">
        <f>478 / 86400</f>
        <v>5.5324074074074078E-3</v>
      </c>
      <c r="L1155" s="5">
        <f>1109 / 86400</f>
        <v>1.2835648148148148E-2</v>
      </c>
    </row>
    <row r="1156" spans="1:12" x14ac:dyDescent="0.25">
      <c r="A1156" s="3">
        <v>45701.709652777776</v>
      </c>
      <c r="B1156" t="s">
        <v>21</v>
      </c>
      <c r="C1156" s="3">
        <v>45701.73038194445</v>
      </c>
      <c r="D1156" t="s">
        <v>21</v>
      </c>
      <c r="E1156" s="4">
        <v>0.19700000000000001</v>
      </c>
      <c r="F1156" s="4">
        <v>78990.838000000003</v>
      </c>
      <c r="G1156" s="4">
        <v>78991.035000000003</v>
      </c>
      <c r="H1156" s="5">
        <f>1698 / 86400</f>
        <v>1.9652777777777779E-2</v>
      </c>
      <c r="I1156" t="s">
        <v>149</v>
      </c>
      <c r="J1156" t="s">
        <v>91</v>
      </c>
      <c r="K1156" s="5">
        <f>1791 / 86400</f>
        <v>2.0729166666666667E-2</v>
      </c>
      <c r="L1156" s="5">
        <f>539 / 86400</f>
        <v>6.2384259259259259E-3</v>
      </c>
    </row>
    <row r="1157" spans="1:12" x14ac:dyDescent="0.25">
      <c r="A1157" s="3">
        <v>45701.736620370371</v>
      </c>
      <c r="B1157" t="s">
        <v>21</v>
      </c>
      <c r="C1157" s="3">
        <v>45701.740752314814</v>
      </c>
      <c r="D1157" t="s">
        <v>144</v>
      </c>
      <c r="E1157" s="4">
        <v>0.248</v>
      </c>
      <c r="F1157" s="4">
        <v>78991.035000000003</v>
      </c>
      <c r="G1157" s="4">
        <v>78991.282999999996</v>
      </c>
      <c r="H1157" s="5">
        <f>277 / 86400</f>
        <v>3.2060185185185186E-3</v>
      </c>
      <c r="I1157" t="s">
        <v>130</v>
      </c>
      <c r="J1157" t="s">
        <v>124</v>
      </c>
      <c r="K1157" s="5">
        <f>357 / 86400</f>
        <v>4.1319444444444442E-3</v>
      </c>
      <c r="L1157" s="5">
        <f>1815 / 86400</f>
        <v>2.1006944444444446E-2</v>
      </c>
    </row>
    <row r="1158" spans="1:12" x14ac:dyDescent="0.25">
      <c r="A1158" s="3">
        <v>45701.761759259258</v>
      </c>
      <c r="B1158" t="s">
        <v>144</v>
      </c>
      <c r="C1158" s="3">
        <v>45701.773263888885</v>
      </c>
      <c r="D1158" t="s">
        <v>100</v>
      </c>
      <c r="E1158" s="4">
        <v>0.54</v>
      </c>
      <c r="F1158" s="4">
        <v>78991.282999999996</v>
      </c>
      <c r="G1158" s="4">
        <v>78991.823000000004</v>
      </c>
      <c r="H1158" s="5">
        <f>858 / 86400</f>
        <v>9.9305555555555553E-3</v>
      </c>
      <c r="I1158" t="s">
        <v>155</v>
      </c>
      <c r="J1158" t="s">
        <v>110</v>
      </c>
      <c r="K1158" s="5">
        <f>994 / 86400</f>
        <v>1.150462962962963E-2</v>
      </c>
      <c r="L1158" s="5">
        <f>19589 / 86400</f>
        <v>0.22672453703703704</v>
      </c>
    </row>
    <row r="1159" spans="1:12" x14ac:dyDescent="0.25">
      <c r="A1159" s="11"/>
      <c r="B1159" s="11"/>
      <c r="C1159" s="11"/>
      <c r="D1159" s="11"/>
      <c r="E1159" s="11"/>
      <c r="F1159" s="11"/>
      <c r="G1159" s="11"/>
      <c r="H1159" s="11"/>
      <c r="I1159" s="11"/>
      <c r="J1159" s="11"/>
    </row>
    <row r="1160" spans="1:12" x14ac:dyDescent="0.25">
      <c r="A1160" s="11"/>
      <c r="B1160" s="11"/>
      <c r="C1160" s="11"/>
      <c r="D1160" s="11"/>
      <c r="E1160" s="11"/>
      <c r="F1160" s="11"/>
      <c r="G1160" s="11"/>
      <c r="H1160" s="11"/>
      <c r="I1160" s="11"/>
      <c r="J1160" s="11"/>
    </row>
    <row r="1161" spans="1:12" s="10" customFormat="1" ht="20.100000000000001" customHeight="1" x14ac:dyDescent="0.35">
      <c r="A1161" s="12" t="s">
        <v>474</v>
      </c>
      <c r="B1161" s="12"/>
      <c r="C1161" s="12"/>
      <c r="D1161" s="12"/>
      <c r="E1161" s="12"/>
      <c r="F1161" s="12"/>
      <c r="G1161" s="12"/>
      <c r="H1161" s="12"/>
      <c r="I1161" s="12"/>
      <c r="J1161" s="12"/>
    </row>
    <row r="1162" spans="1:12" x14ac:dyDescent="0.25">
      <c r="A1162" s="11"/>
      <c r="B1162" s="11"/>
      <c r="C1162" s="11"/>
      <c r="D1162" s="11"/>
      <c r="E1162" s="11"/>
      <c r="F1162" s="11"/>
      <c r="G1162" s="11"/>
      <c r="H1162" s="11"/>
      <c r="I1162" s="11"/>
      <c r="J1162" s="11"/>
    </row>
    <row r="1163" spans="1:12" ht="30" x14ac:dyDescent="0.25">
      <c r="A1163" s="2" t="s">
        <v>5</v>
      </c>
      <c r="B1163" s="2" t="s">
        <v>6</v>
      </c>
      <c r="C1163" s="2" t="s">
        <v>7</v>
      </c>
      <c r="D1163" s="2" t="s">
        <v>8</v>
      </c>
      <c r="E1163" s="2" t="s">
        <v>9</v>
      </c>
      <c r="F1163" s="2" t="s">
        <v>10</v>
      </c>
      <c r="G1163" s="2" t="s">
        <v>11</v>
      </c>
      <c r="H1163" s="2" t="s">
        <v>12</v>
      </c>
      <c r="I1163" s="2" t="s">
        <v>13</v>
      </c>
      <c r="J1163" s="2" t="s">
        <v>14</v>
      </c>
      <c r="K1163" s="2" t="s">
        <v>15</v>
      </c>
      <c r="L1163" s="2" t="s">
        <v>16</v>
      </c>
    </row>
    <row r="1164" spans="1:12" x14ac:dyDescent="0.25">
      <c r="A1164" s="3">
        <v>45701</v>
      </c>
      <c r="B1164" t="s">
        <v>83</v>
      </c>
      <c r="C1164" s="3">
        <v>45701.013506944444</v>
      </c>
      <c r="D1164" t="s">
        <v>80</v>
      </c>
      <c r="E1164" s="4">
        <v>7.415</v>
      </c>
      <c r="F1164" s="4">
        <v>40212.591999999997</v>
      </c>
      <c r="G1164" s="4">
        <v>40220.006999999998</v>
      </c>
      <c r="H1164" s="5">
        <f>300 / 86400</f>
        <v>3.472222222222222E-3</v>
      </c>
      <c r="I1164" t="s">
        <v>182</v>
      </c>
      <c r="J1164" t="s">
        <v>152</v>
      </c>
      <c r="K1164" s="5">
        <f>1167 / 86400</f>
        <v>1.3506944444444445E-2</v>
      </c>
      <c r="L1164" s="5">
        <f>370 / 86400</f>
        <v>4.2824074074074075E-3</v>
      </c>
    </row>
    <row r="1165" spans="1:12" x14ac:dyDescent="0.25">
      <c r="A1165" s="3">
        <v>45701.017789351856</v>
      </c>
      <c r="B1165" t="s">
        <v>80</v>
      </c>
      <c r="C1165" s="3">
        <v>45701.018379629633</v>
      </c>
      <c r="D1165" t="s">
        <v>80</v>
      </c>
      <c r="E1165" s="4">
        <v>3.6999999999999998E-2</v>
      </c>
      <c r="F1165" s="4">
        <v>40220.006999999998</v>
      </c>
      <c r="G1165" s="4">
        <v>40220.044000000002</v>
      </c>
      <c r="H1165" s="5">
        <f>1 / 86400</f>
        <v>1.1574074074074073E-5</v>
      </c>
      <c r="I1165" t="s">
        <v>140</v>
      </c>
      <c r="J1165" t="s">
        <v>124</v>
      </c>
      <c r="K1165" s="5">
        <f>51 / 86400</f>
        <v>5.9027777777777778E-4</v>
      </c>
      <c r="L1165" s="5">
        <f>3560 / 86400</f>
        <v>4.1203703703703701E-2</v>
      </c>
    </row>
    <row r="1166" spans="1:12" x14ac:dyDescent="0.25">
      <c r="A1166" s="3">
        <v>45701.059583333335</v>
      </c>
      <c r="B1166" t="s">
        <v>80</v>
      </c>
      <c r="C1166" s="3">
        <v>45701.070115740746</v>
      </c>
      <c r="D1166" t="s">
        <v>180</v>
      </c>
      <c r="E1166" s="4">
        <v>3.5089999999999999</v>
      </c>
      <c r="F1166" s="4">
        <v>40220.044000000002</v>
      </c>
      <c r="G1166" s="4">
        <v>40223.553</v>
      </c>
      <c r="H1166" s="5">
        <f>150 / 86400</f>
        <v>1.736111111111111E-3</v>
      </c>
      <c r="I1166" t="s">
        <v>135</v>
      </c>
      <c r="J1166" t="s">
        <v>43</v>
      </c>
      <c r="K1166" s="5">
        <f>910 / 86400</f>
        <v>1.0532407407407407E-2</v>
      </c>
      <c r="L1166" s="5">
        <f>10373 / 86400</f>
        <v>0.12005787037037037</v>
      </c>
    </row>
    <row r="1167" spans="1:12" x14ac:dyDescent="0.25">
      <c r="A1167" s="3">
        <v>45701.19017361111</v>
      </c>
      <c r="B1167" t="s">
        <v>180</v>
      </c>
      <c r="C1167" s="3">
        <v>45701.39130787037</v>
      </c>
      <c r="D1167" t="s">
        <v>118</v>
      </c>
      <c r="E1167" s="4">
        <v>90.644000000000005</v>
      </c>
      <c r="F1167" s="4">
        <v>40223.553</v>
      </c>
      <c r="G1167" s="4">
        <v>40314.197</v>
      </c>
      <c r="H1167" s="5">
        <f>4409 / 86400</f>
        <v>5.1030092592592592E-2</v>
      </c>
      <c r="I1167" t="s">
        <v>68</v>
      </c>
      <c r="J1167" t="s">
        <v>23</v>
      </c>
      <c r="K1167" s="5">
        <f>17378 / 86400</f>
        <v>0.20113425925925926</v>
      </c>
      <c r="L1167" s="5">
        <f>1726 / 86400</f>
        <v>1.9976851851851853E-2</v>
      </c>
    </row>
    <row r="1168" spans="1:12" x14ac:dyDescent="0.25">
      <c r="A1168" s="3">
        <v>45701.41128472222</v>
      </c>
      <c r="B1168" t="s">
        <v>118</v>
      </c>
      <c r="C1168" s="3">
        <v>45701.417812500003</v>
      </c>
      <c r="D1168" t="s">
        <v>131</v>
      </c>
      <c r="E1168" s="4">
        <v>1.2130000000000001</v>
      </c>
      <c r="F1168" s="4">
        <v>40314.197</v>
      </c>
      <c r="G1168" s="4">
        <v>40315.410000000003</v>
      </c>
      <c r="H1168" s="5">
        <f>173 / 86400</f>
        <v>2.0023148148148148E-3</v>
      </c>
      <c r="I1168" t="s">
        <v>132</v>
      </c>
      <c r="J1168" t="s">
        <v>90</v>
      </c>
      <c r="K1168" s="5">
        <f>564 / 86400</f>
        <v>6.5277777777777782E-3</v>
      </c>
      <c r="L1168" s="5">
        <f>521 / 86400</f>
        <v>6.030092592592593E-3</v>
      </c>
    </row>
    <row r="1169" spans="1:12" x14ac:dyDescent="0.25">
      <c r="A1169" s="3">
        <v>45701.423842592594</v>
      </c>
      <c r="B1169" t="s">
        <v>131</v>
      </c>
      <c r="C1169" s="3">
        <v>45701.424097222218</v>
      </c>
      <c r="D1169" t="s">
        <v>131</v>
      </c>
      <c r="E1169" s="4">
        <v>5.0000000000000001E-3</v>
      </c>
      <c r="F1169" s="4">
        <v>40315.410000000003</v>
      </c>
      <c r="G1169" s="4">
        <v>40315.415000000001</v>
      </c>
      <c r="H1169" s="5">
        <f>0 / 86400</f>
        <v>0</v>
      </c>
      <c r="I1169" t="s">
        <v>91</v>
      </c>
      <c r="J1169" t="s">
        <v>125</v>
      </c>
      <c r="K1169" s="5">
        <f>22 / 86400</f>
        <v>2.5462962962962961E-4</v>
      </c>
      <c r="L1169" s="5">
        <f>1065 / 86400</f>
        <v>1.2326388888888888E-2</v>
      </c>
    </row>
    <row r="1170" spans="1:12" x14ac:dyDescent="0.25">
      <c r="A1170" s="3">
        <v>45701.436423611114</v>
      </c>
      <c r="B1170" t="s">
        <v>131</v>
      </c>
      <c r="C1170" s="3">
        <v>45701.437349537038</v>
      </c>
      <c r="D1170" t="s">
        <v>133</v>
      </c>
      <c r="E1170" s="4">
        <v>4.2999999999999997E-2</v>
      </c>
      <c r="F1170" s="4">
        <v>40315.415000000001</v>
      </c>
      <c r="G1170" s="4">
        <v>40315.457999999999</v>
      </c>
      <c r="H1170" s="5">
        <f>1 / 86400</f>
        <v>1.1574074074074073E-5</v>
      </c>
      <c r="I1170" t="s">
        <v>161</v>
      </c>
      <c r="J1170" t="s">
        <v>110</v>
      </c>
      <c r="K1170" s="5">
        <f>80 / 86400</f>
        <v>9.2592592592592596E-4</v>
      </c>
      <c r="L1170" s="5">
        <f>3447 / 86400</f>
        <v>3.9895833333333332E-2</v>
      </c>
    </row>
    <row r="1171" spans="1:12" x14ac:dyDescent="0.25">
      <c r="A1171" s="3">
        <v>45701.47724537037</v>
      </c>
      <c r="B1171" t="s">
        <v>133</v>
      </c>
      <c r="C1171" s="3">
        <v>45701.687789351854</v>
      </c>
      <c r="D1171" t="s">
        <v>158</v>
      </c>
      <c r="E1171" s="4">
        <v>94.968000000000004</v>
      </c>
      <c r="F1171" s="4">
        <v>40315.457999999999</v>
      </c>
      <c r="G1171" s="4">
        <v>40410.425999999999</v>
      </c>
      <c r="H1171" s="5">
        <f>6135 / 86400</f>
        <v>7.1006944444444442E-2</v>
      </c>
      <c r="I1171" t="s">
        <v>87</v>
      </c>
      <c r="J1171" t="s">
        <v>23</v>
      </c>
      <c r="K1171" s="5">
        <f>18191 / 86400</f>
        <v>0.21054398148148148</v>
      </c>
      <c r="L1171" s="5">
        <f>572 / 86400</f>
        <v>6.6203703703703702E-3</v>
      </c>
    </row>
    <row r="1172" spans="1:12" x14ac:dyDescent="0.25">
      <c r="A1172" s="3">
        <v>45701.694409722222</v>
      </c>
      <c r="B1172" t="s">
        <v>158</v>
      </c>
      <c r="C1172" s="3">
        <v>45701.920914351853</v>
      </c>
      <c r="D1172" t="s">
        <v>111</v>
      </c>
      <c r="E1172" s="4">
        <v>93.003</v>
      </c>
      <c r="F1172" s="4">
        <v>40410.425999999999</v>
      </c>
      <c r="G1172" s="4">
        <v>40503.428999999996</v>
      </c>
      <c r="H1172" s="5">
        <f>6361 / 86400</f>
        <v>7.362268518518518E-2</v>
      </c>
      <c r="I1172" t="s">
        <v>26</v>
      </c>
      <c r="J1172" t="s">
        <v>20</v>
      </c>
      <c r="K1172" s="5">
        <f>19570 / 86400</f>
        <v>0.22650462962962964</v>
      </c>
      <c r="L1172" s="5">
        <f>3 / 86400</f>
        <v>3.4722222222222222E-5</v>
      </c>
    </row>
    <row r="1173" spans="1:12" x14ac:dyDescent="0.25">
      <c r="A1173" s="3">
        <v>45701.920949074076</v>
      </c>
      <c r="B1173" t="s">
        <v>111</v>
      </c>
      <c r="C1173" s="3">
        <v>45701.920960648145</v>
      </c>
      <c r="D1173" t="s">
        <v>111</v>
      </c>
      <c r="E1173" s="4">
        <v>0</v>
      </c>
      <c r="F1173" s="4">
        <v>40503.428999999996</v>
      </c>
      <c r="G1173" s="4">
        <v>40503.428999999996</v>
      </c>
      <c r="H1173" s="5">
        <f>0 / 86400</f>
        <v>0</v>
      </c>
      <c r="I1173" t="s">
        <v>91</v>
      </c>
      <c r="J1173" t="s">
        <v>91</v>
      </c>
      <c r="K1173" s="5">
        <f>1 / 86400</f>
        <v>1.1574074074074073E-5</v>
      </c>
      <c r="L1173" s="5">
        <f>5 / 86400</f>
        <v>5.7870370370370373E-5</v>
      </c>
    </row>
    <row r="1174" spans="1:12" x14ac:dyDescent="0.25">
      <c r="A1174" s="3">
        <v>45701.921018518522</v>
      </c>
      <c r="B1174" t="s">
        <v>111</v>
      </c>
      <c r="C1174" s="3">
        <v>45701.921041666668</v>
      </c>
      <c r="D1174" t="s">
        <v>111</v>
      </c>
      <c r="E1174" s="4">
        <v>0</v>
      </c>
      <c r="F1174" s="4">
        <v>40503.428999999996</v>
      </c>
      <c r="G1174" s="4">
        <v>40503.428999999996</v>
      </c>
      <c r="H1174" s="5">
        <f>0 / 86400</f>
        <v>0</v>
      </c>
      <c r="I1174" t="s">
        <v>91</v>
      </c>
      <c r="J1174" t="s">
        <v>91</v>
      </c>
      <c r="K1174" s="5">
        <f>2 / 86400</f>
        <v>2.3148148148148147E-5</v>
      </c>
      <c r="L1174" s="5">
        <f>4 / 86400</f>
        <v>4.6296296296296294E-5</v>
      </c>
    </row>
    <row r="1175" spans="1:12" x14ac:dyDescent="0.25">
      <c r="A1175" s="3">
        <v>45701.921087962968</v>
      </c>
      <c r="B1175" t="s">
        <v>111</v>
      </c>
      <c r="C1175" s="3">
        <v>45701.99998842593</v>
      </c>
      <c r="D1175" t="s">
        <v>101</v>
      </c>
      <c r="E1175" s="4">
        <v>42.834000000000003</v>
      </c>
      <c r="F1175" s="4">
        <v>40503.428999999996</v>
      </c>
      <c r="G1175" s="4">
        <v>40546.262999999999</v>
      </c>
      <c r="H1175" s="5">
        <f>1955 / 86400</f>
        <v>2.2627314814814815E-2</v>
      </c>
      <c r="I1175" t="s">
        <v>55</v>
      </c>
      <c r="J1175" t="s">
        <v>152</v>
      </c>
      <c r="K1175" s="5">
        <f>6817 / 86400</f>
        <v>7.8900462962962964E-2</v>
      </c>
      <c r="L1175" s="5">
        <f>0 / 86400</f>
        <v>0</v>
      </c>
    </row>
    <row r="1176" spans="1:12" x14ac:dyDescent="0.25">
      <c r="A1176" s="11"/>
      <c r="B1176" s="11"/>
      <c r="C1176" s="11"/>
      <c r="D1176" s="11"/>
      <c r="E1176" s="11"/>
      <c r="F1176" s="11"/>
      <c r="G1176" s="11"/>
      <c r="H1176" s="11"/>
      <c r="I1176" s="11"/>
      <c r="J1176" s="11"/>
    </row>
    <row r="1177" spans="1:12" x14ac:dyDescent="0.25">
      <c r="A1177" s="11"/>
      <c r="B1177" s="11"/>
      <c r="C1177" s="11"/>
      <c r="D1177" s="11"/>
      <c r="E1177" s="11"/>
      <c r="F1177" s="11"/>
      <c r="G1177" s="11"/>
      <c r="H1177" s="11"/>
      <c r="I1177" s="11"/>
      <c r="J1177" s="11"/>
    </row>
    <row r="1178" spans="1:12" s="10" customFormat="1" ht="20.100000000000001" customHeight="1" x14ac:dyDescent="0.35">
      <c r="A1178" s="12" t="s">
        <v>475</v>
      </c>
      <c r="B1178" s="12"/>
      <c r="C1178" s="12"/>
      <c r="D1178" s="12"/>
      <c r="E1178" s="12"/>
      <c r="F1178" s="12"/>
      <c r="G1178" s="12"/>
      <c r="H1178" s="12"/>
      <c r="I1178" s="12"/>
      <c r="J1178" s="12"/>
    </row>
    <row r="1179" spans="1:12" x14ac:dyDescent="0.25">
      <c r="A1179" s="11"/>
      <c r="B1179" s="11"/>
      <c r="C1179" s="11"/>
      <c r="D1179" s="11"/>
      <c r="E1179" s="11"/>
      <c r="F1179" s="11"/>
      <c r="G1179" s="11"/>
      <c r="H1179" s="11"/>
      <c r="I1179" s="11"/>
      <c r="J1179" s="11"/>
    </row>
    <row r="1180" spans="1:12" ht="30" x14ac:dyDescent="0.25">
      <c r="A1180" s="2" t="s">
        <v>5</v>
      </c>
      <c r="B1180" s="2" t="s">
        <v>6</v>
      </c>
      <c r="C1180" s="2" t="s">
        <v>7</v>
      </c>
      <c r="D1180" s="2" t="s">
        <v>8</v>
      </c>
      <c r="E1180" s="2" t="s">
        <v>9</v>
      </c>
      <c r="F1180" s="2" t="s">
        <v>10</v>
      </c>
      <c r="G1180" s="2" t="s">
        <v>11</v>
      </c>
      <c r="H1180" s="2" t="s">
        <v>12</v>
      </c>
      <c r="I1180" s="2" t="s">
        <v>13</v>
      </c>
      <c r="J1180" s="2" t="s">
        <v>14</v>
      </c>
      <c r="K1180" s="2" t="s">
        <v>15</v>
      </c>
      <c r="L1180" s="2" t="s">
        <v>16</v>
      </c>
    </row>
    <row r="1181" spans="1:12" x14ac:dyDescent="0.25">
      <c r="A1181" s="3">
        <v>45701</v>
      </c>
      <c r="B1181" t="s">
        <v>102</v>
      </c>
      <c r="C1181" s="3">
        <v>45701.028958333336</v>
      </c>
      <c r="D1181" t="s">
        <v>192</v>
      </c>
      <c r="E1181" s="4">
        <v>13.308</v>
      </c>
      <c r="F1181" s="4">
        <v>192165.962</v>
      </c>
      <c r="G1181" s="4">
        <v>192179.27</v>
      </c>
      <c r="H1181" s="5">
        <f>481 / 86400</f>
        <v>5.5671296296296293E-3</v>
      </c>
      <c r="I1181" t="s">
        <v>182</v>
      </c>
      <c r="J1181" t="s">
        <v>23</v>
      </c>
      <c r="K1181" s="5">
        <f>2502 / 86400</f>
        <v>2.8958333333333332E-2</v>
      </c>
      <c r="L1181" s="5">
        <f>869 / 86400</f>
        <v>1.005787037037037E-2</v>
      </c>
    </row>
    <row r="1182" spans="1:12" x14ac:dyDescent="0.25">
      <c r="A1182" s="3">
        <v>45701.039016203707</v>
      </c>
      <c r="B1182" t="s">
        <v>192</v>
      </c>
      <c r="C1182" s="3">
        <v>45701.043252314819</v>
      </c>
      <c r="D1182" t="s">
        <v>103</v>
      </c>
      <c r="E1182" s="4">
        <v>1.58</v>
      </c>
      <c r="F1182" s="4">
        <v>192179.27</v>
      </c>
      <c r="G1182" s="4">
        <v>192180.85</v>
      </c>
      <c r="H1182" s="5">
        <f>0 / 86400</f>
        <v>0</v>
      </c>
      <c r="I1182" t="s">
        <v>294</v>
      </c>
      <c r="J1182" t="s">
        <v>51</v>
      </c>
      <c r="K1182" s="5">
        <f>366 / 86400</f>
        <v>4.2361111111111115E-3</v>
      </c>
      <c r="L1182" s="5">
        <f>26099 / 86400</f>
        <v>0.30207175925925928</v>
      </c>
    </row>
    <row r="1183" spans="1:12" x14ac:dyDescent="0.25">
      <c r="A1183" s="3">
        <v>45701.345324074078</v>
      </c>
      <c r="B1183" t="s">
        <v>103</v>
      </c>
      <c r="C1183" s="3">
        <v>45701.420370370368</v>
      </c>
      <c r="D1183" t="s">
        <v>413</v>
      </c>
      <c r="E1183" s="4">
        <v>33.174999999999997</v>
      </c>
      <c r="F1183" s="4">
        <v>192180.85</v>
      </c>
      <c r="G1183" s="4">
        <v>192214.02499999999</v>
      </c>
      <c r="H1183" s="5">
        <f>1839 / 86400</f>
        <v>2.1284722222222222E-2</v>
      </c>
      <c r="I1183" t="s">
        <v>95</v>
      </c>
      <c r="J1183" t="s">
        <v>76</v>
      </c>
      <c r="K1183" s="5">
        <f>6484 / 86400</f>
        <v>7.5046296296296292E-2</v>
      </c>
      <c r="L1183" s="5">
        <f>156 / 86400</f>
        <v>1.8055555555555555E-3</v>
      </c>
    </row>
    <row r="1184" spans="1:12" x14ac:dyDescent="0.25">
      <c r="A1184" s="3">
        <v>45701.422175925924</v>
      </c>
      <c r="B1184" t="s">
        <v>413</v>
      </c>
      <c r="C1184" s="3">
        <v>45701.423217592594</v>
      </c>
      <c r="D1184" t="s">
        <v>413</v>
      </c>
      <c r="E1184" s="4">
        <v>6.0000000000000001E-3</v>
      </c>
      <c r="F1184" s="4">
        <v>192214.02499999999</v>
      </c>
      <c r="G1184" s="4">
        <v>192214.03099999999</v>
      </c>
      <c r="H1184" s="5">
        <f>79 / 86400</f>
        <v>9.1435185185185185E-4</v>
      </c>
      <c r="I1184" t="s">
        <v>91</v>
      </c>
      <c r="J1184" t="s">
        <v>91</v>
      </c>
      <c r="K1184" s="5">
        <f>89 / 86400</f>
        <v>1.0300925925925926E-3</v>
      </c>
      <c r="L1184" s="5">
        <f>8155 / 86400</f>
        <v>9.4386574074074067E-2</v>
      </c>
    </row>
    <row r="1185" spans="1:12" x14ac:dyDescent="0.25">
      <c r="A1185" s="3">
        <v>45701.517604166671</v>
      </c>
      <c r="B1185" t="s">
        <v>413</v>
      </c>
      <c r="C1185" s="3">
        <v>45701.522662037038</v>
      </c>
      <c r="D1185" t="s">
        <v>47</v>
      </c>
      <c r="E1185" s="4">
        <v>1.619</v>
      </c>
      <c r="F1185" s="4">
        <v>192214.03099999999</v>
      </c>
      <c r="G1185" s="4">
        <v>192215.65</v>
      </c>
      <c r="H1185" s="5">
        <f>39 / 86400</f>
        <v>4.5138888888888887E-4</v>
      </c>
      <c r="I1185" t="s">
        <v>155</v>
      </c>
      <c r="J1185" t="s">
        <v>58</v>
      </c>
      <c r="K1185" s="5">
        <f>437 / 86400</f>
        <v>5.0578703703703706E-3</v>
      </c>
      <c r="L1185" s="5">
        <f>1637 / 86400</f>
        <v>1.894675925925926E-2</v>
      </c>
    </row>
    <row r="1186" spans="1:12" x14ac:dyDescent="0.25">
      <c r="A1186" s="3">
        <v>45701.541608796295</v>
      </c>
      <c r="B1186" t="s">
        <v>47</v>
      </c>
      <c r="C1186" s="3">
        <v>45701.544317129628</v>
      </c>
      <c r="D1186" t="s">
        <v>133</v>
      </c>
      <c r="E1186" s="4">
        <v>0.78</v>
      </c>
      <c r="F1186" s="4">
        <v>192215.65</v>
      </c>
      <c r="G1186" s="4">
        <v>192216.43</v>
      </c>
      <c r="H1186" s="5">
        <f>0 / 86400</f>
        <v>0</v>
      </c>
      <c r="I1186" t="s">
        <v>159</v>
      </c>
      <c r="J1186" t="s">
        <v>120</v>
      </c>
      <c r="K1186" s="5">
        <f>233 / 86400</f>
        <v>2.6967592592592594E-3</v>
      </c>
      <c r="L1186" s="5">
        <f>4894 / 86400</f>
        <v>5.6643518518518517E-2</v>
      </c>
    </row>
    <row r="1187" spans="1:12" x14ac:dyDescent="0.25">
      <c r="A1187" s="3">
        <v>45701.600960648153</v>
      </c>
      <c r="B1187" t="s">
        <v>133</v>
      </c>
      <c r="C1187" s="3">
        <v>45701.601493055554</v>
      </c>
      <c r="D1187" t="s">
        <v>131</v>
      </c>
      <c r="E1187" s="4">
        <v>5.3999999999999999E-2</v>
      </c>
      <c r="F1187" s="4">
        <v>192216.43</v>
      </c>
      <c r="G1187" s="4">
        <v>192216.484</v>
      </c>
      <c r="H1187" s="5">
        <f>0 / 86400</f>
        <v>0</v>
      </c>
      <c r="I1187" t="s">
        <v>161</v>
      </c>
      <c r="J1187" t="s">
        <v>177</v>
      </c>
      <c r="K1187" s="5">
        <f>46 / 86400</f>
        <v>5.3240740740740744E-4</v>
      </c>
      <c r="L1187" s="5">
        <f>515 / 86400</f>
        <v>5.9606481481481481E-3</v>
      </c>
    </row>
    <row r="1188" spans="1:12" x14ac:dyDescent="0.25">
      <c r="A1188" s="3">
        <v>45701.607453703706</v>
      </c>
      <c r="B1188" t="s">
        <v>131</v>
      </c>
      <c r="C1188" s="3">
        <v>45701.610416666663</v>
      </c>
      <c r="D1188" t="s">
        <v>414</v>
      </c>
      <c r="E1188" s="4">
        <v>1.0609999999999999</v>
      </c>
      <c r="F1188" s="4">
        <v>192216.484</v>
      </c>
      <c r="G1188" s="4">
        <v>192217.54500000001</v>
      </c>
      <c r="H1188" s="5">
        <f>20 / 86400</f>
        <v>2.3148148148148149E-4</v>
      </c>
      <c r="I1188" t="s">
        <v>135</v>
      </c>
      <c r="J1188" t="s">
        <v>29</v>
      </c>
      <c r="K1188" s="5">
        <f>255 / 86400</f>
        <v>2.9513888888888888E-3</v>
      </c>
      <c r="L1188" s="5">
        <f>242 / 86400</f>
        <v>2.8009259259259259E-3</v>
      </c>
    </row>
    <row r="1189" spans="1:12" x14ac:dyDescent="0.25">
      <c r="A1189" s="3">
        <v>45701.613217592589</v>
      </c>
      <c r="B1189" t="s">
        <v>414</v>
      </c>
      <c r="C1189" s="3">
        <v>45701.766458333332</v>
      </c>
      <c r="D1189" t="s">
        <v>402</v>
      </c>
      <c r="E1189" s="4">
        <v>49.148000000000003</v>
      </c>
      <c r="F1189" s="4">
        <v>192217.54500000001</v>
      </c>
      <c r="G1189" s="4">
        <v>192266.693</v>
      </c>
      <c r="H1189" s="5">
        <f>5600 / 86400</f>
        <v>6.4814814814814811E-2</v>
      </c>
      <c r="I1189" t="s">
        <v>95</v>
      </c>
      <c r="J1189" t="s">
        <v>58</v>
      </c>
      <c r="K1189" s="5">
        <f>13239 / 86400</f>
        <v>0.15322916666666667</v>
      </c>
      <c r="L1189" s="5">
        <f>595 / 86400</f>
        <v>6.8865740740740745E-3</v>
      </c>
    </row>
    <row r="1190" spans="1:12" x14ac:dyDescent="0.25">
      <c r="A1190" s="3">
        <v>45701.773344907408</v>
      </c>
      <c r="B1190" t="s">
        <v>402</v>
      </c>
      <c r="C1190" s="3">
        <v>45701.844340277778</v>
      </c>
      <c r="D1190" t="s">
        <v>192</v>
      </c>
      <c r="E1190" s="4">
        <v>18.975999999999999</v>
      </c>
      <c r="F1190" s="4">
        <v>192266.693</v>
      </c>
      <c r="G1190" s="4">
        <v>192285.66899999999</v>
      </c>
      <c r="H1190" s="5">
        <f>1880 / 86400</f>
        <v>2.1759259259259259E-2</v>
      </c>
      <c r="I1190" t="s">
        <v>186</v>
      </c>
      <c r="J1190" t="s">
        <v>149</v>
      </c>
      <c r="K1190" s="5">
        <f>6133 / 86400</f>
        <v>7.0983796296296295E-2</v>
      </c>
      <c r="L1190" s="5">
        <f>536 / 86400</f>
        <v>6.2037037037037035E-3</v>
      </c>
    </row>
    <row r="1191" spans="1:12" x14ac:dyDescent="0.25">
      <c r="A1191" s="3">
        <v>45701.850543981476</v>
      </c>
      <c r="B1191" t="s">
        <v>415</v>
      </c>
      <c r="C1191" s="3">
        <v>45701.855682870373</v>
      </c>
      <c r="D1191" t="s">
        <v>103</v>
      </c>
      <c r="E1191" s="4">
        <v>1.73</v>
      </c>
      <c r="F1191" s="4">
        <v>192285.66899999999</v>
      </c>
      <c r="G1191" s="4">
        <v>192287.399</v>
      </c>
      <c r="H1191" s="5">
        <f>19 / 86400</f>
        <v>2.199074074074074E-4</v>
      </c>
      <c r="I1191" t="s">
        <v>135</v>
      </c>
      <c r="J1191" t="s">
        <v>43</v>
      </c>
      <c r="K1191" s="5">
        <f>444 / 86400</f>
        <v>5.138888888888889E-3</v>
      </c>
      <c r="L1191" s="5">
        <f>424 / 86400</f>
        <v>4.9074074074074072E-3</v>
      </c>
    </row>
    <row r="1192" spans="1:12" x14ac:dyDescent="0.25">
      <c r="A1192" s="3">
        <v>45701.860590277778</v>
      </c>
      <c r="B1192" t="s">
        <v>103</v>
      </c>
      <c r="C1192" s="3">
        <v>45701.861481481479</v>
      </c>
      <c r="D1192" t="s">
        <v>103</v>
      </c>
      <c r="E1192" s="4">
        <v>0.14199999999999999</v>
      </c>
      <c r="F1192" s="4">
        <v>192287.399</v>
      </c>
      <c r="G1192" s="4">
        <v>192287.541</v>
      </c>
      <c r="H1192" s="5">
        <f>0 / 86400</f>
        <v>0</v>
      </c>
      <c r="I1192" t="s">
        <v>90</v>
      </c>
      <c r="J1192" t="s">
        <v>161</v>
      </c>
      <c r="K1192" s="5">
        <f>76 / 86400</f>
        <v>8.7962962962962962E-4</v>
      </c>
      <c r="L1192" s="5">
        <f>11967 / 86400</f>
        <v>0.13850694444444445</v>
      </c>
    </row>
    <row r="1193" spans="1:12" x14ac:dyDescent="0.25">
      <c r="A1193" s="11"/>
      <c r="B1193" s="11"/>
      <c r="C1193" s="11"/>
      <c r="D1193" s="11"/>
      <c r="E1193" s="11"/>
      <c r="F1193" s="11"/>
      <c r="G1193" s="11"/>
      <c r="H1193" s="11"/>
      <c r="I1193" s="11"/>
      <c r="J1193" s="11"/>
    </row>
    <row r="1194" spans="1:12" x14ac:dyDescent="0.25">
      <c r="A1194" s="11"/>
      <c r="B1194" s="11"/>
      <c r="C1194" s="11"/>
      <c r="D1194" s="11"/>
      <c r="E1194" s="11"/>
      <c r="F1194" s="11"/>
      <c r="G1194" s="11"/>
      <c r="H1194" s="11"/>
      <c r="I1194" s="11"/>
      <c r="J1194" s="11"/>
    </row>
    <row r="1195" spans="1:12" s="10" customFormat="1" ht="20.100000000000001" customHeight="1" x14ac:dyDescent="0.35">
      <c r="A1195" s="12" t="s">
        <v>476</v>
      </c>
      <c r="B1195" s="12"/>
      <c r="C1195" s="12"/>
      <c r="D1195" s="12"/>
      <c r="E1195" s="12"/>
      <c r="F1195" s="12"/>
      <c r="G1195" s="12"/>
      <c r="H1195" s="12"/>
      <c r="I1195" s="12"/>
      <c r="J1195" s="12"/>
    </row>
    <row r="1196" spans="1:12" x14ac:dyDescent="0.25">
      <c r="A1196" s="11"/>
      <c r="B1196" s="11"/>
      <c r="C1196" s="11"/>
      <c r="D1196" s="11"/>
      <c r="E1196" s="11"/>
      <c r="F1196" s="11"/>
      <c r="G1196" s="11"/>
      <c r="H1196" s="11"/>
      <c r="I1196" s="11"/>
      <c r="J1196" s="11"/>
    </row>
    <row r="1197" spans="1:12" ht="30" x14ac:dyDescent="0.25">
      <c r="A1197" s="2" t="s">
        <v>5</v>
      </c>
      <c r="B1197" s="2" t="s">
        <v>6</v>
      </c>
      <c r="C1197" s="2" t="s">
        <v>7</v>
      </c>
      <c r="D1197" s="2" t="s">
        <v>8</v>
      </c>
      <c r="E1197" s="2" t="s">
        <v>9</v>
      </c>
      <c r="F1197" s="2" t="s">
        <v>10</v>
      </c>
      <c r="G1197" s="2" t="s">
        <v>11</v>
      </c>
      <c r="H1197" s="2" t="s">
        <v>12</v>
      </c>
      <c r="I1197" s="2" t="s">
        <v>13</v>
      </c>
      <c r="J1197" s="2" t="s">
        <v>14</v>
      </c>
      <c r="K1197" s="2" t="s">
        <v>15</v>
      </c>
      <c r="L1197" s="2" t="s">
        <v>16</v>
      </c>
    </row>
    <row r="1198" spans="1:12" x14ac:dyDescent="0.25">
      <c r="A1198" s="3">
        <v>45701</v>
      </c>
      <c r="B1198" t="s">
        <v>104</v>
      </c>
      <c r="C1198" s="3">
        <v>45701.014513888891</v>
      </c>
      <c r="D1198" t="s">
        <v>89</v>
      </c>
      <c r="E1198" s="4">
        <v>0.5</v>
      </c>
      <c r="F1198" s="4">
        <v>522845.21100000001</v>
      </c>
      <c r="G1198" s="4">
        <v>522845.71100000001</v>
      </c>
      <c r="H1198" s="5">
        <f>1060 / 86400</f>
        <v>1.2268518518518519E-2</v>
      </c>
      <c r="I1198" t="s">
        <v>71</v>
      </c>
      <c r="J1198" t="s">
        <v>125</v>
      </c>
      <c r="K1198" s="5">
        <f>1254 / 86400</f>
        <v>1.4513888888888889E-2</v>
      </c>
      <c r="L1198" s="5">
        <f>16480 / 86400</f>
        <v>0.19074074074074074</v>
      </c>
    </row>
    <row r="1199" spans="1:12" x14ac:dyDescent="0.25">
      <c r="A1199" s="3">
        <v>45701.205254629633</v>
      </c>
      <c r="B1199" t="s">
        <v>89</v>
      </c>
      <c r="C1199" s="3">
        <v>45701.43885416667</v>
      </c>
      <c r="D1199" t="s">
        <v>133</v>
      </c>
      <c r="E1199" s="4">
        <v>101.595</v>
      </c>
      <c r="F1199" s="4">
        <v>522845.71100000001</v>
      </c>
      <c r="G1199" s="4">
        <v>522947.30599999998</v>
      </c>
      <c r="H1199" s="5">
        <f>6559 / 86400</f>
        <v>7.5914351851851858E-2</v>
      </c>
      <c r="I1199" t="s">
        <v>46</v>
      </c>
      <c r="J1199" t="s">
        <v>76</v>
      </c>
      <c r="K1199" s="5">
        <f>20182 / 86400</f>
        <v>0.23358796296296297</v>
      </c>
      <c r="L1199" s="5">
        <f>3229 / 86400</f>
        <v>3.7372685185185182E-2</v>
      </c>
    </row>
    <row r="1200" spans="1:12" x14ac:dyDescent="0.25">
      <c r="A1200" s="3">
        <v>45701.476226851853</v>
      </c>
      <c r="B1200" t="s">
        <v>133</v>
      </c>
      <c r="C1200" s="3">
        <v>45701.479548611111</v>
      </c>
      <c r="D1200" t="s">
        <v>158</v>
      </c>
      <c r="E1200" s="4">
        <v>1.3149999999999999</v>
      </c>
      <c r="F1200" s="4">
        <v>522947.30599999998</v>
      </c>
      <c r="G1200" s="4">
        <v>522948.62099999998</v>
      </c>
      <c r="H1200" s="5">
        <f>20 / 86400</f>
        <v>2.3148148148148149E-4</v>
      </c>
      <c r="I1200" t="s">
        <v>127</v>
      </c>
      <c r="J1200" t="s">
        <v>51</v>
      </c>
      <c r="K1200" s="5">
        <f>287 / 86400</f>
        <v>3.3217592592592591E-3</v>
      </c>
      <c r="L1200" s="5">
        <f>567 / 86400</f>
        <v>6.5624999999999998E-3</v>
      </c>
    </row>
    <row r="1201" spans="1:12" x14ac:dyDescent="0.25">
      <c r="A1201" s="3">
        <v>45701.486111111109</v>
      </c>
      <c r="B1201" t="s">
        <v>158</v>
      </c>
      <c r="C1201" s="3">
        <v>45701.487349537041</v>
      </c>
      <c r="D1201" t="s">
        <v>89</v>
      </c>
      <c r="E1201" s="4">
        <v>3.4000000000000002E-2</v>
      </c>
      <c r="F1201" s="4">
        <v>522948.62099999998</v>
      </c>
      <c r="G1201" s="4">
        <v>522948.65500000003</v>
      </c>
      <c r="H1201" s="5">
        <f>40 / 86400</f>
        <v>4.6296296296296298E-4</v>
      </c>
      <c r="I1201" t="s">
        <v>37</v>
      </c>
      <c r="J1201" t="s">
        <v>125</v>
      </c>
      <c r="K1201" s="5">
        <f>107 / 86400</f>
        <v>1.238425925925926E-3</v>
      </c>
      <c r="L1201" s="5">
        <f>1137 / 86400</f>
        <v>1.3159722222222222E-2</v>
      </c>
    </row>
    <row r="1202" spans="1:12" x14ac:dyDescent="0.25">
      <c r="A1202" s="3">
        <v>45701.500509259262</v>
      </c>
      <c r="B1202" t="s">
        <v>89</v>
      </c>
      <c r="C1202" s="3">
        <v>45701.502303240741</v>
      </c>
      <c r="D1202" t="s">
        <v>385</v>
      </c>
      <c r="E1202" s="4">
        <v>0.65700000000000003</v>
      </c>
      <c r="F1202" s="4">
        <v>522948.65500000003</v>
      </c>
      <c r="G1202" s="4">
        <v>522949.31199999998</v>
      </c>
      <c r="H1202" s="5">
        <f>19 / 86400</f>
        <v>2.199074074074074E-4</v>
      </c>
      <c r="I1202" t="s">
        <v>207</v>
      </c>
      <c r="J1202" t="s">
        <v>29</v>
      </c>
      <c r="K1202" s="5">
        <f>154 / 86400</f>
        <v>1.7824074074074075E-3</v>
      </c>
      <c r="L1202" s="5">
        <f>1789 / 86400</f>
        <v>2.0706018518518519E-2</v>
      </c>
    </row>
    <row r="1203" spans="1:12" x14ac:dyDescent="0.25">
      <c r="A1203" s="3">
        <v>45701.523009259261</v>
      </c>
      <c r="B1203" t="s">
        <v>385</v>
      </c>
      <c r="C1203" s="3">
        <v>45701.788437499999</v>
      </c>
      <c r="D1203" t="s">
        <v>158</v>
      </c>
      <c r="E1203" s="4">
        <v>101.012</v>
      </c>
      <c r="F1203" s="4">
        <v>522949.31199999998</v>
      </c>
      <c r="G1203" s="4">
        <v>523050.32400000002</v>
      </c>
      <c r="H1203" s="5">
        <f>8697 / 86400</f>
        <v>0.10065972222222222</v>
      </c>
      <c r="I1203" t="s">
        <v>105</v>
      </c>
      <c r="J1203" t="s">
        <v>51</v>
      </c>
      <c r="K1203" s="5">
        <f>22932 / 86400</f>
        <v>0.26541666666666669</v>
      </c>
      <c r="L1203" s="5">
        <f>766 / 86400</f>
        <v>8.86574074074074E-3</v>
      </c>
    </row>
    <row r="1204" spans="1:12" x14ac:dyDescent="0.25">
      <c r="A1204" s="3">
        <v>45701.797303240739</v>
      </c>
      <c r="B1204" t="s">
        <v>158</v>
      </c>
      <c r="C1204" s="3">
        <v>45701.799641203703</v>
      </c>
      <c r="D1204" t="s">
        <v>89</v>
      </c>
      <c r="E1204" s="4">
        <v>0.20200000000000001</v>
      </c>
      <c r="F1204" s="4">
        <v>523050.32400000002</v>
      </c>
      <c r="G1204" s="4">
        <v>523050.52600000001</v>
      </c>
      <c r="H1204" s="5">
        <f>59 / 86400</f>
        <v>6.8287037037037036E-4</v>
      </c>
      <c r="I1204" t="s">
        <v>128</v>
      </c>
      <c r="J1204" t="s">
        <v>177</v>
      </c>
      <c r="K1204" s="5">
        <f>202 / 86400</f>
        <v>2.3379629629629631E-3</v>
      </c>
      <c r="L1204" s="5">
        <f>17310 / 86400</f>
        <v>0.20034722222222223</v>
      </c>
    </row>
    <row r="1205" spans="1:12" x14ac:dyDescent="0.25">
      <c r="A1205" s="11"/>
      <c r="B1205" s="11"/>
      <c r="C1205" s="11"/>
      <c r="D1205" s="11"/>
      <c r="E1205" s="11"/>
      <c r="F1205" s="11"/>
      <c r="G1205" s="11"/>
      <c r="H1205" s="11"/>
      <c r="I1205" s="11"/>
      <c r="J1205" s="11"/>
    </row>
    <row r="1206" spans="1:12" x14ac:dyDescent="0.25">
      <c r="A1206" s="11"/>
      <c r="B1206" s="11"/>
      <c r="C1206" s="11"/>
      <c r="D1206" s="11"/>
      <c r="E1206" s="11"/>
      <c r="F1206" s="11"/>
      <c r="G1206" s="11"/>
      <c r="H1206" s="11"/>
      <c r="I1206" s="11"/>
      <c r="J1206" s="11"/>
    </row>
    <row r="1207" spans="1:12" s="10" customFormat="1" ht="20.100000000000001" customHeight="1" x14ac:dyDescent="0.35">
      <c r="A1207" s="12" t="s">
        <v>477</v>
      </c>
      <c r="B1207" s="12"/>
      <c r="C1207" s="12"/>
      <c r="D1207" s="12"/>
      <c r="E1207" s="12"/>
      <c r="F1207" s="12"/>
      <c r="G1207" s="12"/>
      <c r="H1207" s="12"/>
      <c r="I1207" s="12"/>
      <c r="J1207" s="12"/>
    </row>
    <row r="1208" spans="1:12" x14ac:dyDescent="0.25">
      <c r="A1208" s="11"/>
      <c r="B1208" s="11"/>
      <c r="C1208" s="11"/>
      <c r="D1208" s="11"/>
      <c r="E1208" s="11"/>
      <c r="F1208" s="11"/>
      <c r="G1208" s="11"/>
      <c r="H1208" s="11"/>
      <c r="I1208" s="11"/>
      <c r="J1208" s="11"/>
    </row>
    <row r="1209" spans="1:12" ht="30" x14ac:dyDescent="0.25">
      <c r="A1209" s="2" t="s">
        <v>5</v>
      </c>
      <c r="B1209" s="2" t="s">
        <v>6</v>
      </c>
      <c r="C1209" s="2" t="s">
        <v>7</v>
      </c>
      <c r="D1209" s="2" t="s">
        <v>8</v>
      </c>
      <c r="E1209" s="2" t="s">
        <v>9</v>
      </c>
      <c r="F1209" s="2" t="s">
        <v>10</v>
      </c>
      <c r="G1209" s="2" t="s">
        <v>11</v>
      </c>
      <c r="H1209" s="2" t="s">
        <v>12</v>
      </c>
      <c r="I1209" s="2" t="s">
        <v>13</v>
      </c>
      <c r="J1209" s="2" t="s">
        <v>14</v>
      </c>
      <c r="K1209" s="2" t="s">
        <v>15</v>
      </c>
      <c r="L1209" s="2" t="s">
        <v>16</v>
      </c>
    </row>
    <row r="1210" spans="1:12" x14ac:dyDescent="0.25">
      <c r="A1210" s="3">
        <v>45701.151944444442</v>
      </c>
      <c r="B1210" t="s">
        <v>106</v>
      </c>
      <c r="C1210" s="3">
        <v>45701.153958333336</v>
      </c>
      <c r="D1210" t="s">
        <v>106</v>
      </c>
      <c r="E1210" s="4">
        <v>0.125</v>
      </c>
      <c r="F1210" s="4">
        <v>22826.422999999999</v>
      </c>
      <c r="G1210" s="4">
        <v>22826.547999999999</v>
      </c>
      <c r="H1210" s="5">
        <f>99 / 86400</f>
        <v>1.1458333333333333E-3</v>
      </c>
      <c r="I1210" t="s">
        <v>140</v>
      </c>
      <c r="J1210" t="s">
        <v>124</v>
      </c>
      <c r="K1210" s="5">
        <f>173 / 86400</f>
        <v>2.0023148148148148E-3</v>
      </c>
      <c r="L1210" s="5">
        <f>13372 / 86400</f>
        <v>0.15476851851851853</v>
      </c>
    </row>
    <row r="1211" spans="1:12" x14ac:dyDescent="0.25">
      <c r="A1211" s="3">
        <v>45701.156782407408</v>
      </c>
      <c r="B1211" t="s">
        <v>106</v>
      </c>
      <c r="C1211" s="3">
        <v>45701.362696759257</v>
      </c>
      <c r="D1211" t="s">
        <v>416</v>
      </c>
      <c r="E1211" s="4">
        <v>107.697</v>
      </c>
      <c r="F1211" s="4">
        <v>22826.547999999999</v>
      </c>
      <c r="G1211" s="4">
        <v>22934.244999999999</v>
      </c>
      <c r="H1211" s="5">
        <f>4197 / 86400</f>
        <v>4.8576388888888891E-2</v>
      </c>
      <c r="I1211" t="s">
        <v>31</v>
      </c>
      <c r="J1211" t="s">
        <v>132</v>
      </c>
      <c r="K1211" s="5">
        <f>17790 / 86400</f>
        <v>0.20590277777777777</v>
      </c>
      <c r="L1211" s="5">
        <f>2678 / 86400</f>
        <v>3.0995370370370371E-2</v>
      </c>
    </row>
    <row r="1212" spans="1:12" x14ac:dyDescent="0.25">
      <c r="A1212" s="3">
        <v>45701.393692129626</v>
      </c>
      <c r="B1212" t="s">
        <v>416</v>
      </c>
      <c r="C1212" s="3">
        <v>45701.394375000003</v>
      </c>
      <c r="D1212" t="s">
        <v>416</v>
      </c>
      <c r="E1212" s="4">
        <v>4.8000000000000001E-2</v>
      </c>
      <c r="F1212" s="4">
        <v>22934.244999999999</v>
      </c>
      <c r="G1212" s="4">
        <v>22934.293000000001</v>
      </c>
      <c r="H1212" s="5">
        <f>0 / 86400</f>
        <v>0</v>
      </c>
      <c r="I1212" t="s">
        <v>161</v>
      </c>
      <c r="J1212" t="s">
        <v>124</v>
      </c>
      <c r="K1212" s="5">
        <f>58 / 86400</f>
        <v>6.7129629629629625E-4</v>
      </c>
      <c r="L1212" s="5">
        <f>491 / 86400</f>
        <v>5.6828703703703702E-3</v>
      </c>
    </row>
    <row r="1213" spans="1:12" x14ac:dyDescent="0.25">
      <c r="A1213" s="3">
        <v>45701.400057870371</v>
      </c>
      <c r="B1213" t="s">
        <v>416</v>
      </c>
      <c r="C1213" s="3">
        <v>45701.626377314809</v>
      </c>
      <c r="D1213" t="s">
        <v>158</v>
      </c>
      <c r="E1213" s="4">
        <v>104.03100000000001</v>
      </c>
      <c r="F1213" s="4">
        <v>22934.293000000001</v>
      </c>
      <c r="G1213" s="4">
        <v>23038.324000000001</v>
      </c>
      <c r="H1213" s="5">
        <f>5239 / 86400</f>
        <v>6.0636574074074072E-2</v>
      </c>
      <c r="I1213" t="s">
        <v>107</v>
      </c>
      <c r="J1213" t="s">
        <v>23</v>
      </c>
      <c r="K1213" s="5">
        <f>19554 / 86400</f>
        <v>0.22631944444444443</v>
      </c>
      <c r="L1213" s="5">
        <f>606 / 86400</f>
        <v>7.013888888888889E-3</v>
      </c>
    </row>
    <row r="1214" spans="1:12" x14ac:dyDescent="0.25">
      <c r="A1214" s="3">
        <v>45701.633391203708</v>
      </c>
      <c r="B1214" t="s">
        <v>158</v>
      </c>
      <c r="C1214" s="3">
        <v>45701.634317129632</v>
      </c>
      <c r="D1214" t="s">
        <v>158</v>
      </c>
      <c r="E1214" s="4">
        <v>0.111</v>
      </c>
      <c r="F1214" s="4">
        <v>23038.324000000001</v>
      </c>
      <c r="G1214" s="4">
        <v>23038.435000000001</v>
      </c>
      <c r="H1214" s="5">
        <f>0 / 86400</f>
        <v>0</v>
      </c>
      <c r="I1214" t="s">
        <v>161</v>
      </c>
      <c r="J1214" t="s">
        <v>37</v>
      </c>
      <c r="K1214" s="5">
        <f>80 / 86400</f>
        <v>9.2592592592592596E-4</v>
      </c>
      <c r="L1214" s="5">
        <f>3224 / 86400</f>
        <v>3.7314814814814815E-2</v>
      </c>
    </row>
    <row r="1215" spans="1:12" x14ac:dyDescent="0.25">
      <c r="A1215" s="3">
        <v>45701.671631944446</v>
      </c>
      <c r="B1215" t="s">
        <v>104</v>
      </c>
      <c r="C1215" s="3">
        <v>45701.677476851852</v>
      </c>
      <c r="D1215" t="s">
        <v>18</v>
      </c>
      <c r="E1215" s="4">
        <v>0.97599999999999998</v>
      </c>
      <c r="F1215" s="4">
        <v>23038.435000000001</v>
      </c>
      <c r="G1215" s="4">
        <v>23039.411</v>
      </c>
      <c r="H1215" s="5">
        <f>199 / 86400</f>
        <v>2.3032407407407407E-3</v>
      </c>
      <c r="I1215" t="s">
        <v>138</v>
      </c>
      <c r="J1215" t="s">
        <v>161</v>
      </c>
      <c r="K1215" s="5">
        <f>505 / 86400</f>
        <v>5.8449074074074072E-3</v>
      </c>
      <c r="L1215" s="5">
        <f>10918 / 86400</f>
        <v>0.12636574074074075</v>
      </c>
    </row>
    <row r="1216" spans="1:12" x14ac:dyDescent="0.25">
      <c r="A1216" s="3">
        <v>45701.803842592592</v>
      </c>
      <c r="B1216" t="s">
        <v>18</v>
      </c>
      <c r="C1216" s="3">
        <v>45701.807175925926</v>
      </c>
      <c r="D1216" t="s">
        <v>106</v>
      </c>
      <c r="E1216" s="4">
        <v>0.45800000000000002</v>
      </c>
      <c r="F1216" s="4">
        <v>23039.411</v>
      </c>
      <c r="G1216" s="4">
        <v>23039.868999999999</v>
      </c>
      <c r="H1216" s="5">
        <f>40 / 86400</f>
        <v>4.6296296296296298E-4</v>
      </c>
      <c r="I1216" t="s">
        <v>51</v>
      </c>
      <c r="J1216" t="s">
        <v>156</v>
      </c>
      <c r="K1216" s="5">
        <f>287 / 86400</f>
        <v>3.3217592592592591E-3</v>
      </c>
      <c r="L1216" s="5">
        <f>16659 / 86400</f>
        <v>0.1928125</v>
      </c>
    </row>
    <row r="1217" spans="1:12" x14ac:dyDescent="0.25">
      <c r="A1217" s="11"/>
      <c r="B1217" s="11"/>
      <c r="C1217" s="11"/>
      <c r="D1217" s="11"/>
      <c r="E1217" s="11"/>
      <c r="F1217" s="11"/>
      <c r="G1217" s="11"/>
      <c r="H1217" s="11"/>
      <c r="I1217" s="11"/>
      <c r="J1217" s="11"/>
    </row>
    <row r="1218" spans="1:12" x14ac:dyDescent="0.25">
      <c r="A1218" s="11"/>
      <c r="B1218" s="11"/>
      <c r="C1218" s="11"/>
      <c r="D1218" s="11"/>
      <c r="E1218" s="11"/>
      <c r="F1218" s="11"/>
      <c r="G1218" s="11"/>
      <c r="H1218" s="11"/>
      <c r="I1218" s="11"/>
      <c r="J1218" s="11"/>
    </row>
    <row r="1219" spans="1:12" s="10" customFormat="1" ht="20.100000000000001" customHeight="1" x14ac:dyDescent="0.35">
      <c r="A1219" s="12" t="s">
        <v>478</v>
      </c>
      <c r="B1219" s="12"/>
      <c r="C1219" s="12"/>
      <c r="D1219" s="12"/>
      <c r="E1219" s="12"/>
      <c r="F1219" s="12"/>
      <c r="G1219" s="12"/>
      <c r="H1219" s="12"/>
      <c r="I1219" s="12"/>
      <c r="J1219" s="12"/>
    </row>
    <row r="1220" spans="1:12" x14ac:dyDescent="0.25">
      <c r="A1220" s="11"/>
      <c r="B1220" s="11"/>
      <c r="C1220" s="11"/>
      <c r="D1220" s="11"/>
      <c r="E1220" s="11"/>
      <c r="F1220" s="11"/>
      <c r="G1220" s="11"/>
      <c r="H1220" s="11"/>
      <c r="I1220" s="11"/>
      <c r="J1220" s="11"/>
    </row>
    <row r="1221" spans="1:12" ht="30" x14ac:dyDescent="0.25">
      <c r="A1221" s="2" t="s">
        <v>5</v>
      </c>
      <c r="B1221" s="2" t="s">
        <v>6</v>
      </c>
      <c r="C1221" s="2" t="s">
        <v>7</v>
      </c>
      <c r="D1221" s="2" t="s">
        <v>8</v>
      </c>
      <c r="E1221" s="2" t="s">
        <v>9</v>
      </c>
      <c r="F1221" s="2" t="s">
        <v>10</v>
      </c>
      <c r="G1221" s="2" t="s">
        <v>11</v>
      </c>
      <c r="H1221" s="2" t="s">
        <v>12</v>
      </c>
      <c r="I1221" s="2" t="s">
        <v>13</v>
      </c>
      <c r="J1221" s="2" t="s">
        <v>14</v>
      </c>
      <c r="K1221" s="2" t="s">
        <v>15</v>
      </c>
      <c r="L1221" s="2" t="s">
        <v>16</v>
      </c>
    </row>
    <row r="1222" spans="1:12" x14ac:dyDescent="0.25">
      <c r="A1222" s="3">
        <v>45701.254618055551</v>
      </c>
      <c r="B1222" t="s">
        <v>35</v>
      </c>
      <c r="C1222" s="3">
        <v>45701.474143518513</v>
      </c>
      <c r="D1222" t="s">
        <v>158</v>
      </c>
      <c r="E1222" s="4">
        <v>81.126999999999995</v>
      </c>
      <c r="F1222" s="4">
        <v>64005.578999999998</v>
      </c>
      <c r="G1222" s="4">
        <v>64086.705999999998</v>
      </c>
      <c r="H1222" s="5">
        <f>7041 / 86400</f>
        <v>8.1493055555555555E-2</v>
      </c>
      <c r="I1222" t="s">
        <v>42</v>
      </c>
      <c r="J1222" t="s">
        <v>29</v>
      </c>
      <c r="K1222" s="5">
        <f>18967 / 86400</f>
        <v>0.21952546296296296</v>
      </c>
      <c r="L1222" s="5">
        <f>25706 / 86400</f>
        <v>0.29752314814814818</v>
      </c>
    </row>
    <row r="1223" spans="1:12" x14ac:dyDescent="0.25">
      <c r="A1223" s="3">
        <v>45701.517048611116</v>
      </c>
      <c r="B1223" t="s">
        <v>158</v>
      </c>
      <c r="C1223" s="3">
        <v>45701.528969907406</v>
      </c>
      <c r="D1223" t="s">
        <v>158</v>
      </c>
      <c r="E1223" s="4">
        <v>3.72</v>
      </c>
      <c r="F1223" s="4">
        <v>64086.705999999998</v>
      </c>
      <c r="G1223" s="4">
        <v>64090.425999999999</v>
      </c>
      <c r="H1223" s="5">
        <f>179 / 86400</f>
        <v>2.0717592592592593E-3</v>
      </c>
      <c r="I1223" t="s">
        <v>198</v>
      </c>
      <c r="J1223" t="s">
        <v>58</v>
      </c>
      <c r="K1223" s="5">
        <f>1029 / 86400</f>
        <v>1.1909722222222223E-2</v>
      </c>
      <c r="L1223" s="5">
        <f>464 / 86400</f>
        <v>5.37037037037037E-3</v>
      </c>
    </row>
    <row r="1224" spans="1:12" x14ac:dyDescent="0.25">
      <c r="A1224" s="3">
        <v>45701.53434027778</v>
      </c>
      <c r="B1224" t="s">
        <v>158</v>
      </c>
      <c r="C1224" s="3">
        <v>45701.534490740742</v>
      </c>
      <c r="D1224" t="s">
        <v>158</v>
      </c>
      <c r="E1224" s="4">
        <v>0</v>
      </c>
      <c r="F1224" s="4">
        <v>64090.425999999999</v>
      </c>
      <c r="G1224" s="4">
        <v>64090.425999999999</v>
      </c>
      <c r="H1224" s="5">
        <f>0 / 86400</f>
        <v>0</v>
      </c>
      <c r="I1224" t="s">
        <v>91</v>
      </c>
      <c r="J1224" t="s">
        <v>91</v>
      </c>
      <c r="K1224" s="5">
        <f>13 / 86400</f>
        <v>1.5046296296296297E-4</v>
      </c>
      <c r="L1224" s="5">
        <f>812 / 86400</f>
        <v>9.3981481481481485E-3</v>
      </c>
    </row>
    <row r="1225" spans="1:12" x14ac:dyDescent="0.25">
      <c r="A1225" s="3">
        <v>45701.543888888889</v>
      </c>
      <c r="B1225" t="s">
        <v>158</v>
      </c>
      <c r="C1225" s="3">
        <v>45701.545162037037</v>
      </c>
      <c r="D1225" t="s">
        <v>158</v>
      </c>
      <c r="E1225" s="4">
        <v>0.03</v>
      </c>
      <c r="F1225" s="4">
        <v>64090.425999999999</v>
      </c>
      <c r="G1225" s="4">
        <v>64090.455999999998</v>
      </c>
      <c r="H1225" s="5">
        <f>59 / 86400</f>
        <v>6.8287037037037036E-4</v>
      </c>
      <c r="I1225" t="s">
        <v>156</v>
      </c>
      <c r="J1225" t="s">
        <v>125</v>
      </c>
      <c r="K1225" s="5">
        <f>110 / 86400</f>
        <v>1.2731481481481483E-3</v>
      </c>
      <c r="L1225" s="5">
        <f>1940 / 86400</f>
        <v>2.2453703703703705E-2</v>
      </c>
    </row>
    <row r="1226" spans="1:12" x14ac:dyDescent="0.25">
      <c r="A1226" s="3">
        <v>45701.567615740743</v>
      </c>
      <c r="B1226" t="s">
        <v>158</v>
      </c>
      <c r="C1226" s="3">
        <v>45701.568923611107</v>
      </c>
      <c r="D1226" t="s">
        <v>158</v>
      </c>
      <c r="E1226" s="4">
        <v>3.3000000000000002E-2</v>
      </c>
      <c r="F1226" s="4">
        <v>64090.455999999998</v>
      </c>
      <c r="G1226" s="4">
        <v>64090.489000000001</v>
      </c>
      <c r="H1226" s="5">
        <f>39 / 86400</f>
        <v>4.5138888888888887E-4</v>
      </c>
      <c r="I1226" t="s">
        <v>156</v>
      </c>
      <c r="J1226" t="s">
        <v>125</v>
      </c>
      <c r="K1226" s="5">
        <f>112 / 86400</f>
        <v>1.2962962962962963E-3</v>
      </c>
      <c r="L1226" s="5">
        <f>250 / 86400</f>
        <v>2.8935185185185184E-3</v>
      </c>
    </row>
    <row r="1227" spans="1:12" x14ac:dyDescent="0.25">
      <c r="A1227" s="3">
        <v>45701.571817129632</v>
      </c>
      <c r="B1227" t="s">
        <v>158</v>
      </c>
      <c r="C1227" s="3">
        <v>45701.646516203706</v>
      </c>
      <c r="D1227" t="s">
        <v>214</v>
      </c>
      <c r="E1227" s="4">
        <v>34.255000000000003</v>
      </c>
      <c r="F1227" s="4">
        <v>64090.489000000001</v>
      </c>
      <c r="G1227" s="4">
        <v>64124.743999999999</v>
      </c>
      <c r="H1227" s="5">
        <f>1961 / 86400</f>
        <v>2.269675925925926E-2</v>
      </c>
      <c r="I1227" t="s">
        <v>75</v>
      </c>
      <c r="J1227" t="s">
        <v>23</v>
      </c>
      <c r="K1227" s="5">
        <f>6453 / 86400</f>
        <v>7.4687500000000004E-2</v>
      </c>
      <c r="L1227" s="5">
        <f>63 / 86400</f>
        <v>7.291666666666667E-4</v>
      </c>
    </row>
    <row r="1228" spans="1:12" x14ac:dyDescent="0.25">
      <c r="A1228" s="3">
        <v>45701.647245370375</v>
      </c>
      <c r="B1228" t="s">
        <v>214</v>
      </c>
      <c r="C1228" s="3">
        <v>45701.743935185186</v>
      </c>
      <c r="D1228" t="s">
        <v>35</v>
      </c>
      <c r="E1228" s="4">
        <v>44.575000000000003</v>
      </c>
      <c r="F1228" s="4">
        <v>64124.743999999999</v>
      </c>
      <c r="G1228" s="4">
        <v>64169.319000000003</v>
      </c>
      <c r="H1228" s="5">
        <f>2100 / 86400</f>
        <v>2.4305555555555556E-2</v>
      </c>
      <c r="I1228" t="s">
        <v>60</v>
      </c>
      <c r="J1228" t="s">
        <v>23</v>
      </c>
      <c r="K1228" s="5">
        <f>8354 / 86400</f>
        <v>9.6689814814814812E-2</v>
      </c>
      <c r="L1228" s="5">
        <f>356 / 86400</f>
        <v>4.1203703703703706E-3</v>
      </c>
    </row>
    <row r="1229" spans="1:12" x14ac:dyDescent="0.25">
      <c r="A1229" s="3">
        <v>45701.748055555552</v>
      </c>
      <c r="B1229" t="s">
        <v>35</v>
      </c>
      <c r="C1229" s="3">
        <v>45701.751805555556</v>
      </c>
      <c r="D1229" t="s">
        <v>35</v>
      </c>
      <c r="E1229" s="4">
        <v>1.387</v>
      </c>
      <c r="F1229" s="4">
        <v>64169.319000000003</v>
      </c>
      <c r="G1229" s="4">
        <v>64170.705999999998</v>
      </c>
      <c r="H1229" s="5">
        <f>120 / 86400</f>
        <v>1.3888888888888889E-3</v>
      </c>
      <c r="I1229" t="s">
        <v>143</v>
      </c>
      <c r="J1229" t="s">
        <v>29</v>
      </c>
      <c r="K1229" s="5">
        <f>324 / 86400</f>
        <v>3.7499999999999999E-3</v>
      </c>
      <c r="L1229" s="5">
        <f>21443 / 86400</f>
        <v>0.24818287037037037</v>
      </c>
    </row>
    <row r="1230" spans="1:12" x14ac:dyDescent="0.25">
      <c r="A1230" s="11"/>
      <c r="B1230" s="11"/>
      <c r="C1230" s="11"/>
      <c r="D1230" s="11"/>
      <c r="E1230" s="11"/>
      <c r="F1230" s="11"/>
      <c r="G1230" s="11"/>
      <c r="H1230" s="11"/>
      <c r="I1230" s="11"/>
      <c r="J1230" s="11"/>
    </row>
    <row r="1231" spans="1:12" x14ac:dyDescent="0.25">
      <c r="A1231" s="11"/>
      <c r="B1231" s="11"/>
      <c r="C1231" s="11"/>
      <c r="D1231" s="11"/>
      <c r="E1231" s="11"/>
      <c r="F1231" s="11"/>
      <c r="G1231" s="11"/>
      <c r="H1231" s="11"/>
      <c r="I1231" s="11"/>
      <c r="J1231" s="11"/>
    </row>
    <row r="1232" spans="1:12" s="10" customFormat="1" ht="20.100000000000001" customHeight="1" x14ac:dyDescent="0.35">
      <c r="A1232" s="12" t="s">
        <v>479</v>
      </c>
      <c r="B1232" s="12"/>
      <c r="C1232" s="12"/>
      <c r="D1232" s="12"/>
      <c r="E1232" s="12"/>
      <c r="F1232" s="12"/>
      <c r="G1232" s="12"/>
      <c r="H1232" s="12"/>
      <c r="I1232" s="12"/>
      <c r="J1232" s="12"/>
    </row>
    <row r="1233" spans="1:12" x14ac:dyDescent="0.25">
      <c r="A1233" s="11"/>
      <c r="B1233" s="11"/>
      <c r="C1233" s="11"/>
      <c r="D1233" s="11"/>
      <c r="E1233" s="11"/>
      <c r="F1233" s="11"/>
      <c r="G1233" s="11"/>
      <c r="H1233" s="11"/>
      <c r="I1233" s="11"/>
      <c r="J1233" s="11"/>
    </row>
    <row r="1234" spans="1:12" ht="30" x14ac:dyDescent="0.25">
      <c r="A1234" s="2" t="s">
        <v>5</v>
      </c>
      <c r="B1234" s="2" t="s">
        <v>6</v>
      </c>
      <c r="C1234" s="2" t="s">
        <v>7</v>
      </c>
      <c r="D1234" s="2" t="s">
        <v>8</v>
      </c>
      <c r="E1234" s="2" t="s">
        <v>9</v>
      </c>
      <c r="F1234" s="2" t="s">
        <v>10</v>
      </c>
      <c r="G1234" s="2" t="s">
        <v>11</v>
      </c>
      <c r="H1234" s="2" t="s">
        <v>12</v>
      </c>
      <c r="I1234" s="2" t="s">
        <v>13</v>
      </c>
      <c r="J1234" s="2" t="s">
        <v>14</v>
      </c>
      <c r="K1234" s="2" t="s">
        <v>15</v>
      </c>
      <c r="L1234" s="2" t="s">
        <v>16</v>
      </c>
    </row>
    <row r="1235" spans="1:12" x14ac:dyDescent="0.25">
      <c r="A1235" s="3">
        <v>45701.271990740745</v>
      </c>
      <c r="B1235" t="s">
        <v>108</v>
      </c>
      <c r="C1235" s="3">
        <v>45701.273321759261</v>
      </c>
      <c r="D1235" t="s">
        <v>108</v>
      </c>
      <c r="E1235" s="4">
        <v>0</v>
      </c>
      <c r="F1235" s="4">
        <v>5444.4930000000004</v>
      </c>
      <c r="G1235" s="4">
        <v>5444.4930000000004</v>
      </c>
      <c r="H1235" s="5">
        <f>99 / 86400</f>
        <v>1.1458333333333333E-3</v>
      </c>
      <c r="I1235" t="s">
        <v>91</v>
      </c>
      <c r="J1235" t="s">
        <v>91</v>
      </c>
      <c r="K1235" s="5">
        <f>114 / 86400</f>
        <v>1.3194444444444445E-3</v>
      </c>
      <c r="L1235" s="5">
        <f>23658 / 86400</f>
        <v>0.27381944444444445</v>
      </c>
    </row>
    <row r="1236" spans="1:12" x14ac:dyDescent="0.25">
      <c r="A1236" s="3">
        <v>45701.275150462963</v>
      </c>
      <c r="B1236" t="s">
        <v>109</v>
      </c>
      <c r="C1236" s="3">
        <v>45701.275937500002</v>
      </c>
      <c r="D1236" t="s">
        <v>109</v>
      </c>
      <c r="E1236" s="4">
        <v>2.5000000000000001E-2</v>
      </c>
      <c r="F1236" s="4">
        <v>5444.4930000000004</v>
      </c>
      <c r="G1236" s="4">
        <v>5444.518</v>
      </c>
      <c r="H1236" s="5">
        <f>20 / 86400</f>
        <v>2.3148148148148149E-4</v>
      </c>
      <c r="I1236" t="s">
        <v>110</v>
      </c>
      <c r="J1236" t="s">
        <v>125</v>
      </c>
      <c r="K1236" s="5">
        <f>67 / 86400</f>
        <v>7.7546296296296293E-4</v>
      </c>
      <c r="L1236" s="5">
        <f>62558 / 86400</f>
        <v>0.7240509259259259</v>
      </c>
    </row>
    <row r="1237" spans="1:12" x14ac:dyDescent="0.25">
      <c r="A1237" s="11"/>
      <c r="B1237" s="11"/>
      <c r="C1237" s="11"/>
      <c r="D1237" s="11"/>
      <c r="E1237" s="11"/>
      <c r="F1237" s="11"/>
      <c r="G1237" s="11"/>
      <c r="H1237" s="11"/>
      <c r="I1237" s="11"/>
      <c r="J1237" s="11"/>
    </row>
    <row r="1238" spans="1:12" x14ac:dyDescent="0.25">
      <c r="A1238" s="11"/>
      <c r="B1238" s="11"/>
      <c r="C1238" s="11"/>
      <c r="D1238" s="11"/>
      <c r="E1238" s="11"/>
      <c r="F1238" s="11"/>
      <c r="G1238" s="11"/>
      <c r="H1238" s="11"/>
      <c r="I1238" s="11"/>
      <c r="J1238" s="11"/>
    </row>
    <row r="1239" spans="1:12" s="10" customFormat="1" ht="20.100000000000001" customHeight="1" x14ac:dyDescent="0.35">
      <c r="A1239" s="12" t="s">
        <v>480</v>
      </c>
      <c r="B1239" s="12"/>
      <c r="C1239" s="12"/>
      <c r="D1239" s="12"/>
      <c r="E1239" s="12"/>
      <c r="F1239" s="12"/>
      <c r="G1239" s="12"/>
      <c r="H1239" s="12"/>
      <c r="I1239" s="12"/>
      <c r="J1239" s="12"/>
    </row>
    <row r="1240" spans="1:12" x14ac:dyDescent="0.25">
      <c r="A1240" s="11"/>
      <c r="B1240" s="11"/>
      <c r="C1240" s="11"/>
      <c r="D1240" s="11"/>
      <c r="E1240" s="11"/>
      <c r="F1240" s="11"/>
      <c r="G1240" s="11"/>
      <c r="H1240" s="11"/>
      <c r="I1240" s="11"/>
      <c r="J1240" s="11"/>
    </row>
    <row r="1241" spans="1:12" ht="30" x14ac:dyDescent="0.25">
      <c r="A1241" s="2" t="s">
        <v>5</v>
      </c>
      <c r="B1241" s="2" t="s">
        <v>6</v>
      </c>
      <c r="C1241" s="2" t="s">
        <v>7</v>
      </c>
      <c r="D1241" s="2" t="s">
        <v>8</v>
      </c>
      <c r="E1241" s="2" t="s">
        <v>9</v>
      </c>
      <c r="F1241" s="2" t="s">
        <v>10</v>
      </c>
      <c r="G1241" s="2" t="s">
        <v>11</v>
      </c>
      <c r="H1241" s="2" t="s">
        <v>12</v>
      </c>
      <c r="I1241" s="2" t="s">
        <v>13</v>
      </c>
      <c r="J1241" s="2" t="s">
        <v>14</v>
      </c>
      <c r="K1241" s="2" t="s">
        <v>15</v>
      </c>
      <c r="L1241" s="2" t="s">
        <v>16</v>
      </c>
    </row>
    <row r="1242" spans="1:12" x14ac:dyDescent="0.25">
      <c r="A1242" s="3">
        <v>45701</v>
      </c>
      <c r="B1242" t="s">
        <v>111</v>
      </c>
      <c r="C1242" s="3">
        <v>45701.068506944444</v>
      </c>
      <c r="D1242" t="s">
        <v>417</v>
      </c>
      <c r="E1242" s="4">
        <v>30.907</v>
      </c>
      <c r="F1242" s="4">
        <v>407943.33100000001</v>
      </c>
      <c r="G1242" s="4">
        <v>407974.23800000001</v>
      </c>
      <c r="H1242" s="5">
        <f>2360 / 86400</f>
        <v>2.7314814814814816E-2</v>
      </c>
      <c r="I1242" t="s">
        <v>391</v>
      </c>
      <c r="J1242" t="s">
        <v>23</v>
      </c>
      <c r="K1242" s="5">
        <f>5919 / 86400</f>
        <v>6.850694444444444E-2</v>
      </c>
      <c r="L1242" s="5">
        <f>3794 / 86400</f>
        <v>4.3912037037037034E-2</v>
      </c>
    </row>
    <row r="1243" spans="1:12" x14ac:dyDescent="0.25">
      <c r="A1243" s="3">
        <v>45701.11241898148</v>
      </c>
      <c r="B1243" t="s">
        <v>417</v>
      </c>
      <c r="C1243" s="3">
        <v>45701.113541666666</v>
      </c>
      <c r="D1243" t="s">
        <v>417</v>
      </c>
      <c r="E1243" s="4">
        <v>0.376</v>
      </c>
      <c r="F1243" s="4">
        <v>407974.23800000001</v>
      </c>
      <c r="G1243" s="4">
        <v>407974.614</v>
      </c>
      <c r="H1243" s="5">
        <f>19 / 86400</f>
        <v>2.199074074074074E-4</v>
      </c>
      <c r="I1243" t="s">
        <v>152</v>
      </c>
      <c r="J1243" t="s">
        <v>43</v>
      </c>
      <c r="K1243" s="5">
        <f>97 / 86400</f>
        <v>1.1226851851851851E-3</v>
      </c>
      <c r="L1243" s="5">
        <f>11112 / 86400</f>
        <v>0.12861111111111112</v>
      </c>
    </row>
    <row r="1244" spans="1:12" x14ac:dyDescent="0.25">
      <c r="A1244" s="3">
        <v>45701.242152777777</v>
      </c>
      <c r="B1244" t="s">
        <v>417</v>
      </c>
      <c r="C1244" s="3">
        <v>45701.242268518516</v>
      </c>
      <c r="D1244" t="s">
        <v>417</v>
      </c>
      <c r="E1244" s="4">
        <v>0</v>
      </c>
      <c r="F1244" s="4">
        <v>407974.614</v>
      </c>
      <c r="G1244" s="4">
        <v>407974.614</v>
      </c>
      <c r="H1244" s="5">
        <f>0 / 86400</f>
        <v>0</v>
      </c>
      <c r="I1244" t="s">
        <v>91</v>
      </c>
      <c r="J1244" t="s">
        <v>91</v>
      </c>
      <c r="K1244" s="5">
        <f>9 / 86400</f>
        <v>1.0416666666666667E-4</v>
      </c>
      <c r="L1244" s="5">
        <f>4 / 86400</f>
        <v>4.6296296296296294E-5</v>
      </c>
    </row>
    <row r="1245" spans="1:12" x14ac:dyDescent="0.25">
      <c r="A1245" s="3">
        <v>45701.242314814815</v>
      </c>
      <c r="B1245" t="s">
        <v>417</v>
      </c>
      <c r="C1245" s="3">
        <v>45701.24282407407</v>
      </c>
      <c r="D1245" t="s">
        <v>417</v>
      </c>
      <c r="E1245" s="4">
        <v>5.6000000000000001E-2</v>
      </c>
      <c r="F1245" s="4">
        <v>407974.614</v>
      </c>
      <c r="G1245" s="4">
        <v>407974.67</v>
      </c>
      <c r="H1245" s="5">
        <f>0 / 86400</f>
        <v>0</v>
      </c>
      <c r="I1245" t="s">
        <v>90</v>
      </c>
      <c r="J1245" t="s">
        <v>37</v>
      </c>
      <c r="K1245" s="5">
        <f>44 / 86400</f>
        <v>5.0925925925925921E-4</v>
      </c>
      <c r="L1245" s="5">
        <f>365 / 86400</f>
        <v>4.2245370370370371E-3</v>
      </c>
    </row>
    <row r="1246" spans="1:12" x14ac:dyDescent="0.25">
      <c r="A1246" s="3">
        <v>45701.247048611112</v>
      </c>
      <c r="B1246" t="s">
        <v>417</v>
      </c>
      <c r="C1246" s="3">
        <v>45701.250543981485</v>
      </c>
      <c r="D1246" t="s">
        <v>187</v>
      </c>
      <c r="E1246" s="4">
        <v>2.0030000000000001</v>
      </c>
      <c r="F1246" s="4">
        <v>407974.67</v>
      </c>
      <c r="G1246" s="4">
        <v>407976.67300000001</v>
      </c>
      <c r="H1246" s="5">
        <f>40 / 86400</f>
        <v>4.6296296296296298E-4</v>
      </c>
      <c r="I1246" t="s">
        <v>182</v>
      </c>
      <c r="J1246" t="s">
        <v>130</v>
      </c>
      <c r="K1246" s="5">
        <f>301 / 86400</f>
        <v>3.4837962962962965E-3</v>
      </c>
      <c r="L1246" s="5">
        <f>55 / 86400</f>
        <v>6.3657407407407413E-4</v>
      </c>
    </row>
    <row r="1247" spans="1:12" x14ac:dyDescent="0.25">
      <c r="A1247" s="3">
        <v>45701.251180555555</v>
      </c>
      <c r="B1247" t="s">
        <v>187</v>
      </c>
      <c r="C1247" s="3">
        <v>45701.251331018517</v>
      </c>
      <c r="D1247" t="s">
        <v>187</v>
      </c>
      <c r="E1247" s="4">
        <v>2E-3</v>
      </c>
      <c r="F1247" s="4">
        <v>407976.67300000001</v>
      </c>
      <c r="G1247" s="4">
        <v>407976.67499999999</v>
      </c>
      <c r="H1247" s="5">
        <f>0 / 86400</f>
        <v>0</v>
      </c>
      <c r="I1247" t="s">
        <v>91</v>
      </c>
      <c r="J1247" t="s">
        <v>125</v>
      </c>
      <c r="K1247" s="5">
        <f>13 / 86400</f>
        <v>1.5046296296296297E-4</v>
      </c>
      <c r="L1247" s="5">
        <f>402 / 86400</f>
        <v>4.6527777777777774E-3</v>
      </c>
    </row>
    <row r="1248" spans="1:12" x14ac:dyDescent="0.25">
      <c r="A1248" s="3">
        <v>45701.255983796298</v>
      </c>
      <c r="B1248" t="s">
        <v>187</v>
      </c>
      <c r="C1248" s="3">
        <v>45701.293796296297</v>
      </c>
      <c r="D1248" t="s">
        <v>366</v>
      </c>
      <c r="E1248" s="4">
        <v>21.259</v>
      </c>
      <c r="F1248" s="4">
        <v>407976.67499999999</v>
      </c>
      <c r="G1248" s="4">
        <v>407997.93400000001</v>
      </c>
      <c r="H1248" s="5">
        <f>859 / 86400</f>
        <v>9.9421296296296289E-3</v>
      </c>
      <c r="I1248" t="s">
        <v>42</v>
      </c>
      <c r="J1248" t="s">
        <v>152</v>
      </c>
      <c r="K1248" s="5">
        <f>3267 / 86400</f>
        <v>3.7812499999999999E-2</v>
      </c>
      <c r="L1248" s="5">
        <f>238 / 86400</f>
        <v>2.7546296296296294E-3</v>
      </c>
    </row>
    <row r="1249" spans="1:12" x14ac:dyDescent="0.25">
      <c r="A1249" s="3">
        <v>45701.296550925923</v>
      </c>
      <c r="B1249" t="s">
        <v>366</v>
      </c>
      <c r="C1249" s="3">
        <v>45701.332465277781</v>
      </c>
      <c r="D1249" t="s">
        <v>199</v>
      </c>
      <c r="E1249" s="4">
        <v>16.350000000000001</v>
      </c>
      <c r="F1249" s="4">
        <v>407997.93400000001</v>
      </c>
      <c r="G1249" s="4">
        <v>408014.28399999999</v>
      </c>
      <c r="H1249" s="5">
        <f>763 / 86400</f>
        <v>8.8310185185185193E-3</v>
      </c>
      <c r="I1249" t="s">
        <v>45</v>
      </c>
      <c r="J1249" t="s">
        <v>23</v>
      </c>
      <c r="K1249" s="5">
        <f>3102 / 86400</f>
        <v>3.5902777777777777E-2</v>
      </c>
      <c r="L1249" s="5">
        <f>195 / 86400</f>
        <v>2.2569444444444442E-3</v>
      </c>
    </row>
    <row r="1250" spans="1:12" x14ac:dyDescent="0.25">
      <c r="A1250" s="3">
        <v>45701.334722222222</v>
      </c>
      <c r="B1250" t="s">
        <v>199</v>
      </c>
      <c r="C1250" s="3">
        <v>45701.335381944446</v>
      </c>
      <c r="D1250" t="s">
        <v>80</v>
      </c>
      <c r="E1250" s="4">
        <v>0.378</v>
      </c>
      <c r="F1250" s="4">
        <v>408014.28399999999</v>
      </c>
      <c r="G1250" s="4">
        <v>408014.66200000001</v>
      </c>
      <c r="H1250" s="5">
        <f>0 / 86400</f>
        <v>0</v>
      </c>
      <c r="I1250" t="s">
        <v>253</v>
      </c>
      <c r="J1250" t="s">
        <v>130</v>
      </c>
      <c r="K1250" s="5">
        <f>56 / 86400</f>
        <v>6.4814814814814813E-4</v>
      </c>
      <c r="L1250" s="5">
        <f>531 / 86400</f>
        <v>6.145833333333333E-3</v>
      </c>
    </row>
    <row r="1251" spans="1:12" x14ac:dyDescent="0.25">
      <c r="A1251" s="3">
        <v>45701.341527777782</v>
      </c>
      <c r="B1251" t="s">
        <v>80</v>
      </c>
      <c r="C1251" s="3">
        <v>45701.341736111106</v>
      </c>
      <c r="D1251" t="s">
        <v>80</v>
      </c>
      <c r="E1251" s="4">
        <v>2.1000000000000001E-2</v>
      </c>
      <c r="F1251" s="4">
        <v>408014.66200000001</v>
      </c>
      <c r="G1251" s="4">
        <v>408014.68300000002</v>
      </c>
      <c r="H1251" s="5">
        <f>0 / 86400</f>
        <v>0</v>
      </c>
      <c r="I1251" t="s">
        <v>90</v>
      </c>
      <c r="J1251" t="s">
        <v>177</v>
      </c>
      <c r="K1251" s="5">
        <f>18 / 86400</f>
        <v>2.0833333333333335E-4</v>
      </c>
      <c r="L1251" s="5">
        <f>1381 / 86400</f>
        <v>1.5983796296296298E-2</v>
      </c>
    </row>
    <row r="1252" spans="1:12" x14ac:dyDescent="0.25">
      <c r="A1252" s="3">
        <v>45701.357719907406</v>
      </c>
      <c r="B1252" t="s">
        <v>80</v>
      </c>
      <c r="C1252" s="3">
        <v>45701.362442129626</v>
      </c>
      <c r="D1252" t="s">
        <v>27</v>
      </c>
      <c r="E1252" s="4">
        <v>2.302</v>
      </c>
      <c r="F1252" s="4">
        <v>408014.68300000002</v>
      </c>
      <c r="G1252" s="4">
        <v>408016.98499999999</v>
      </c>
      <c r="H1252" s="5">
        <f>80 / 86400</f>
        <v>9.2592592592592596E-4</v>
      </c>
      <c r="I1252" t="s">
        <v>182</v>
      </c>
      <c r="J1252" t="s">
        <v>34</v>
      </c>
      <c r="K1252" s="5">
        <f>407 / 86400</f>
        <v>4.7106481481481478E-3</v>
      </c>
      <c r="L1252" s="5">
        <f>18732 / 86400</f>
        <v>0.21680555555555556</v>
      </c>
    </row>
    <row r="1253" spans="1:12" x14ac:dyDescent="0.25">
      <c r="A1253" s="3">
        <v>45701.579247685186</v>
      </c>
      <c r="B1253" t="s">
        <v>27</v>
      </c>
      <c r="C1253" s="3">
        <v>45701.581064814818</v>
      </c>
      <c r="D1253" t="s">
        <v>27</v>
      </c>
      <c r="E1253" s="4">
        <v>6.3E-2</v>
      </c>
      <c r="F1253" s="4">
        <v>408016.98499999999</v>
      </c>
      <c r="G1253" s="4">
        <v>408017.04800000001</v>
      </c>
      <c r="H1253" s="5">
        <f>99 / 86400</f>
        <v>1.1458333333333333E-3</v>
      </c>
      <c r="I1253" t="s">
        <v>161</v>
      </c>
      <c r="J1253" t="s">
        <v>125</v>
      </c>
      <c r="K1253" s="5">
        <f>157 / 86400</f>
        <v>1.8171296296296297E-3</v>
      </c>
      <c r="L1253" s="5">
        <f>544 / 86400</f>
        <v>6.2962962962962964E-3</v>
      </c>
    </row>
    <row r="1254" spans="1:12" x14ac:dyDescent="0.25">
      <c r="A1254" s="3">
        <v>45701.587361111116</v>
      </c>
      <c r="B1254" t="s">
        <v>27</v>
      </c>
      <c r="C1254" s="3">
        <v>45701.599351851852</v>
      </c>
      <c r="D1254" t="s">
        <v>27</v>
      </c>
      <c r="E1254" s="4">
        <v>2.5099999999999998</v>
      </c>
      <c r="F1254" s="4">
        <v>408017.04800000001</v>
      </c>
      <c r="G1254" s="4">
        <v>408019.55800000002</v>
      </c>
      <c r="H1254" s="5">
        <f>279 / 86400</f>
        <v>3.2291666666666666E-3</v>
      </c>
      <c r="I1254" t="s">
        <v>135</v>
      </c>
      <c r="J1254" t="s">
        <v>140</v>
      </c>
      <c r="K1254" s="5">
        <f>1036 / 86400</f>
        <v>1.1990740740740741E-2</v>
      </c>
      <c r="L1254" s="5">
        <f>372 / 86400</f>
        <v>4.3055555555555555E-3</v>
      </c>
    </row>
    <row r="1255" spans="1:12" x14ac:dyDescent="0.25">
      <c r="A1255" s="3">
        <v>45701.60365740741</v>
      </c>
      <c r="B1255" t="s">
        <v>27</v>
      </c>
      <c r="C1255" s="3">
        <v>45701.607847222222</v>
      </c>
      <c r="D1255" t="s">
        <v>27</v>
      </c>
      <c r="E1255" s="4">
        <v>0.99</v>
      </c>
      <c r="F1255" s="4">
        <v>408019.55800000002</v>
      </c>
      <c r="G1255" s="4">
        <v>408020.54800000001</v>
      </c>
      <c r="H1255" s="5">
        <f>39 / 86400</f>
        <v>4.5138888888888887E-4</v>
      </c>
      <c r="I1255" t="s">
        <v>130</v>
      </c>
      <c r="J1255" t="s">
        <v>128</v>
      </c>
      <c r="K1255" s="5">
        <f>361 / 86400</f>
        <v>4.178240740740741E-3</v>
      </c>
      <c r="L1255" s="5">
        <f>2216 / 86400</f>
        <v>2.5648148148148149E-2</v>
      </c>
    </row>
    <row r="1256" spans="1:12" x14ac:dyDescent="0.25">
      <c r="A1256" s="3">
        <v>45701.63349537037</v>
      </c>
      <c r="B1256" t="s">
        <v>27</v>
      </c>
      <c r="C1256" s="3">
        <v>45701.634560185186</v>
      </c>
      <c r="D1256" t="s">
        <v>27</v>
      </c>
      <c r="E1256" s="4">
        <v>1.9E-2</v>
      </c>
      <c r="F1256" s="4">
        <v>408020.54800000001</v>
      </c>
      <c r="G1256" s="4">
        <v>408020.56699999998</v>
      </c>
      <c r="H1256" s="5">
        <f>40 / 86400</f>
        <v>4.6296296296296298E-4</v>
      </c>
      <c r="I1256" t="s">
        <v>124</v>
      </c>
      <c r="J1256" t="s">
        <v>125</v>
      </c>
      <c r="K1256" s="5">
        <f>92 / 86400</f>
        <v>1.0648148148148149E-3</v>
      </c>
      <c r="L1256" s="5">
        <f>926 / 86400</f>
        <v>1.0717592592592593E-2</v>
      </c>
    </row>
    <row r="1257" spans="1:12" x14ac:dyDescent="0.25">
      <c r="A1257" s="3">
        <v>45701.645277777774</v>
      </c>
      <c r="B1257" t="s">
        <v>27</v>
      </c>
      <c r="C1257" s="3">
        <v>45701.650740740741</v>
      </c>
      <c r="D1257" t="s">
        <v>27</v>
      </c>
      <c r="E1257" s="4">
        <v>0.95699999999999996</v>
      </c>
      <c r="F1257" s="4">
        <v>408020.56699999998</v>
      </c>
      <c r="G1257" s="4">
        <v>408021.52399999998</v>
      </c>
      <c r="H1257" s="5">
        <f>180 / 86400</f>
        <v>2.0833333333333333E-3</v>
      </c>
      <c r="I1257" t="s">
        <v>34</v>
      </c>
      <c r="J1257" t="s">
        <v>161</v>
      </c>
      <c r="K1257" s="5">
        <f>472 / 86400</f>
        <v>5.4629629629629629E-3</v>
      </c>
      <c r="L1257" s="5">
        <f>3383 / 86400</f>
        <v>3.9155092592592596E-2</v>
      </c>
    </row>
    <row r="1258" spans="1:12" x14ac:dyDescent="0.25">
      <c r="A1258" s="3">
        <v>45701.689895833333</v>
      </c>
      <c r="B1258" t="s">
        <v>27</v>
      </c>
      <c r="C1258" s="3">
        <v>45701.691111111111</v>
      </c>
      <c r="D1258" t="s">
        <v>27</v>
      </c>
      <c r="E1258" s="4">
        <v>8.6999999999999994E-2</v>
      </c>
      <c r="F1258" s="4">
        <v>408021.52399999998</v>
      </c>
      <c r="G1258" s="4">
        <v>408021.61099999998</v>
      </c>
      <c r="H1258" s="5">
        <f>0 / 86400</f>
        <v>0</v>
      </c>
      <c r="I1258" t="s">
        <v>156</v>
      </c>
      <c r="J1258" t="s">
        <v>124</v>
      </c>
      <c r="K1258" s="5">
        <f>105 / 86400</f>
        <v>1.2152777777777778E-3</v>
      </c>
      <c r="L1258" s="5">
        <f>3143 / 86400</f>
        <v>3.6377314814814814E-2</v>
      </c>
    </row>
    <row r="1259" spans="1:12" x14ac:dyDescent="0.25">
      <c r="A1259" s="3">
        <v>45701.727488425924</v>
      </c>
      <c r="B1259" t="s">
        <v>27</v>
      </c>
      <c r="C1259" s="3">
        <v>45701.730914351851</v>
      </c>
      <c r="D1259" t="s">
        <v>418</v>
      </c>
      <c r="E1259" s="4">
        <v>0.872</v>
      </c>
      <c r="F1259" s="4">
        <v>408021.61099999998</v>
      </c>
      <c r="G1259" s="4">
        <v>408022.48300000001</v>
      </c>
      <c r="H1259" s="5">
        <f>0 / 86400</f>
        <v>0</v>
      </c>
      <c r="I1259" t="s">
        <v>152</v>
      </c>
      <c r="J1259" t="s">
        <v>149</v>
      </c>
      <c r="K1259" s="5">
        <f>296 / 86400</f>
        <v>3.425925925925926E-3</v>
      </c>
      <c r="L1259" s="5">
        <f>3203 / 86400</f>
        <v>3.7071759259259263E-2</v>
      </c>
    </row>
    <row r="1260" spans="1:12" x14ac:dyDescent="0.25">
      <c r="A1260" s="3">
        <v>45701.76798611111</v>
      </c>
      <c r="B1260" t="s">
        <v>418</v>
      </c>
      <c r="C1260" s="3">
        <v>45701.771111111113</v>
      </c>
      <c r="D1260" t="s">
        <v>80</v>
      </c>
      <c r="E1260" s="4">
        <v>1.665</v>
      </c>
      <c r="F1260" s="4">
        <v>408022.48300000001</v>
      </c>
      <c r="G1260" s="4">
        <v>408024.14799999999</v>
      </c>
      <c r="H1260" s="5">
        <f>65 / 86400</f>
        <v>7.5231481481481482E-4</v>
      </c>
      <c r="I1260" t="s">
        <v>193</v>
      </c>
      <c r="J1260" t="s">
        <v>132</v>
      </c>
      <c r="K1260" s="5">
        <f>269 / 86400</f>
        <v>3.1134259259259257E-3</v>
      </c>
      <c r="L1260" s="5">
        <f>3492 / 86400</f>
        <v>4.0416666666666663E-2</v>
      </c>
    </row>
    <row r="1261" spans="1:12" x14ac:dyDescent="0.25">
      <c r="A1261" s="3">
        <v>45701.811527777776</v>
      </c>
      <c r="B1261" t="s">
        <v>80</v>
      </c>
      <c r="C1261" s="3">
        <v>45701.826018518521</v>
      </c>
      <c r="D1261" t="s">
        <v>366</v>
      </c>
      <c r="E1261" s="4">
        <v>9.0990000000000002</v>
      </c>
      <c r="F1261" s="4">
        <v>408024.14799999999</v>
      </c>
      <c r="G1261" s="4">
        <v>408033.24699999997</v>
      </c>
      <c r="H1261" s="5">
        <f>259 / 86400</f>
        <v>2.9976851851851853E-3</v>
      </c>
      <c r="I1261" t="s">
        <v>68</v>
      </c>
      <c r="J1261" t="s">
        <v>138</v>
      </c>
      <c r="K1261" s="5">
        <f>1251 / 86400</f>
        <v>1.4479166666666666E-2</v>
      </c>
      <c r="L1261" s="5">
        <f>389 / 86400</f>
        <v>4.5023148148148149E-3</v>
      </c>
    </row>
    <row r="1262" spans="1:12" x14ac:dyDescent="0.25">
      <c r="A1262" s="3">
        <v>45701.830520833333</v>
      </c>
      <c r="B1262" t="s">
        <v>366</v>
      </c>
      <c r="C1262" s="3">
        <v>45701.887465277774</v>
      </c>
      <c r="D1262" t="s">
        <v>278</v>
      </c>
      <c r="E1262" s="4">
        <v>27.641999999999999</v>
      </c>
      <c r="F1262" s="4">
        <v>408033.24699999997</v>
      </c>
      <c r="G1262" s="4">
        <v>408060.88900000002</v>
      </c>
      <c r="H1262" s="5">
        <f>1621 / 86400</f>
        <v>1.8761574074074073E-2</v>
      </c>
      <c r="I1262" t="s">
        <v>53</v>
      </c>
      <c r="J1262" t="s">
        <v>34</v>
      </c>
      <c r="K1262" s="5">
        <f>4920 / 86400</f>
        <v>5.6944444444444443E-2</v>
      </c>
      <c r="L1262" s="5">
        <f>8 / 86400</f>
        <v>9.2592592592592588E-5</v>
      </c>
    </row>
    <row r="1263" spans="1:12" x14ac:dyDescent="0.25">
      <c r="A1263" s="3">
        <v>45701.887557870374</v>
      </c>
      <c r="B1263" t="s">
        <v>278</v>
      </c>
      <c r="C1263" s="3">
        <v>45701.888923611114</v>
      </c>
      <c r="D1263" t="s">
        <v>278</v>
      </c>
      <c r="E1263" s="4">
        <v>0</v>
      </c>
      <c r="F1263" s="4">
        <v>408060.88900000002</v>
      </c>
      <c r="G1263" s="4">
        <v>408060.88900000002</v>
      </c>
      <c r="H1263" s="5">
        <f>99 / 86400</f>
        <v>1.1458333333333333E-3</v>
      </c>
      <c r="I1263" t="s">
        <v>91</v>
      </c>
      <c r="J1263" t="s">
        <v>91</v>
      </c>
      <c r="K1263" s="5">
        <f>118 / 86400</f>
        <v>1.3657407407407407E-3</v>
      </c>
      <c r="L1263" s="5">
        <f>5 / 86400</f>
        <v>5.7870370370370373E-5</v>
      </c>
    </row>
    <row r="1264" spans="1:12" x14ac:dyDescent="0.25">
      <c r="A1264" s="3">
        <v>45701.888981481483</v>
      </c>
      <c r="B1264" t="s">
        <v>278</v>
      </c>
      <c r="C1264" s="3">
        <v>45701.958761574075</v>
      </c>
      <c r="D1264" t="s">
        <v>303</v>
      </c>
      <c r="E1264" s="4">
        <v>37.784999999999997</v>
      </c>
      <c r="F1264" s="4">
        <v>408060.88900000002</v>
      </c>
      <c r="G1264" s="4">
        <v>408098.674</v>
      </c>
      <c r="H1264" s="5">
        <f>1440 / 86400</f>
        <v>1.6666666666666666E-2</v>
      </c>
      <c r="I1264" t="s">
        <v>60</v>
      </c>
      <c r="J1264" t="s">
        <v>152</v>
      </c>
      <c r="K1264" s="5">
        <f>6029 / 86400</f>
        <v>6.9780092592592588E-2</v>
      </c>
      <c r="L1264" s="5">
        <f>123 / 86400</f>
        <v>1.4236111111111112E-3</v>
      </c>
    </row>
    <row r="1265" spans="1:12" x14ac:dyDescent="0.25">
      <c r="A1265" s="3">
        <v>45701.960185185184</v>
      </c>
      <c r="B1265" t="s">
        <v>303</v>
      </c>
      <c r="C1265" s="3">
        <v>45701.99998842593</v>
      </c>
      <c r="D1265" t="s">
        <v>112</v>
      </c>
      <c r="E1265" s="4">
        <v>20.876000000000001</v>
      </c>
      <c r="F1265" s="4">
        <v>408098.674</v>
      </c>
      <c r="G1265" s="4">
        <v>408119.55</v>
      </c>
      <c r="H1265" s="5">
        <f>800 / 86400</f>
        <v>9.2592592592592587E-3</v>
      </c>
      <c r="I1265" t="s">
        <v>63</v>
      </c>
      <c r="J1265" t="s">
        <v>132</v>
      </c>
      <c r="K1265" s="5">
        <f>3439 / 86400</f>
        <v>3.9803240740740743E-2</v>
      </c>
      <c r="L1265" s="5">
        <f>0 / 86400</f>
        <v>0</v>
      </c>
    </row>
    <row r="1266" spans="1:12" x14ac:dyDescent="0.25">
      <c r="A1266" s="11"/>
      <c r="B1266" s="11"/>
      <c r="C1266" s="11"/>
      <c r="D1266" s="11"/>
      <c r="E1266" s="11"/>
      <c r="F1266" s="11"/>
      <c r="G1266" s="11"/>
      <c r="H1266" s="11"/>
      <c r="I1266" s="11"/>
      <c r="J1266" s="11"/>
    </row>
    <row r="1267" spans="1:12" x14ac:dyDescent="0.25">
      <c r="A1267" s="11"/>
      <c r="B1267" s="11"/>
      <c r="C1267" s="11"/>
      <c r="D1267" s="11"/>
      <c r="E1267" s="11"/>
      <c r="F1267" s="11"/>
      <c r="G1267" s="11"/>
      <c r="H1267" s="11"/>
      <c r="I1267" s="11"/>
      <c r="J1267" s="11"/>
    </row>
    <row r="1268" spans="1:12" s="10" customFormat="1" ht="20.100000000000001" customHeight="1" x14ac:dyDescent="0.35">
      <c r="A1268" s="12" t="s">
        <v>481</v>
      </c>
      <c r="B1268" s="12"/>
      <c r="C1268" s="12"/>
      <c r="D1268" s="12"/>
      <c r="E1268" s="12"/>
      <c r="F1268" s="12"/>
      <c r="G1268" s="12"/>
      <c r="H1268" s="12"/>
      <c r="I1268" s="12"/>
      <c r="J1268" s="12"/>
    </row>
    <row r="1269" spans="1:12" x14ac:dyDescent="0.25">
      <c r="A1269" s="11"/>
      <c r="B1269" s="11"/>
      <c r="C1269" s="11"/>
      <c r="D1269" s="11"/>
      <c r="E1269" s="11"/>
      <c r="F1269" s="11"/>
      <c r="G1269" s="11"/>
      <c r="H1269" s="11"/>
      <c r="I1269" s="11"/>
      <c r="J1269" s="11"/>
    </row>
    <row r="1270" spans="1:12" ht="30" x14ac:dyDescent="0.25">
      <c r="A1270" s="2" t="s">
        <v>5</v>
      </c>
      <c r="B1270" s="2" t="s">
        <v>6</v>
      </c>
      <c r="C1270" s="2" t="s">
        <v>7</v>
      </c>
      <c r="D1270" s="2" t="s">
        <v>8</v>
      </c>
      <c r="E1270" s="2" t="s">
        <v>9</v>
      </c>
      <c r="F1270" s="2" t="s">
        <v>10</v>
      </c>
      <c r="G1270" s="2" t="s">
        <v>11</v>
      </c>
      <c r="H1270" s="2" t="s">
        <v>12</v>
      </c>
      <c r="I1270" s="2" t="s">
        <v>13</v>
      </c>
      <c r="J1270" s="2" t="s">
        <v>14</v>
      </c>
      <c r="K1270" s="2" t="s">
        <v>15</v>
      </c>
      <c r="L1270" s="2" t="s">
        <v>16</v>
      </c>
    </row>
    <row r="1271" spans="1:12" x14ac:dyDescent="0.25">
      <c r="A1271" s="3">
        <v>45701</v>
      </c>
      <c r="B1271" t="s">
        <v>113</v>
      </c>
      <c r="C1271" s="3">
        <v>45701.043587962966</v>
      </c>
      <c r="D1271" t="s">
        <v>80</v>
      </c>
      <c r="E1271" s="4">
        <v>25.196999999999999</v>
      </c>
      <c r="F1271" s="4">
        <v>550051.10900000005</v>
      </c>
      <c r="G1271" s="4">
        <v>550076.30599999998</v>
      </c>
      <c r="H1271" s="5">
        <f>380 / 86400</f>
        <v>4.3981481481481484E-3</v>
      </c>
      <c r="I1271" t="s">
        <v>182</v>
      </c>
      <c r="J1271" t="s">
        <v>130</v>
      </c>
      <c r="K1271" s="5">
        <f>3766 / 86400</f>
        <v>4.358796296296296E-2</v>
      </c>
      <c r="L1271" s="5">
        <f>483 / 86400</f>
        <v>5.5902777777777773E-3</v>
      </c>
    </row>
    <row r="1272" spans="1:12" x14ac:dyDescent="0.25">
      <c r="A1272" s="3">
        <v>45701.049178240741</v>
      </c>
      <c r="B1272" t="s">
        <v>80</v>
      </c>
      <c r="C1272" s="3">
        <v>45701.059120370366</v>
      </c>
      <c r="D1272" t="s">
        <v>81</v>
      </c>
      <c r="E1272" s="4">
        <v>0.98499999999999999</v>
      </c>
      <c r="F1272" s="4">
        <v>550076.30599999998</v>
      </c>
      <c r="G1272" s="4">
        <v>550077.29099999997</v>
      </c>
      <c r="H1272" s="5">
        <f>480 / 86400</f>
        <v>5.5555555555555558E-3</v>
      </c>
      <c r="I1272" t="s">
        <v>233</v>
      </c>
      <c r="J1272" t="s">
        <v>177</v>
      </c>
      <c r="K1272" s="5">
        <f>859 / 86400</f>
        <v>9.9421296296296289E-3</v>
      </c>
      <c r="L1272" s="5">
        <f>20441 / 86400</f>
        <v>0.23658564814814814</v>
      </c>
    </row>
    <row r="1273" spans="1:12" x14ac:dyDescent="0.25">
      <c r="A1273" s="3">
        <v>45701.295706018514</v>
      </c>
      <c r="B1273" t="s">
        <v>81</v>
      </c>
      <c r="C1273" s="3">
        <v>45701.55</v>
      </c>
      <c r="D1273" t="s">
        <v>89</v>
      </c>
      <c r="E1273" s="4">
        <v>114.726</v>
      </c>
      <c r="F1273" s="4">
        <v>550077.29099999997</v>
      </c>
      <c r="G1273" s="4">
        <v>550192.01699999999</v>
      </c>
      <c r="H1273" s="5">
        <f>6340 / 86400</f>
        <v>7.3379629629629628E-2</v>
      </c>
      <c r="I1273" t="s">
        <v>60</v>
      </c>
      <c r="J1273" t="s">
        <v>23</v>
      </c>
      <c r="K1273" s="5">
        <f>21970 / 86400</f>
        <v>0.25428240740740743</v>
      </c>
      <c r="L1273" s="5">
        <f>2309 / 86400</f>
        <v>2.6724537037037036E-2</v>
      </c>
    </row>
    <row r="1274" spans="1:12" x14ac:dyDescent="0.25">
      <c r="A1274" s="3">
        <v>45701.576724537037</v>
      </c>
      <c r="B1274" t="s">
        <v>89</v>
      </c>
      <c r="C1274" s="3">
        <v>45701.57775462963</v>
      </c>
      <c r="D1274" t="s">
        <v>144</v>
      </c>
      <c r="E1274" s="4">
        <v>3.2000000000000001E-2</v>
      </c>
      <c r="F1274" s="4">
        <v>550192.01699999999</v>
      </c>
      <c r="G1274" s="4">
        <v>550192.049</v>
      </c>
      <c r="H1274" s="5">
        <f>39 / 86400</f>
        <v>4.5138888888888887E-4</v>
      </c>
      <c r="I1274" t="s">
        <v>37</v>
      </c>
      <c r="J1274" t="s">
        <v>125</v>
      </c>
      <c r="K1274" s="5">
        <f>88 / 86400</f>
        <v>1.0185185185185184E-3</v>
      </c>
      <c r="L1274" s="5">
        <f>1748 / 86400</f>
        <v>2.0231481481481482E-2</v>
      </c>
    </row>
    <row r="1275" spans="1:12" x14ac:dyDescent="0.25">
      <c r="A1275" s="3">
        <v>45701.597986111112</v>
      </c>
      <c r="B1275" t="s">
        <v>144</v>
      </c>
      <c r="C1275" s="3">
        <v>45701.636828703704</v>
      </c>
      <c r="D1275" t="s">
        <v>292</v>
      </c>
      <c r="E1275" s="4">
        <v>17.146999999999998</v>
      </c>
      <c r="F1275" s="4">
        <v>550192.049</v>
      </c>
      <c r="G1275" s="4">
        <v>550209.196</v>
      </c>
      <c r="H1275" s="5">
        <f>1259 / 86400</f>
        <v>1.457175925925926E-2</v>
      </c>
      <c r="I1275" t="s">
        <v>115</v>
      </c>
      <c r="J1275" t="s">
        <v>76</v>
      </c>
      <c r="K1275" s="5">
        <f>3355 / 86400</f>
        <v>3.8831018518518522E-2</v>
      </c>
      <c r="L1275" s="5">
        <f>4417 / 86400</f>
        <v>5.1122685185185188E-2</v>
      </c>
    </row>
    <row r="1276" spans="1:12" x14ac:dyDescent="0.25">
      <c r="A1276" s="3">
        <v>45701.687951388885</v>
      </c>
      <c r="B1276" t="s">
        <v>292</v>
      </c>
      <c r="C1276" s="3">
        <v>45701.99998842593</v>
      </c>
      <c r="D1276" t="s">
        <v>114</v>
      </c>
      <c r="E1276" s="4">
        <v>103.72199999999999</v>
      </c>
      <c r="F1276" s="4">
        <v>550209.196</v>
      </c>
      <c r="G1276" s="4">
        <v>550312.91799999995</v>
      </c>
      <c r="H1276" s="5">
        <f>11302 / 86400</f>
        <v>0.1308101851851852</v>
      </c>
      <c r="I1276" t="s">
        <v>42</v>
      </c>
      <c r="J1276" t="s">
        <v>43</v>
      </c>
      <c r="K1276" s="5">
        <f>26960 / 86400</f>
        <v>0.31203703703703706</v>
      </c>
      <c r="L1276" s="5">
        <f>0 / 86400</f>
        <v>0</v>
      </c>
    </row>
    <row r="1277" spans="1:12" x14ac:dyDescent="0.25">
      <c r="A1277" s="11"/>
      <c r="B1277" s="11"/>
      <c r="C1277" s="11"/>
      <c r="D1277" s="11"/>
      <c r="E1277" s="11"/>
      <c r="F1277" s="11"/>
      <c r="G1277" s="11"/>
      <c r="H1277" s="11"/>
      <c r="I1277" s="11"/>
      <c r="J1277" s="11"/>
    </row>
    <row r="1278" spans="1:12" x14ac:dyDescent="0.25">
      <c r="A1278" s="11"/>
      <c r="B1278" s="11"/>
      <c r="C1278" s="11"/>
      <c r="D1278" s="11"/>
      <c r="E1278" s="11"/>
      <c r="F1278" s="11"/>
      <c r="G1278" s="11"/>
      <c r="H1278" s="11"/>
      <c r="I1278" s="11"/>
      <c r="J1278" s="11"/>
    </row>
    <row r="1279" spans="1:12" s="10" customFormat="1" ht="20.100000000000001" customHeight="1" x14ac:dyDescent="0.35">
      <c r="A1279" s="12" t="s">
        <v>482</v>
      </c>
      <c r="B1279" s="12"/>
      <c r="C1279" s="12"/>
      <c r="D1279" s="12"/>
      <c r="E1279" s="12"/>
      <c r="F1279" s="12"/>
      <c r="G1279" s="12"/>
      <c r="H1279" s="12"/>
      <c r="I1279" s="12"/>
      <c r="J1279" s="12"/>
    </row>
    <row r="1280" spans="1:12" x14ac:dyDescent="0.25">
      <c r="A1280" s="11"/>
      <c r="B1280" s="11"/>
      <c r="C1280" s="11"/>
      <c r="D1280" s="11"/>
      <c r="E1280" s="11"/>
      <c r="F1280" s="11"/>
      <c r="G1280" s="11"/>
      <c r="H1280" s="11"/>
      <c r="I1280" s="11"/>
      <c r="J1280" s="11"/>
    </row>
    <row r="1281" spans="1:12" ht="30" x14ac:dyDescent="0.25">
      <c r="A1281" s="2" t="s">
        <v>5</v>
      </c>
      <c r="B1281" s="2" t="s">
        <v>6</v>
      </c>
      <c r="C1281" s="2" t="s">
        <v>7</v>
      </c>
      <c r="D1281" s="2" t="s">
        <v>8</v>
      </c>
      <c r="E1281" s="2" t="s">
        <v>9</v>
      </c>
      <c r="F1281" s="2" t="s">
        <v>10</v>
      </c>
      <c r="G1281" s="2" t="s">
        <v>11</v>
      </c>
      <c r="H1281" s="2" t="s">
        <v>12</v>
      </c>
      <c r="I1281" s="2" t="s">
        <v>13</v>
      </c>
      <c r="J1281" s="2" t="s">
        <v>14</v>
      </c>
      <c r="K1281" s="2" t="s">
        <v>15</v>
      </c>
      <c r="L1281" s="2" t="s">
        <v>16</v>
      </c>
    </row>
    <row r="1282" spans="1:12" x14ac:dyDescent="0.25">
      <c r="A1282" s="3">
        <v>45701.575740740736</v>
      </c>
      <c r="B1282" t="s">
        <v>116</v>
      </c>
      <c r="C1282" s="3">
        <v>45701.581284722226</v>
      </c>
      <c r="D1282" t="s">
        <v>418</v>
      </c>
      <c r="E1282" s="4">
        <v>2.66</v>
      </c>
      <c r="F1282" s="4">
        <v>52118.114999999998</v>
      </c>
      <c r="G1282" s="4">
        <v>52120.775000000001</v>
      </c>
      <c r="H1282" s="5">
        <f>219 / 86400</f>
        <v>2.5347222222222221E-3</v>
      </c>
      <c r="I1282" t="s">
        <v>51</v>
      </c>
      <c r="J1282" t="s">
        <v>34</v>
      </c>
      <c r="K1282" s="5">
        <f>478 / 86400</f>
        <v>5.5324074074074078E-3</v>
      </c>
      <c r="L1282" s="5">
        <f>50034 / 86400</f>
        <v>0.57909722222222226</v>
      </c>
    </row>
    <row r="1283" spans="1:12" x14ac:dyDescent="0.25">
      <c r="A1283" s="3">
        <v>45701.584641203706</v>
      </c>
      <c r="B1283" t="s">
        <v>418</v>
      </c>
      <c r="C1283" s="3">
        <v>45701.585023148145</v>
      </c>
      <c r="D1283" t="s">
        <v>418</v>
      </c>
      <c r="E1283" s="4">
        <v>0.115</v>
      </c>
      <c r="F1283" s="4">
        <v>52120.775000000001</v>
      </c>
      <c r="G1283" s="4">
        <v>52120.89</v>
      </c>
      <c r="H1283" s="5">
        <f>0 / 86400</f>
        <v>0</v>
      </c>
      <c r="I1283" t="s">
        <v>110</v>
      </c>
      <c r="J1283" t="s">
        <v>58</v>
      </c>
      <c r="K1283" s="5">
        <f>32 / 86400</f>
        <v>3.7037037037037035E-4</v>
      </c>
      <c r="L1283" s="5">
        <f>1811 / 86400</f>
        <v>2.0960648148148148E-2</v>
      </c>
    </row>
    <row r="1284" spans="1:12" x14ac:dyDescent="0.25">
      <c r="A1284" s="3">
        <v>45701.605983796297</v>
      </c>
      <c r="B1284" t="s">
        <v>418</v>
      </c>
      <c r="C1284" s="3">
        <v>45701.629629629635</v>
      </c>
      <c r="D1284" t="s">
        <v>366</v>
      </c>
      <c r="E1284" s="4">
        <v>53.765000000000001</v>
      </c>
      <c r="F1284" s="4">
        <v>52120.89</v>
      </c>
      <c r="G1284" s="4">
        <v>52174.654999999999</v>
      </c>
      <c r="H1284" s="5">
        <f>719 / 86400</f>
        <v>8.3217592592592596E-3</v>
      </c>
      <c r="I1284" t="s">
        <v>186</v>
      </c>
      <c r="J1284" t="s">
        <v>419</v>
      </c>
      <c r="K1284" s="5">
        <f>2042 / 86400</f>
        <v>2.3634259259259258E-2</v>
      </c>
      <c r="L1284" s="5">
        <f>452 / 86400</f>
        <v>5.2314814814814811E-3</v>
      </c>
    </row>
    <row r="1285" spans="1:12" x14ac:dyDescent="0.25">
      <c r="A1285" s="3">
        <v>45701.63486111111</v>
      </c>
      <c r="B1285" t="s">
        <v>366</v>
      </c>
      <c r="C1285" s="3">
        <v>45701.637430555551</v>
      </c>
      <c r="D1285" t="s">
        <v>366</v>
      </c>
      <c r="E1285" s="4">
        <v>0</v>
      </c>
      <c r="F1285" s="4">
        <v>52174.654999999999</v>
      </c>
      <c r="G1285" s="4">
        <v>52174.654999999999</v>
      </c>
      <c r="H1285" s="5">
        <f>219 / 86400</f>
        <v>2.5347222222222221E-3</v>
      </c>
      <c r="I1285" t="s">
        <v>91</v>
      </c>
      <c r="J1285" t="s">
        <v>91</v>
      </c>
      <c r="K1285" s="5">
        <f>222 / 86400</f>
        <v>2.5694444444444445E-3</v>
      </c>
      <c r="L1285" s="5">
        <f>253 / 86400</f>
        <v>2.9282407407407408E-3</v>
      </c>
    </row>
    <row r="1286" spans="1:12" x14ac:dyDescent="0.25">
      <c r="A1286" s="3">
        <v>45701.6403587963</v>
      </c>
      <c r="B1286" t="s">
        <v>366</v>
      </c>
      <c r="C1286" s="3">
        <v>45701.847094907411</v>
      </c>
      <c r="D1286" t="s">
        <v>72</v>
      </c>
      <c r="E1286" s="4">
        <v>445.97</v>
      </c>
      <c r="F1286" s="4">
        <v>52174.654999999999</v>
      </c>
      <c r="G1286" s="4">
        <v>52620.625</v>
      </c>
      <c r="H1286" s="5">
        <f>5899 / 86400</f>
        <v>6.8275462962962968E-2</v>
      </c>
      <c r="I1286" t="s">
        <v>87</v>
      </c>
      <c r="J1286" t="s">
        <v>33</v>
      </c>
      <c r="K1286" s="5">
        <f>17862 / 86400</f>
        <v>0.20673611111111112</v>
      </c>
      <c r="L1286" s="5">
        <f>6360 / 86400</f>
        <v>7.3611111111111113E-2</v>
      </c>
    </row>
    <row r="1287" spans="1:12" x14ac:dyDescent="0.25">
      <c r="A1287" s="3">
        <v>45701.920706018514</v>
      </c>
      <c r="B1287" t="s">
        <v>72</v>
      </c>
      <c r="C1287" s="3">
        <v>45701.921087962968</v>
      </c>
      <c r="D1287" t="s">
        <v>72</v>
      </c>
      <c r="E1287" s="4">
        <v>0</v>
      </c>
      <c r="F1287" s="4">
        <v>52620.625</v>
      </c>
      <c r="G1287" s="4">
        <v>52620.625</v>
      </c>
      <c r="H1287" s="5">
        <f>19 / 86400</f>
        <v>2.199074074074074E-4</v>
      </c>
      <c r="I1287" t="s">
        <v>91</v>
      </c>
      <c r="J1287" t="s">
        <v>91</v>
      </c>
      <c r="K1287" s="5">
        <f>32 / 86400</f>
        <v>3.7037037037037035E-4</v>
      </c>
      <c r="L1287" s="5">
        <f>1737 / 86400</f>
        <v>2.0104166666666666E-2</v>
      </c>
    </row>
    <row r="1288" spans="1:12" x14ac:dyDescent="0.25">
      <c r="A1288" s="3">
        <v>45701.941192129627</v>
      </c>
      <c r="B1288" t="s">
        <v>72</v>
      </c>
      <c r="C1288" s="3">
        <v>45701.941446759258</v>
      </c>
      <c r="D1288" t="s">
        <v>72</v>
      </c>
      <c r="E1288" s="4">
        <v>0</v>
      </c>
      <c r="F1288" s="4">
        <v>52620.625</v>
      </c>
      <c r="G1288" s="4">
        <v>52620.625</v>
      </c>
      <c r="H1288" s="5">
        <f>19 / 86400</f>
        <v>2.199074074074074E-4</v>
      </c>
      <c r="I1288" t="s">
        <v>91</v>
      </c>
      <c r="J1288" t="s">
        <v>91</v>
      </c>
      <c r="K1288" s="5">
        <f>22 / 86400</f>
        <v>2.5462962962962961E-4</v>
      </c>
      <c r="L1288" s="5">
        <f>158 / 86400</f>
        <v>1.8287037037037037E-3</v>
      </c>
    </row>
    <row r="1289" spans="1:12" x14ac:dyDescent="0.25">
      <c r="A1289" s="3">
        <v>45701.943275462967</v>
      </c>
      <c r="B1289" t="s">
        <v>72</v>
      </c>
      <c r="C1289" s="3">
        <v>45701.94902777778</v>
      </c>
      <c r="D1289" t="s">
        <v>418</v>
      </c>
      <c r="E1289" s="4">
        <v>15.62</v>
      </c>
      <c r="F1289" s="4">
        <v>52620.625</v>
      </c>
      <c r="G1289" s="4">
        <v>52636.245000000003</v>
      </c>
      <c r="H1289" s="5">
        <f>99 / 86400</f>
        <v>1.1458333333333333E-3</v>
      </c>
      <c r="I1289" t="s">
        <v>182</v>
      </c>
      <c r="J1289" t="s">
        <v>420</v>
      </c>
      <c r="K1289" s="5">
        <f>496 / 86400</f>
        <v>5.7407407407407407E-3</v>
      </c>
      <c r="L1289" s="5">
        <f>487 / 86400</f>
        <v>5.6365740740740742E-3</v>
      </c>
    </row>
    <row r="1290" spans="1:12" x14ac:dyDescent="0.25">
      <c r="A1290" s="3">
        <v>45701.954664351855</v>
      </c>
      <c r="B1290" t="s">
        <v>418</v>
      </c>
      <c r="C1290" s="3">
        <v>45701.99998842593</v>
      </c>
      <c r="D1290" t="s">
        <v>72</v>
      </c>
      <c r="E1290" s="4">
        <v>117.355</v>
      </c>
      <c r="F1290" s="4">
        <v>52636.245000000003</v>
      </c>
      <c r="G1290" s="4">
        <v>52753.599999999999</v>
      </c>
      <c r="H1290" s="5">
        <f>1220 / 86400</f>
        <v>1.412037037037037E-2</v>
      </c>
      <c r="I1290" t="s">
        <v>176</v>
      </c>
      <c r="J1290" t="s">
        <v>421</v>
      </c>
      <c r="K1290" s="5">
        <f>3916 / 86400</f>
        <v>4.5324074074074072E-2</v>
      </c>
      <c r="L1290" s="5">
        <f>0 / 86400</f>
        <v>0</v>
      </c>
    </row>
    <row r="1291" spans="1:12" x14ac:dyDescent="0.25">
      <c r="A1291" s="11"/>
      <c r="B1291" s="11"/>
      <c r="C1291" s="11"/>
      <c r="D1291" s="11"/>
      <c r="E1291" s="11"/>
      <c r="F1291" s="11"/>
      <c r="G1291" s="11"/>
      <c r="H1291" s="11"/>
      <c r="I1291" s="11"/>
      <c r="J1291" s="11"/>
    </row>
    <row r="1292" spans="1:12" x14ac:dyDescent="0.25">
      <c r="A1292" s="11"/>
      <c r="B1292" s="11"/>
      <c r="C1292" s="11"/>
      <c r="D1292" s="11"/>
      <c r="E1292" s="11"/>
      <c r="F1292" s="11"/>
      <c r="G1292" s="11"/>
      <c r="H1292" s="11"/>
      <c r="I1292" s="11"/>
      <c r="J1292" s="11"/>
    </row>
    <row r="1293" spans="1:12" s="10" customFormat="1" ht="20.100000000000001" customHeight="1" x14ac:dyDescent="0.35">
      <c r="A1293" s="12" t="s">
        <v>483</v>
      </c>
      <c r="B1293" s="12"/>
      <c r="C1293" s="12"/>
      <c r="D1293" s="12"/>
      <c r="E1293" s="12"/>
      <c r="F1293" s="12"/>
      <c r="G1293" s="12"/>
      <c r="H1293" s="12"/>
      <c r="I1293" s="12"/>
      <c r="J1293" s="12"/>
    </row>
    <row r="1294" spans="1:12" x14ac:dyDescent="0.25">
      <c r="A1294" s="11"/>
      <c r="B1294" s="11"/>
      <c r="C1294" s="11"/>
      <c r="D1294" s="11"/>
      <c r="E1294" s="11"/>
      <c r="F1294" s="11"/>
      <c r="G1294" s="11"/>
      <c r="H1294" s="11"/>
      <c r="I1294" s="11"/>
      <c r="J1294" s="11"/>
    </row>
    <row r="1295" spans="1:12" ht="30" x14ac:dyDescent="0.25">
      <c r="A1295" s="2" t="s">
        <v>5</v>
      </c>
      <c r="B1295" s="2" t="s">
        <v>6</v>
      </c>
      <c r="C1295" s="2" t="s">
        <v>7</v>
      </c>
      <c r="D1295" s="2" t="s">
        <v>8</v>
      </c>
      <c r="E1295" s="2" t="s">
        <v>9</v>
      </c>
      <c r="F1295" s="2" t="s">
        <v>10</v>
      </c>
      <c r="G1295" s="2" t="s">
        <v>11</v>
      </c>
      <c r="H1295" s="2" t="s">
        <v>12</v>
      </c>
      <c r="I1295" s="2" t="s">
        <v>13</v>
      </c>
      <c r="J1295" s="2" t="s">
        <v>14</v>
      </c>
      <c r="K1295" s="2" t="s">
        <v>15</v>
      </c>
      <c r="L1295" s="2" t="s">
        <v>16</v>
      </c>
    </row>
    <row r="1296" spans="1:12" x14ac:dyDescent="0.25">
      <c r="A1296" s="3">
        <v>45701</v>
      </c>
      <c r="B1296" t="s">
        <v>72</v>
      </c>
      <c r="C1296" s="3">
        <v>45701.032511574071</v>
      </c>
      <c r="D1296" t="s">
        <v>106</v>
      </c>
      <c r="E1296" s="4">
        <v>25.859000000000002</v>
      </c>
      <c r="F1296" s="4">
        <v>59363.000999999997</v>
      </c>
      <c r="G1296" s="4">
        <v>59388.86</v>
      </c>
      <c r="H1296" s="5">
        <f>220 / 86400</f>
        <v>2.5462962962962965E-3</v>
      </c>
      <c r="I1296" t="s">
        <v>32</v>
      </c>
      <c r="J1296" t="s">
        <v>162</v>
      </c>
      <c r="K1296" s="5">
        <f>2809 / 86400</f>
        <v>3.2511574074074075E-2</v>
      </c>
      <c r="L1296" s="5">
        <f>716 / 86400</f>
        <v>8.2870370370370372E-3</v>
      </c>
    </row>
    <row r="1297" spans="1:12" x14ac:dyDescent="0.25">
      <c r="A1297" s="3">
        <v>45701.040798611109</v>
      </c>
      <c r="B1297" t="s">
        <v>106</v>
      </c>
      <c r="C1297" s="3">
        <v>45701.044444444444</v>
      </c>
      <c r="D1297" t="s">
        <v>160</v>
      </c>
      <c r="E1297" s="4">
        <v>0.498</v>
      </c>
      <c r="F1297" s="4">
        <v>59388.86</v>
      </c>
      <c r="G1297" s="4">
        <v>59389.358</v>
      </c>
      <c r="H1297" s="5">
        <f>200 / 86400</f>
        <v>2.3148148148148147E-3</v>
      </c>
      <c r="I1297" t="s">
        <v>169</v>
      </c>
      <c r="J1297" t="s">
        <v>156</v>
      </c>
      <c r="K1297" s="5">
        <f>315 / 86400</f>
        <v>3.6458333333333334E-3</v>
      </c>
      <c r="L1297" s="5">
        <f>520 / 86400</f>
        <v>6.0185185185185185E-3</v>
      </c>
    </row>
    <row r="1298" spans="1:12" x14ac:dyDescent="0.25">
      <c r="A1298" s="3">
        <v>45701.050462962958</v>
      </c>
      <c r="B1298" t="s">
        <v>160</v>
      </c>
      <c r="C1298" s="3">
        <v>45701.05305555556</v>
      </c>
      <c r="D1298" t="s">
        <v>147</v>
      </c>
      <c r="E1298" s="4">
        <v>0.315</v>
      </c>
      <c r="F1298" s="4">
        <v>59389.358</v>
      </c>
      <c r="G1298" s="4">
        <v>59389.673000000003</v>
      </c>
      <c r="H1298" s="5">
        <f>80 / 86400</f>
        <v>9.2592592592592596E-4</v>
      </c>
      <c r="I1298" t="s">
        <v>23</v>
      </c>
      <c r="J1298" t="s">
        <v>37</v>
      </c>
      <c r="K1298" s="5">
        <f>224 / 86400</f>
        <v>2.5925925925925925E-3</v>
      </c>
      <c r="L1298" s="5">
        <f>53187 / 86400</f>
        <v>0.61559027777777775</v>
      </c>
    </row>
    <row r="1299" spans="1:12" x14ac:dyDescent="0.25">
      <c r="A1299" s="3">
        <v>45701.668645833328</v>
      </c>
      <c r="B1299" t="s">
        <v>147</v>
      </c>
      <c r="C1299" s="3">
        <v>45701.6716087963</v>
      </c>
      <c r="D1299" t="s">
        <v>158</v>
      </c>
      <c r="E1299" s="4">
        <v>0.317</v>
      </c>
      <c r="F1299" s="4">
        <v>59389.673000000003</v>
      </c>
      <c r="G1299" s="4">
        <v>59389.99</v>
      </c>
      <c r="H1299" s="5">
        <f>119 / 86400</f>
        <v>1.3773148148148147E-3</v>
      </c>
      <c r="I1299" t="s">
        <v>23</v>
      </c>
      <c r="J1299" t="s">
        <v>177</v>
      </c>
      <c r="K1299" s="5">
        <f>256 / 86400</f>
        <v>2.9629629629629628E-3</v>
      </c>
      <c r="L1299" s="5">
        <f>2 / 86400</f>
        <v>2.3148148148148147E-5</v>
      </c>
    </row>
    <row r="1300" spans="1:12" x14ac:dyDescent="0.25">
      <c r="A1300" s="3">
        <v>45701.671631944446</v>
      </c>
      <c r="B1300" t="s">
        <v>158</v>
      </c>
      <c r="C1300" s="3">
        <v>45701.81831018519</v>
      </c>
      <c r="D1300" t="s">
        <v>422</v>
      </c>
      <c r="E1300" s="4">
        <v>53.125</v>
      </c>
      <c r="F1300" s="4">
        <v>59389.99</v>
      </c>
      <c r="G1300" s="4">
        <v>59443.114999999998</v>
      </c>
      <c r="H1300" s="5">
        <f>5139 / 86400</f>
        <v>5.9479166666666666E-2</v>
      </c>
      <c r="I1300" t="s">
        <v>19</v>
      </c>
      <c r="J1300" t="s">
        <v>29</v>
      </c>
      <c r="K1300" s="5">
        <f>12673 / 86400</f>
        <v>0.14667824074074073</v>
      </c>
      <c r="L1300" s="5">
        <f>34 / 86400</f>
        <v>3.9351851851851852E-4</v>
      </c>
    </row>
    <row r="1301" spans="1:12" x14ac:dyDescent="0.25">
      <c r="A1301" s="3">
        <v>45701.818703703699</v>
      </c>
      <c r="B1301" t="s">
        <v>237</v>
      </c>
      <c r="C1301" s="3">
        <v>45701.873287037037</v>
      </c>
      <c r="D1301" t="s">
        <v>423</v>
      </c>
      <c r="E1301" s="4">
        <v>18.088999999999999</v>
      </c>
      <c r="F1301" s="4">
        <v>59443.114999999998</v>
      </c>
      <c r="G1301" s="4">
        <v>59461.203999999998</v>
      </c>
      <c r="H1301" s="5">
        <f>1680 / 86400</f>
        <v>1.9444444444444445E-2</v>
      </c>
      <c r="I1301" t="s">
        <v>95</v>
      </c>
      <c r="J1301" t="s">
        <v>43</v>
      </c>
      <c r="K1301" s="5">
        <f>4716 / 86400</f>
        <v>5.4583333333333331E-2</v>
      </c>
      <c r="L1301" s="5">
        <f>1646 / 86400</f>
        <v>1.9050925925925926E-2</v>
      </c>
    </row>
    <row r="1302" spans="1:12" x14ac:dyDescent="0.25">
      <c r="A1302" s="3">
        <v>45701.892337962963</v>
      </c>
      <c r="B1302" t="s">
        <v>423</v>
      </c>
      <c r="C1302" s="3">
        <v>45701.897546296299</v>
      </c>
      <c r="D1302" t="s">
        <v>108</v>
      </c>
      <c r="E1302" s="4">
        <v>4.1000000000000002E-2</v>
      </c>
      <c r="F1302" s="4">
        <v>59461.203999999998</v>
      </c>
      <c r="G1302" s="4">
        <v>59461.245000000003</v>
      </c>
      <c r="H1302" s="5">
        <f>380 / 86400</f>
        <v>4.3981481481481484E-3</v>
      </c>
      <c r="I1302" t="s">
        <v>161</v>
      </c>
      <c r="J1302" t="s">
        <v>91</v>
      </c>
      <c r="K1302" s="5">
        <f>450 / 86400</f>
        <v>5.208333333333333E-3</v>
      </c>
      <c r="L1302" s="5">
        <f>8 / 86400</f>
        <v>9.2592592592592588E-5</v>
      </c>
    </row>
    <row r="1303" spans="1:12" x14ac:dyDescent="0.25">
      <c r="A1303" s="3">
        <v>45701.897638888884</v>
      </c>
      <c r="B1303" t="s">
        <v>108</v>
      </c>
      <c r="C1303" s="3">
        <v>45701.938888888893</v>
      </c>
      <c r="D1303" t="s">
        <v>101</v>
      </c>
      <c r="E1303" s="4">
        <v>15.19</v>
      </c>
      <c r="F1303" s="4">
        <v>59461.245000000003</v>
      </c>
      <c r="G1303" s="4">
        <v>59476.434999999998</v>
      </c>
      <c r="H1303" s="5">
        <f>1199 / 86400</f>
        <v>1.3877314814814815E-2</v>
      </c>
      <c r="I1303" t="s">
        <v>63</v>
      </c>
      <c r="J1303" t="s">
        <v>29</v>
      </c>
      <c r="K1303" s="5">
        <f>3563 / 86400</f>
        <v>4.1238425925925928E-2</v>
      </c>
      <c r="L1303" s="5">
        <f>240 / 86400</f>
        <v>2.7777777777777779E-3</v>
      </c>
    </row>
    <row r="1304" spans="1:12" x14ac:dyDescent="0.25">
      <c r="A1304" s="3">
        <v>45701.941666666666</v>
      </c>
      <c r="B1304" t="s">
        <v>101</v>
      </c>
      <c r="C1304" s="3">
        <v>45701.941898148143</v>
      </c>
      <c r="D1304" t="s">
        <v>48</v>
      </c>
      <c r="E1304" s="4">
        <v>5.0000000000000001E-3</v>
      </c>
      <c r="F1304" s="4">
        <v>59476.434999999998</v>
      </c>
      <c r="G1304" s="4">
        <v>59476.44</v>
      </c>
      <c r="H1304" s="5">
        <f>0 / 86400</f>
        <v>0</v>
      </c>
      <c r="I1304" t="s">
        <v>91</v>
      </c>
      <c r="J1304" t="s">
        <v>125</v>
      </c>
      <c r="K1304" s="5">
        <f>20 / 86400</f>
        <v>2.3148148148148149E-4</v>
      </c>
      <c r="L1304" s="5">
        <f>318 / 86400</f>
        <v>3.6805555555555554E-3</v>
      </c>
    </row>
    <row r="1305" spans="1:12" x14ac:dyDescent="0.25">
      <c r="A1305" s="3">
        <v>45701.9455787037</v>
      </c>
      <c r="B1305" t="s">
        <v>48</v>
      </c>
      <c r="C1305" s="3">
        <v>45701.945810185185</v>
      </c>
      <c r="D1305" t="s">
        <v>48</v>
      </c>
      <c r="E1305" s="4">
        <v>8.9999999999999993E-3</v>
      </c>
      <c r="F1305" s="4">
        <v>59476.44</v>
      </c>
      <c r="G1305" s="4">
        <v>59476.449000000001</v>
      </c>
      <c r="H1305" s="5">
        <f>0 / 86400</f>
        <v>0</v>
      </c>
      <c r="I1305" t="s">
        <v>91</v>
      </c>
      <c r="J1305" t="s">
        <v>110</v>
      </c>
      <c r="K1305" s="5">
        <f>20 / 86400</f>
        <v>2.3148148148148149E-4</v>
      </c>
      <c r="L1305" s="5">
        <f>84 / 86400</f>
        <v>9.7222222222222219E-4</v>
      </c>
    </row>
    <row r="1306" spans="1:12" x14ac:dyDescent="0.25">
      <c r="A1306" s="3">
        <v>45701.946782407409</v>
      </c>
      <c r="B1306" t="s">
        <v>48</v>
      </c>
      <c r="C1306" s="3">
        <v>45701.99998842593</v>
      </c>
      <c r="D1306" t="s">
        <v>72</v>
      </c>
      <c r="E1306" s="4">
        <v>22.638000000000002</v>
      </c>
      <c r="F1306" s="4">
        <v>59476.449000000001</v>
      </c>
      <c r="G1306" s="4">
        <v>59499.087</v>
      </c>
      <c r="H1306" s="5">
        <f>1540 / 86400</f>
        <v>1.7824074074074076E-2</v>
      </c>
      <c r="I1306" t="s">
        <v>75</v>
      </c>
      <c r="J1306" t="s">
        <v>76</v>
      </c>
      <c r="K1306" s="5">
        <f>4597 / 86400</f>
        <v>5.3206018518518521E-2</v>
      </c>
      <c r="L1306" s="5">
        <f>0 / 86400</f>
        <v>0</v>
      </c>
    </row>
    <row r="1307" spans="1:12" x14ac:dyDescent="0.25">
      <c r="A1307" s="11"/>
      <c r="B1307" s="11"/>
      <c r="C1307" s="11"/>
      <c r="D1307" s="11"/>
      <c r="E1307" s="11"/>
      <c r="F1307" s="11"/>
      <c r="G1307" s="11"/>
      <c r="H1307" s="11"/>
      <c r="I1307" s="11"/>
      <c r="J1307" s="11"/>
    </row>
    <row r="1308" spans="1:12" x14ac:dyDescent="0.25">
      <c r="A1308" s="11"/>
      <c r="B1308" s="11"/>
      <c r="C1308" s="11"/>
      <c r="D1308" s="11"/>
      <c r="E1308" s="11"/>
      <c r="F1308" s="11"/>
      <c r="G1308" s="11"/>
      <c r="H1308" s="11"/>
      <c r="I1308" s="11"/>
      <c r="J1308" s="11"/>
    </row>
    <row r="1309" spans="1:12" s="10" customFormat="1" ht="20.100000000000001" customHeight="1" x14ac:dyDescent="0.35">
      <c r="A1309" s="12" t="s">
        <v>484</v>
      </c>
      <c r="B1309" s="12"/>
      <c r="C1309" s="12"/>
      <c r="D1309" s="12"/>
      <c r="E1309" s="12"/>
      <c r="F1309" s="12"/>
      <c r="G1309" s="12"/>
      <c r="H1309" s="12"/>
      <c r="I1309" s="12"/>
      <c r="J1309" s="12"/>
    </row>
    <row r="1310" spans="1:12" x14ac:dyDescent="0.25">
      <c r="A1310" s="11"/>
      <c r="B1310" s="11"/>
      <c r="C1310" s="11"/>
      <c r="D1310" s="11"/>
      <c r="E1310" s="11"/>
      <c r="F1310" s="11"/>
      <c r="G1310" s="11"/>
      <c r="H1310" s="11"/>
      <c r="I1310" s="11"/>
      <c r="J1310" s="11"/>
    </row>
    <row r="1311" spans="1:12" ht="30" x14ac:dyDescent="0.25">
      <c r="A1311" s="2" t="s">
        <v>5</v>
      </c>
      <c r="B1311" s="2" t="s">
        <v>6</v>
      </c>
      <c r="C1311" s="2" t="s">
        <v>7</v>
      </c>
      <c r="D1311" s="2" t="s">
        <v>8</v>
      </c>
      <c r="E1311" s="2" t="s">
        <v>9</v>
      </c>
      <c r="F1311" s="2" t="s">
        <v>10</v>
      </c>
      <c r="G1311" s="2" t="s">
        <v>11</v>
      </c>
      <c r="H1311" s="2" t="s">
        <v>12</v>
      </c>
      <c r="I1311" s="2" t="s">
        <v>13</v>
      </c>
      <c r="J1311" s="2" t="s">
        <v>14</v>
      </c>
      <c r="K1311" s="2" t="s">
        <v>15</v>
      </c>
      <c r="L1311" s="2" t="s">
        <v>16</v>
      </c>
    </row>
    <row r="1312" spans="1:12" x14ac:dyDescent="0.25">
      <c r="A1312" s="3">
        <v>45701.026736111111</v>
      </c>
      <c r="B1312" t="s">
        <v>18</v>
      </c>
      <c r="C1312" s="3">
        <v>45701.032430555555</v>
      </c>
      <c r="D1312" t="s">
        <v>118</v>
      </c>
      <c r="E1312" s="4">
        <v>1.59</v>
      </c>
      <c r="F1312" s="4">
        <v>62865.841999999997</v>
      </c>
      <c r="G1312" s="4">
        <v>62867.432000000001</v>
      </c>
      <c r="H1312" s="5">
        <f>99 / 86400</f>
        <v>1.1458333333333333E-3</v>
      </c>
      <c r="I1312" t="s">
        <v>127</v>
      </c>
      <c r="J1312" t="s">
        <v>120</v>
      </c>
      <c r="K1312" s="5">
        <f>491 / 86400</f>
        <v>5.6828703703703702E-3</v>
      </c>
      <c r="L1312" s="5">
        <f>12706 / 86400</f>
        <v>0.14706018518518518</v>
      </c>
    </row>
    <row r="1313" spans="1:12" x14ac:dyDescent="0.25">
      <c r="A1313" s="3">
        <v>45701.152754629627</v>
      </c>
      <c r="B1313" t="s">
        <v>118</v>
      </c>
      <c r="C1313" s="3">
        <v>45701.154050925921</v>
      </c>
      <c r="D1313" t="s">
        <v>118</v>
      </c>
      <c r="E1313" s="4">
        <v>0</v>
      </c>
      <c r="F1313" s="4">
        <v>62867.432000000001</v>
      </c>
      <c r="G1313" s="4">
        <v>62867.432000000001</v>
      </c>
      <c r="H1313" s="5">
        <f>99 / 86400</f>
        <v>1.1458333333333333E-3</v>
      </c>
      <c r="I1313" t="s">
        <v>91</v>
      </c>
      <c r="J1313" t="s">
        <v>91</v>
      </c>
      <c r="K1313" s="5">
        <f>112 / 86400</f>
        <v>1.2962962962962963E-3</v>
      </c>
      <c r="L1313" s="5">
        <f>7 / 86400</f>
        <v>8.1018518518518516E-5</v>
      </c>
    </row>
    <row r="1314" spans="1:12" x14ac:dyDescent="0.25">
      <c r="A1314" s="3">
        <v>45701.154131944444</v>
      </c>
      <c r="B1314" t="s">
        <v>118</v>
      </c>
      <c r="C1314" s="3">
        <v>45701.599872685183</v>
      </c>
      <c r="D1314" t="s">
        <v>118</v>
      </c>
      <c r="E1314" s="4">
        <v>209.607</v>
      </c>
      <c r="F1314" s="4">
        <v>62867.432000000001</v>
      </c>
      <c r="G1314" s="4">
        <v>63077.038999999997</v>
      </c>
      <c r="H1314" s="5">
        <f>10806 / 86400</f>
        <v>0.12506944444444446</v>
      </c>
      <c r="I1314" t="s">
        <v>46</v>
      </c>
      <c r="J1314" t="s">
        <v>34</v>
      </c>
      <c r="K1314" s="5">
        <f>38512 / 86400</f>
        <v>0.44574074074074072</v>
      </c>
      <c r="L1314" s="5">
        <f>196 / 86400</f>
        <v>2.2685185185185187E-3</v>
      </c>
    </row>
    <row r="1315" spans="1:12" x14ac:dyDescent="0.25">
      <c r="A1315" s="3">
        <v>45701.602141203708</v>
      </c>
      <c r="B1315" t="s">
        <v>118</v>
      </c>
      <c r="C1315" s="3">
        <v>45701.603900462964</v>
      </c>
      <c r="D1315" t="s">
        <v>118</v>
      </c>
      <c r="E1315" s="4">
        <v>5.0999999999999997E-2</v>
      </c>
      <c r="F1315" s="4">
        <v>63077.038999999997</v>
      </c>
      <c r="G1315" s="4">
        <v>63077.09</v>
      </c>
      <c r="H1315" s="5">
        <f>99 / 86400</f>
        <v>1.1458333333333333E-3</v>
      </c>
      <c r="I1315" t="s">
        <v>156</v>
      </c>
      <c r="J1315" t="s">
        <v>125</v>
      </c>
      <c r="K1315" s="5">
        <f>152 / 86400</f>
        <v>1.7592592592592592E-3</v>
      </c>
      <c r="L1315" s="5">
        <f>639 / 86400</f>
        <v>7.3958333333333333E-3</v>
      </c>
    </row>
    <row r="1316" spans="1:12" x14ac:dyDescent="0.25">
      <c r="A1316" s="3">
        <v>45701.611296296294</v>
      </c>
      <c r="B1316" t="s">
        <v>118</v>
      </c>
      <c r="C1316" s="3">
        <v>45701.615312499998</v>
      </c>
      <c r="D1316" t="s">
        <v>118</v>
      </c>
      <c r="E1316" s="4">
        <v>8.5000000000000006E-2</v>
      </c>
      <c r="F1316" s="4">
        <v>63077.09</v>
      </c>
      <c r="G1316" s="4">
        <v>63077.175000000003</v>
      </c>
      <c r="H1316" s="5">
        <f>179 / 86400</f>
        <v>2.0717592592592593E-3</v>
      </c>
      <c r="I1316" t="s">
        <v>156</v>
      </c>
      <c r="J1316" t="s">
        <v>125</v>
      </c>
      <c r="K1316" s="5">
        <f>347 / 86400</f>
        <v>4.0162037037037041E-3</v>
      </c>
      <c r="L1316" s="5">
        <f>1366 / 86400</f>
        <v>1.5810185185185184E-2</v>
      </c>
    </row>
    <row r="1317" spans="1:12" x14ac:dyDescent="0.25">
      <c r="A1317" s="3">
        <v>45701.631122685183</v>
      </c>
      <c r="B1317" t="s">
        <v>118</v>
      </c>
      <c r="C1317" s="3">
        <v>45701.631342592591</v>
      </c>
      <c r="D1317" t="s">
        <v>118</v>
      </c>
      <c r="E1317" s="4">
        <v>0</v>
      </c>
      <c r="F1317" s="4">
        <v>63077.175000000003</v>
      </c>
      <c r="G1317" s="4">
        <v>63077.175000000003</v>
      </c>
      <c r="H1317" s="5">
        <f>0 / 86400</f>
        <v>0</v>
      </c>
      <c r="I1317" t="s">
        <v>91</v>
      </c>
      <c r="J1317" t="s">
        <v>91</v>
      </c>
      <c r="K1317" s="5">
        <f>19 / 86400</f>
        <v>2.199074074074074E-4</v>
      </c>
      <c r="L1317" s="5">
        <f>124 / 86400</f>
        <v>1.4351851851851852E-3</v>
      </c>
    </row>
    <row r="1318" spans="1:12" x14ac:dyDescent="0.25">
      <c r="A1318" s="3">
        <v>45701.632777777777</v>
      </c>
      <c r="B1318" t="s">
        <v>118</v>
      </c>
      <c r="C1318" s="3">
        <v>45701.633020833338</v>
      </c>
      <c r="D1318" t="s">
        <v>118</v>
      </c>
      <c r="E1318" s="4">
        <v>6.0000000000000001E-3</v>
      </c>
      <c r="F1318" s="4">
        <v>63077.175000000003</v>
      </c>
      <c r="G1318" s="4">
        <v>63077.180999999997</v>
      </c>
      <c r="H1318" s="5">
        <f>19 / 86400</f>
        <v>2.199074074074074E-4</v>
      </c>
      <c r="I1318" t="s">
        <v>91</v>
      </c>
      <c r="J1318" t="s">
        <v>125</v>
      </c>
      <c r="K1318" s="5">
        <f>20 / 86400</f>
        <v>2.3148148148148149E-4</v>
      </c>
      <c r="L1318" s="5">
        <f>2221 / 86400</f>
        <v>2.5706018518518517E-2</v>
      </c>
    </row>
    <row r="1319" spans="1:12" x14ac:dyDescent="0.25">
      <c r="A1319" s="3">
        <v>45701.658726851849</v>
      </c>
      <c r="B1319" t="s">
        <v>118</v>
      </c>
      <c r="C1319" s="3">
        <v>45701.659236111111</v>
      </c>
      <c r="D1319" t="s">
        <v>118</v>
      </c>
      <c r="E1319" s="4">
        <v>2.1000000000000001E-2</v>
      </c>
      <c r="F1319" s="4">
        <v>63077.180999999997</v>
      </c>
      <c r="G1319" s="4">
        <v>63077.201999999997</v>
      </c>
      <c r="H1319" s="5">
        <f>0 / 86400</f>
        <v>0</v>
      </c>
      <c r="I1319" t="s">
        <v>156</v>
      </c>
      <c r="J1319" t="s">
        <v>110</v>
      </c>
      <c r="K1319" s="5">
        <f>44 / 86400</f>
        <v>5.0925925925925921E-4</v>
      </c>
      <c r="L1319" s="5">
        <f>2852 / 86400</f>
        <v>3.3009259259259259E-2</v>
      </c>
    </row>
    <row r="1320" spans="1:12" x14ac:dyDescent="0.25">
      <c r="A1320" s="3">
        <v>45701.692245370374</v>
      </c>
      <c r="B1320" t="s">
        <v>118</v>
      </c>
      <c r="C1320" s="3">
        <v>45701.696458333332</v>
      </c>
      <c r="D1320" t="s">
        <v>424</v>
      </c>
      <c r="E1320" s="4">
        <v>0.28000000000000003</v>
      </c>
      <c r="F1320" s="4">
        <v>63077.201999999997</v>
      </c>
      <c r="G1320" s="4">
        <v>63077.482000000004</v>
      </c>
      <c r="H1320" s="5">
        <f>199 / 86400</f>
        <v>2.3032407407407407E-3</v>
      </c>
      <c r="I1320" t="s">
        <v>120</v>
      </c>
      <c r="J1320" t="s">
        <v>124</v>
      </c>
      <c r="K1320" s="5">
        <f>364 / 86400</f>
        <v>4.2129629629629626E-3</v>
      </c>
      <c r="L1320" s="5">
        <f>186 / 86400</f>
        <v>2.1527777777777778E-3</v>
      </c>
    </row>
    <row r="1321" spans="1:12" x14ac:dyDescent="0.25">
      <c r="A1321" s="3">
        <v>45701.698611111111</v>
      </c>
      <c r="B1321" t="s">
        <v>424</v>
      </c>
      <c r="C1321" s="3">
        <v>45701.701631944445</v>
      </c>
      <c r="D1321" t="s">
        <v>104</v>
      </c>
      <c r="E1321" s="4">
        <v>0.86399999999999999</v>
      </c>
      <c r="F1321" s="4">
        <v>63077.482000000004</v>
      </c>
      <c r="G1321" s="4">
        <v>63078.345999999998</v>
      </c>
      <c r="H1321" s="5">
        <f>79 / 86400</f>
        <v>9.1435185185185185E-4</v>
      </c>
      <c r="I1321" t="s">
        <v>148</v>
      </c>
      <c r="J1321" t="s">
        <v>120</v>
      </c>
      <c r="K1321" s="5">
        <f>261 / 86400</f>
        <v>3.0208333333333333E-3</v>
      </c>
      <c r="L1321" s="5">
        <f>542 / 86400</f>
        <v>6.2731481481481484E-3</v>
      </c>
    </row>
    <row r="1322" spans="1:12" x14ac:dyDescent="0.25">
      <c r="A1322" s="3">
        <v>45701.707905092597</v>
      </c>
      <c r="B1322" t="s">
        <v>104</v>
      </c>
      <c r="C1322" s="3">
        <v>45701.72010416667</v>
      </c>
      <c r="D1322" t="s">
        <v>303</v>
      </c>
      <c r="E1322" s="4">
        <v>4.3380000000000001</v>
      </c>
      <c r="F1322" s="4">
        <v>63078.345999999998</v>
      </c>
      <c r="G1322" s="4">
        <v>63082.684000000001</v>
      </c>
      <c r="H1322" s="5">
        <f>359 / 86400</f>
        <v>4.1550925925925922E-3</v>
      </c>
      <c r="I1322" t="s">
        <v>291</v>
      </c>
      <c r="J1322" t="s">
        <v>29</v>
      </c>
      <c r="K1322" s="5">
        <f>1054 / 86400</f>
        <v>1.2199074074074074E-2</v>
      </c>
      <c r="L1322" s="5">
        <f>9 / 86400</f>
        <v>1.0416666666666667E-4</v>
      </c>
    </row>
    <row r="1323" spans="1:12" x14ac:dyDescent="0.25">
      <c r="A1323" s="3">
        <v>45701.720208333332</v>
      </c>
      <c r="B1323" t="s">
        <v>303</v>
      </c>
      <c r="C1323" s="3">
        <v>45701.99998842593</v>
      </c>
      <c r="D1323" t="s">
        <v>117</v>
      </c>
      <c r="E1323" s="4">
        <v>119.74</v>
      </c>
      <c r="F1323" s="4">
        <v>63082.684000000001</v>
      </c>
      <c r="G1323" s="4">
        <v>63202.423999999999</v>
      </c>
      <c r="H1323" s="5">
        <f>9129 / 86400</f>
        <v>0.10565972222222222</v>
      </c>
      <c r="I1323" t="s">
        <v>65</v>
      </c>
      <c r="J1323" t="s">
        <v>76</v>
      </c>
      <c r="K1323" s="5">
        <f>24173 / 86400</f>
        <v>0.27978009259259257</v>
      </c>
      <c r="L1323" s="5">
        <f>0 / 86400</f>
        <v>0</v>
      </c>
    </row>
    <row r="1324" spans="1:12" x14ac:dyDescent="0.25">
      <c r="A1324" s="11"/>
      <c r="B1324" s="11"/>
      <c r="C1324" s="11"/>
      <c r="D1324" s="11"/>
      <c r="E1324" s="11"/>
      <c r="F1324" s="11"/>
      <c r="G1324" s="11"/>
      <c r="H1324" s="11"/>
      <c r="I1324" s="11"/>
      <c r="J1324" s="11"/>
    </row>
    <row r="1325" spans="1:12" x14ac:dyDescent="0.25">
      <c r="A1325" s="11"/>
      <c r="B1325" s="11"/>
      <c r="C1325" s="11"/>
      <c r="D1325" s="11"/>
      <c r="E1325" s="11"/>
      <c r="F1325" s="11"/>
      <c r="G1325" s="11"/>
      <c r="H1325" s="11"/>
      <c r="I1325" s="11"/>
      <c r="J1325" s="11"/>
    </row>
    <row r="1326" spans="1:12" s="10" customFormat="1" ht="20.100000000000001" customHeight="1" x14ac:dyDescent="0.35">
      <c r="A1326" s="12" t="s">
        <v>485</v>
      </c>
      <c r="B1326" s="12"/>
      <c r="C1326" s="12"/>
      <c r="D1326" s="12"/>
      <c r="E1326" s="12"/>
      <c r="F1326" s="12"/>
      <c r="G1326" s="12"/>
      <c r="H1326" s="12"/>
      <c r="I1326" s="12"/>
      <c r="J1326" s="12"/>
    </row>
    <row r="1327" spans="1:12" x14ac:dyDescent="0.25">
      <c r="A1327" s="11"/>
      <c r="B1327" s="11"/>
      <c r="C1327" s="11"/>
      <c r="D1327" s="11"/>
      <c r="E1327" s="11"/>
      <c r="F1327" s="11"/>
      <c r="G1327" s="11"/>
      <c r="H1327" s="11"/>
      <c r="I1327" s="11"/>
      <c r="J1327" s="11"/>
    </row>
    <row r="1328" spans="1:12" ht="30" x14ac:dyDescent="0.25">
      <c r="A1328" s="2" t="s">
        <v>5</v>
      </c>
      <c r="B1328" s="2" t="s">
        <v>6</v>
      </c>
      <c r="C1328" s="2" t="s">
        <v>7</v>
      </c>
      <c r="D1328" s="2" t="s">
        <v>8</v>
      </c>
      <c r="E1328" s="2" t="s">
        <v>9</v>
      </c>
      <c r="F1328" s="2" t="s">
        <v>10</v>
      </c>
      <c r="G1328" s="2" t="s">
        <v>11</v>
      </c>
      <c r="H1328" s="2" t="s">
        <v>12</v>
      </c>
      <c r="I1328" s="2" t="s">
        <v>13</v>
      </c>
      <c r="J1328" s="2" t="s">
        <v>14</v>
      </c>
      <c r="K1328" s="2" t="s">
        <v>15</v>
      </c>
      <c r="L1328" s="2" t="s">
        <v>16</v>
      </c>
    </row>
    <row r="1329" spans="1:12" x14ac:dyDescent="0.25">
      <c r="A1329" s="3">
        <v>45701.456469907411</v>
      </c>
      <c r="B1329" t="s">
        <v>118</v>
      </c>
      <c r="C1329" s="3">
        <v>45701.99998842593</v>
      </c>
      <c r="D1329" t="s">
        <v>119</v>
      </c>
      <c r="E1329" s="4">
        <v>158.70400000000001</v>
      </c>
      <c r="F1329" s="4">
        <v>291648.19400000002</v>
      </c>
      <c r="G1329" s="4">
        <v>291806.89799999999</v>
      </c>
      <c r="H1329" s="5">
        <f>25457 / 86400</f>
        <v>0.29464120370370372</v>
      </c>
      <c r="I1329" t="s">
        <v>50</v>
      </c>
      <c r="J1329" t="s">
        <v>120</v>
      </c>
      <c r="K1329" s="5">
        <f>46960 / 86400</f>
        <v>0.54351851851851851</v>
      </c>
      <c r="L1329" s="5">
        <f>39439 / 86400</f>
        <v>0.45646990740740739</v>
      </c>
    </row>
    <row r="1330" spans="1:12" x14ac:dyDescent="0.25">
      <c r="A1330" s="11"/>
      <c r="B1330" s="11"/>
      <c r="C1330" s="11"/>
      <c r="D1330" s="11"/>
      <c r="E1330" s="11"/>
      <c r="F1330" s="11"/>
      <c r="G1330" s="11"/>
      <c r="H1330" s="11"/>
      <c r="I1330" s="11"/>
      <c r="J1330" s="11"/>
    </row>
    <row r="1331" spans="1:12" x14ac:dyDescent="0.25">
      <c r="A1331" s="11" t="s">
        <v>122</v>
      </c>
      <c r="B1331" s="11"/>
      <c r="C1331" s="11"/>
      <c r="D1331" s="11"/>
      <c r="E1331" s="11"/>
      <c r="F1331" s="11"/>
      <c r="G1331" s="11"/>
      <c r="H1331" s="11"/>
      <c r="I1331" s="11"/>
      <c r="J1331" s="11"/>
    </row>
  </sheetData>
  <mergeCells count="253">
    <mergeCell ref="A1:J1"/>
    <mergeCell ref="A2:J2"/>
    <mergeCell ref="A3:J3"/>
    <mergeCell ref="A4:J4"/>
    <mergeCell ref="A5:J5"/>
    <mergeCell ref="A69:J69"/>
    <mergeCell ref="A70:J70"/>
    <mergeCell ref="A71:J71"/>
    <mergeCell ref="A72:J72"/>
    <mergeCell ref="A73:J73"/>
    <mergeCell ref="A74:J74"/>
    <mergeCell ref="A91:J91"/>
    <mergeCell ref="A92:J92"/>
    <mergeCell ref="A93:J93"/>
    <mergeCell ref="A94:J94"/>
    <mergeCell ref="A113:J113"/>
    <mergeCell ref="A114:J114"/>
    <mergeCell ref="A115:J115"/>
    <mergeCell ref="A116:J116"/>
    <mergeCell ref="A135:J135"/>
    <mergeCell ref="A136:J136"/>
    <mergeCell ref="A137:J137"/>
    <mergeCell ref="A138:J138"/>
    <mergeCell ref="A149:J149"/>
    <mergeCell ref="A150:J150"/>
    <mergeCell ref="A151:J151"/>
    <mergeCell ref="A152:J152"/>
    <mergeCell ref="A164:J164"/>
    <mergeCell ref="A165:J165"/>
    <mergeCell ref="A166:J166"/>
    <mergeCell ref="A167:J167"/>
    <mergeCell ref="A182:J182"/>
    <mergeCell ref="A183:J183"/>
    <mergeCell ref="A184:J184"/>
    <mergeCell ref="A185:J185"/>
    <mergeCell ref="A205:J205"/>
    <mergeCell ref="A206:J206"/>
    <mergeCell ref="A207:J207"/>
    <mergeCell ref="A208:J208"/>
    <mergeCell ref="A496:J496"/>
    <mergeCell ref="A497:J497"/>
    <mergeCell ref="A498:J498"/>
    <mergeCell ref="A499:J499"/>
    <mergeCell ref="A504:J504"/>
    <mergeCell ref="A505:J505"/>
    <mergeCell ref="A506:J506"/>
    <mergeCell ref="A507:J507"/>
    <mergeCell ref="A516:J516"/>
    <mergeCell ref="A517:J517"/>
    <mergeCell ref="A518:J518"/>
    <mergeCell ref="A519:J519"/>
    <mergeCell ref="A542:J542"/>
    <mergeCell ref="A543:J543"/>
    <mergeCell ref="A544:J544"/>
    <mergeCell ref="A545:J545"/>
    <mergeCell ref="A561:J561"/>
    <mergeCell ref="A562:J562"/>
    <mergeCell ref="A563:J563"/>
    <mergeCell ref="A564:J564"/>
    <mergeCell ref="A580:J580"/>
    <mergeCell ref="A581:J581"/>
    <mergeCell ref="A582:J582"/>
    <mergeCell ref="A583:J583"/>
    <mergeCell ref="A600:J600"/>
    <mergeCell ref="A601:J601"/>
    <mergeCell ref="A602:J602"/>
    <mergeCell ref="A603:J603"/>
    <mergeCell ref="A617:J617"/>
    <mergeCell ref="A618:J618"/>
    <mergeCell ref="A619:J619"/>
    <mergeCell ref="A620:J620"/>
    <mergeCell ref="A637:J637"/>
    <mergeCell ref="A638:J638"/>
    <mergeCell ref="A639:J639"/>
    <mergeCell ref="A640:J640"/>
    <mergeCell ref="A651:J651"/>
    <mergeCell ref="A652:J652"/>
    <mergeCell ref="A653:J653"/>
    <mergeCell ref="A654:J654"/>
    <mergeCell ref="A668:J668"/>
    <mergeCell ref="A669:J669"/>
    <mergeCell ref="A670:J670"/>
    <mergeCell ref="A671:J671"/>
    <mergeCell ref="A691:J691"/>
    <mergeCell ref="A692:J692"/>
    <mergeCell ref="A693:J693"/>
    <mergeCell ref="A694:J694"/>
    <mergeCell ref="A701:J701"/>
    <mergeCell ref="A702:J702"/>
    <mergeCell ref="A703:J703"/>
    <mergeCell ref="A704:J704"/>
    <mergeCell ref="A713:J713"/>
    <mergeCell ref="A714:J714"/>
    <mergeCell ref="A715:J715"/>
    <mergeCell ref="A716:J716"/>
    <mergeCell ref="A732:J732"/>
    <mergeCell ref="A733:J733"/>
    <mergeCell ref="A734:J734"/>
    <mergeCell ref="A735:J735"/>
    <mergeCell ref="A745:J745"/>
    <mergeCell ref="A746:J746"/>
    <mergeCell ref="A747:J747"/>
    <mergeCell ref="A748:J748"/>
    <mergeCell ref="A754:J754"/>
    <mergeCell ref="A755:J755"/>
    <mergeCell ref="A756:J756"/>
    <mergeCell ref="A757:J757"/>
    <mergeCell ref="A772:J772"/>
    <mergeCell ref="A773:J773"/>
    <mergeCell ref="A774:J774"/>
    <mergeCell ref="A775:J775"/>
    <mergeCell ref="A784:J784"/>
    <mergeCell ref="A785:J785"/>
    <mergeCell ref="A786:J786"/>
    <mergeCell ref="A787:J787"/>
    <mergeCell ref="A803:J803"/>
    <mergeCell ref="A804:J804"/>
    <mergeCell ref="A805:J805"/>
    <mergeCell ref="A806:J806"/>
    <mergeCell ref="A818:J818"/>
    <mergeCell ref="A819:J819"/>
    <mergeCell ref="A820:J820"/>
    <mergeCell ref="A821:J821"/>
    <mergeCell ref="A839:J839"/>
    <mergeCell ref="A840:J840"/>
    <mergeCell ref="A841:J841"/>
    <mergeCell ref="A842:J842"/>
    <mergeCell ref="A853:J853"/>
    <mergeCell ref="A854:J854"/>
    <mergeCell ref="A855:J855"/>
    <mergeCell ref="A856:J856"/>
    <mergeCell ref="A859:J859"/>
    <mergeCell ref="A860:J860"/>
    <mergeCell ref="A861:J861"/>
    <mergeCell ref="A862:J862"/>
    <mergeCell ref="A881:J881"/>
    <mergeCell ref="A882:J882"/>
    <mergeCell ref="A883:J883"/>
    <mergeCell ref="A884:J884"/>
    <mergeCell ref="A892:J892"/>
    <mergeCell ref="A893:J893"/>
    <mergeCell ref="A894:J894"/>
    <mergeCell ref="A895:J895"/>
    <mergeCell ref="A903:J903"/>
    <mergeCell ref="A904:J904"/>
    <mergeCell ref="A905:J905"/>
    <mergeCell ref="A906:J906"/>
    <mergeCell ref="A916:J916"/>
    <mergeCell ref="A917:J917"/>
    <mergeCell ref="A918:J918"/>
    <mergeCell ref="A919:J919"/>
    <mergeCell ref="A937:J937"/>
    <mergeCell ref="A938:J938"/>
    <mergeCell ref="A939:J939"/>
    <mergeCell ref="A940:J940"/>
    <mergeCell ref="A951:J951"/>
    <mergeCell ref="A952:J952"/>
    <mergeCell ref="A953:J953"/>
    <mergeCell ref="A954:J954"/>
    <mergeCell ref="A963:J963"/>
    <mergeCell ref="A964:J964"/>
    <mergeCell ref="A965:J965"/>
    <mergeCell ref="A966:J966"/>
    <mergeCell ref="A984:J984"/>
    <mergeCell ref="A985:J985"/>
    <mergeCell ref="A986:J986"/>
    <mergeCell ref="A987:J987"/>
    <mergeCell ref="A1004:J1004"/>
    <mergeCell ref="A1005:J1005"/>
    <mergeCell ref="A1006:J1006"/>
    <mergeCell ref="A1007:J1007"/>
    <mergeCell ref="A1020:J1020"/>
    <mergeCell ref="A1021:J1021"/>
    <mergeCell ref="A1022:J1022"/>
    <mergeCell ref="A1023:J1023"/>
    <mergeCell ref="A1030:J1030"/>
    <mergeCell ref="A1031:J1031"/>
    <mergeCell ref="A1032:J1032"/>
    <mergeCell ref="A1033:J1033"/>
    <mergeCell ref="A1041:J1041"/>
    <mergeCell ref="A1042:J1042"/>
    <mergeCell ref="A1043:J1043"/>
    <mergeCell ref="A1044:J1044"/>
    <mergeCell ref="A1058:J1058"/>
    <mergeCell ref="A1059:J1059"/>
    <mergeCell ref="A1060:J1060"/>
    <mergeCell ref="A1061:J1061"/>
    <mergeCell ref="A1074:J1074"/>
    <mergeCell ref="A1075:J1075"/>
    <mergeCell ref="A1076:J1076"/>
    <mergeCell ref="A1077:J1077"/>
    <mergeCell ref="A1096:J1096"/>
    <mergeCell ref="A1097:J1097"/>
    <mergeCell ref="A1098:J1098"/>
    <mergeCell ref="A1099:J1099"/>
    <mergeCell ref="A1122:J1122"/>
    <mergeCell ref="A1123:J1123"/>
    <mergeCell ref="A1124:J1124"/>
    <mergeCell ref="A1125:J1125"/>
    <mergeCell ref="A1134:J1134"/>
    <mergeCell ref="A1135:J1135"/>
    <mergeCell ref="A1136:J1136"/>
    <mergeCell ref="A1137:J1137"/>
    <mergeCell ref="A1159:J1159"/>
    <mergeCell ref="A1160:J1160"/>
    <mergeCell ref="A1161:J1161"/>
    <mergeCell ref="A1162:J1162"/>
    <mergeCell ref="A1176:J1176"/>
    <mergeCell ref="A1177:J1177"/>
    <mergeCell ref="A1178:J1178"/>
    <mergeCell ref="A1179:J1179"/>
    <mergeCell ref="A1193:J1193"/>
    <mergeCell ref="A1194:J1194"/>
    <mergeCell ref="A1195:J1195"/>
    <mergeCell ref="A1196:J1196"/>
    <mergeCell ref="A1205:J1205"/>
    <mergeCell ref="A1206:J1206"/>
    <mergeCell ref="A1207:J1207"/>
    <mergeCell ref="A1208:J1208"/>
    <mergeCell ref="A1217:J1217"/>
    <mergeCell ref="A1218:J1218"/>
    <mergeCell ref="A1219:J1219"/>
    <mergeCell ref="A1220:J1220"/>
    <mergeCell ref="A1230:J1230"/>
    <mergeCell ref="A1231:J1231"/>
    <mergeCell ref="A1232:J1232"/>
    <mergeCell ref="A1233:J1233"/>
    <mergeCell ref="A1237:J1237"/>
    <mergeCell ref="A1238:J1238"/>
    <mergeCell ref="A1239:J1239"/>
    <mergeCell ref="A1240:J1240"/>
    <mergeCell ref="A1266:J1266"/>
    <mergeCell ref="A1267:J1267"/>
    <mergeCell ref="A1268:J1268"/>
    <mergeCell ref="A1269:J1269"/>
    <mergeCell ref="A1277:J1277"/>
    <mergeCell ref="A1278:J1278"/>
    <mergeCell ref="A1279:J1279"/>
    <mergeCell ref="A1280:J1280"/>
    <mergeCell ref="A1291:J1291"/>
    <mergeCell ref="A1292:J1292"/>
    <mergeCell ref="A1327:J1327"/>
    <mergeCell ref="A1330:J1330"/>
    <mergeCell ref="A1331:J1331"/>
    <mergeCell ref="A1293:J1293"/>
    <mergeCell ref="A1294:J1294"/>
    <mergeCell ref="A1307:J1307"/>
    <mergeCell ref="A1308:J1308"/>
    <mergeCell ref="A1309:J1309"/>
    <mergeCell ref="A1310:J1310"/>
    <mergeCell ref="A1324:J1324"/>
    <mergeCell ref="A1325:J1325"/>
    <mergeCell ref="A1326:J1326"/>
  </mergeCell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2025-09-22T19:52:28Z</dcterms:created>
  <dcterms:modified xsi:type="dcterms:W3CDTF">2025-09-23T05:32:59Z</dcterms:modified>
</cp:coreProperties>
</file>