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codeName="ThisWorkbook"/>
  <xr:revisionPtr revIDLastSave="0" documentId="13_ncr:1_{EC74258E-0E7A-420B-9909-DF66B8999495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430" i="1" l="1"/>
  <c r="K1430" i="1"/>
  <c r="H1430" i="1"/>
  <c r="L1429" i="1"/>
  <c r="K1429" i="1"/>
  <c r="H1429" i="1"/>
  <c r="L1428" i="1"/>
  <c r="K1428" i="1"/>
  <c r="H1428" i="1"/>
  <c r="L1427" i="1"/>
  <c r="K1427" i="1"/>
  <c r="H1427" i="1"/>
  <c r="L1426" i="1"/>
  <c r="K1426" i="1"/>
  <c r="H1426" i="1"/>
  <c r="L1420" i="1"/>
  <c r="K1420" i="1"/>
  <c r="H1420" i="1"/>
  <c r="L1419" i="1"/>
  <c r="K1419" i="1"/>
  <c r="H1419" i="1"/>
  <c r="L1418" i="1"/>
  <c r="K1418" i="1"/>
  <c r="H1418" i="1"/>
  <c r="L1417" i="1"/>
  <c r="K1417" i="1"/>
  <c r="H1417" i="1"/>
  <c r="L1416" i="1"/>
  <c r="K1416" i="1"/>
  <c r="H1416" i="1"/>
  <c r="L1415" i="1"/>
  <c r="K1415" i="1"/>
  <c r="H1415" i="1"/>
  <c r="L1414" i="1"/>
  <c r="K1414" i="1"/>
  <c r="H1414" i="1"/>
  <c r="L1408" i="1"/>
  <c r="K1408" i="1"/>
  <c r="H1408" i="1"/>
  <c r="L1407" i="1"/>
  <c r="K1407" i="1"/>
  <c r="H1407" i="1"/>
  <c r="L1406" i="1"/>
  <c r="K1406" i="1"/>
  <c r="H1406" i="1"/>
  <c r="L1405" i="1"/>
  <c r="K1405" i="1"/>
  <c r="H1405" i="1"/>
  <c r="L1404" i="1"/>
  <c r="K1404" i="1"/>
  <c r="H1404" i="1"/>
  <c r="L1403" i="1"/>
  <c r="K1403" i="1"/>
  <c r="H1403" i="1"/>
  <c r="L1402" i="1"/>
  <c r="K1402" i="1"/>
  <c r="H1402" i="1"/>
  <c r="L1401" i="1"/>
  <c r="K1401" i="1"/>
  <c r="H1401" i="1"/>
  <c r="L1400" i="1"/>
  <c r="K1400" i="1"/>
  <c r="H1400" i="1"/>
  <c r="L1394" i="1"/>
  <c r="K1394" i="1"/>
  <c r="H1394" i="1"/>
  <c r="L1393" i="1"/>
  <c r="K1393" i="1"/>
  <c r="H1393" i="1"/>
  <c r="L1392" i="1"/>
  <c r="K1392" i="1"/>
  <c r="H1392" i="1"/>
  <c r="L1391" i="1"/>
  <c r="K1391" i="1"/>
  <c r="H1391" i="1"/>
  <c r="L1390" i="1"/>
  <c r="K1390" i="1"/>
  <c r="H1390" i="1"/>
  <c r="L1389" i="1"/>
  <c r="K1389" i="1"/>
  <c r="H1389" i="1"/>
  <c r="L1388" i="1"/>
  <c r="K1388" i="1"/>
  <c r="H1388" i="1"/>
  <c r="L1387" i="1"/>
  <c r="K1387" i="1"/>
  <c r="H1387" i="1"/>
  <c r="L1381" i="1"/>
  <c r="K1381" i="1"/>
  <c r="H1381" i="1"/>
  <c r="L1380" i="1"/>
  <c r="K1380" i="1"/>
  <c r="H1380" i="1"/>
  <c r="L1379" i="1"/>
  <c r="K1379" i="1"/>
  <c r="H1379" i="1"/>
  <c r="L1378" i="1"/>
  <c r="K1378" i="1"/>
  <c r="H1378" i="1"/>
  <c r="L1377" i="1"/>
  <c r="K1377" i="1"/>
  <c r="H1377" i="1"/>
  <c r="L1376" i="1"/>
  <c r="K1376" i="1"/>
  <c r="H1376" i="1"/>
  <c r="L1375" i="1"/>
  <c r="K1375" i="1"/>
  <c r="H1375" i="1"/>
  <c r="L1374" i="1"/>
  <c r="K1374" i="1"/>
  <c r="H1374" i="1"/>
  <c r="L1368" i="1"/>
  <c r="K1368" i="1"/>
  <c r="H1368" i="1"/>
  <c r="L1367" i="1"/>
  <c r="K1367" i="1"/>
  <c r="H1367" i="1"/>
  <c r="L1366" i="1"/>
  <c r="K1366" i="1"/>
  <c r="H1366" i="1"/>
  <c r="L1365" i="1"/>
  <c r="K1365" i="1"/>
  <c r="H1365" i="1"/>
  <c r="L1364" i="1"/>
  <c r="K1364" i="1"/>
  <c r="H1364" i="1"/>
  <c r="L1363" i="1"/>
  <c r="K1363" i="1"/>
  <c r="H1363" i="1"/>
  <c r="L1362" i="1"/>
  <c r="K1362" i="1"/>
  <c r="H1362" i="1"/>
  <c r="L1361" i="1"/>
  <c r="K1361" i="1"/>
  <c r="H1361" i="1"/>
  <c r="L1360" i="1"/>
  <c r="K1360" i="1"/>
  <c r="H1360" i="1"/>
  <c r="L1359" i="1"/>
  <c r="K1359" i="1"/>
  <c r="H1359" i="1"/>
  <c r="L1358" i="1"/>
  <c r="K1358" i="1"/>
  <c r="H1358" i="1"/>
  <c r="L1357" i="1"/>
  <c r="K1357" i="1"/>
  <c r="H1357" i="1"/>
  <c r="L1356" i="1"/>
  <c r="K1356" i="1"/>
  <c r="H1356" i="1"/>
  <c r="L1350" i="1"/>
  <c r="K1350" i="1"/>
  <c r="H1350" i="1"/>
  <c r="L1349" i="1"/>
  <c r="K1349" i="1"/>
  <c r="H1349" i="1"/>
  <c r="L1348" i="1"/>
  <c r="K1348" i="1"/>
  <c r="H1348" i="1"/>
  <c r="L1347" i="1"/>
  <c r="K1347" i="1"/>
  <c r="H1347" i="1"/>
  <c r="L1346" i="1"/>
  <c r="K1346" i="1"/>
  <c r="H1346" i="1"/>
  <c r="L1345" i="1"/>
  <c r="K1345" i="1"/>
  <c r="H1345" i="1"/>
  <c r="L1344" i="1"/>
  <c r="K1344" i="1"/>
  <c r="H1344" i="1"/>
  <c r="L1343" i="1"/>
  <c r="K1343" i="1"/>
  <c r="H1343" i="1"/>
  <c r="L1342" i="1"/>
  <c r="K1342" i="1"/>
  <c r="H1342" i="1"/>
  <c r="L1341" i="1"/>
  <c r="K1341" i="1"/>
  <c r="H1341" i="1"/>
  <c r="L1340" i="1"/>
  <c r="K1340" i="1"/>
  <c r="H1340" i="1"/>
  <c r="L1339" i="1"/>
  <c r="K1339" i="1"/>
  <c r="H1339" i="1"/>
  <c r="L1338" i="1"/>
  <c r="K1338" i="1"/>
  <c r="H1338" i="1"/>
  <c r="L1337" i="1"/>
  <c r="K1337" i="1"/>
  <c r="H1337" i="1"/>
  <c r="L1331" i="1"/>
  <c r="K1331" i="1"/>
  <c r="H1331" i="1"/>
  <c r="L1330" i="1"/>
  <c r="K1330" i="1"/>
  <c r="H1330" i="1"/>
  <c r="L1329" i="1"/>
  <c r="K1329" i="1"/>
  <c r="H1329" i="1"/>
  <c r="L1328" i="1"/>
  <c r="K1328" i="1"/>
  <c r="H1328" i="1"/>
  <c r="L1327" i="1"/>
  <c r="K1327" i="1"/>
  <c r="H1327" i="1"/>
  <c r="L1326" i="1"/>
  <c r="K1326" i="1"/>
  <c r="H1326" i="1"/>
  <c r="L1325" i="1"/>
  <c r="K1325" i="1"/>
  <c r="H1325" i="1"/>
  <c r="L1324" i="1"/>
  <c r="K1324" i="1"/>
  <c r="H1324" i="1"/>
  <c r="L1323" i="1"/>
  <c r="K1323" i="1"/>
  <c r="H1323" i="1"/>
  <c r="L1317" i="1"/>
  <c r="K1317" i="1"/>
  <c r="H1317" i="1"/>
  <c r="L1316" i="1"/>
  <c r="K1316" i="1"/>
  <c r="H1316" i="1"/>
  <c r="L1315" i="1"/>
  <c r="K1315" i="1"/>
  <c r="H1315" i="1"/>
  <c r="L1314" i="1"/>
  <c r="K1314" i="1"/>
  <c r="H1314" i="1"/>
  <c r="L1313" i="1"/>
  <c r="K1313" i="1"/>
  <c r="H1313" i="1"/>
  <c r="L1312" i="1"/>
  <c r="K1312" i="1"/>
  <c r="H1312" i="1"/>
  <c r="L1311" i="1"/>
  <c r="K1311" i="1"/>
  <c r="H1311" i="1"/>
  <c r="L1310" i="1"/>
  <c r="K1310" i="1"/>
  <c r="H1310" i="1"/>
  <c r="L1304" i="1"/>
  <c r="K1304" i="1"/>
  <c r="H1304" i="1"/>
  <c r="L1303" i="1"/>
  <c r="K1303" i="1"/>
  <c r="H1303" i="1"/>
  <c r="L1302" i="1"/>
  <c r="K1302" i="1"/>
  <c r="H1302" i="1"/>
  <c r="L1301" i="1"/>
  <c r="K1301" i="1"/>
  <c r="H1301" i="1"/>
  <c r="L1300" i="1"/>
  <c r="K1300" i="1"/>
  <c r="H1300" i="1"/>
  <c r="L1294" i="1"/>
  <c r="K1294" i="1"/>
  <c r="H1294" i="1"/>
  <c r="L1293" i="1"/>
  <c r="K1293" i="1"/>
  <c r="H1293" i="1"/>
  <c r="L1292" i="1"/>
  <c r="K1292" i="1"/>
  <c r="H1292" i="1"/>
  <c r="L1291" i="1"/>
  <c r="K1291" i="1"/>
  <c r="H1291" i="1"/>
  <c r="L1290" i="1"/>
  <c r="K1290" i="1"/>
  <c r="H1290" i="1"/>
  <c r="L1289" i="1"/>
  <c r="K1289" i="1"/>
  <c r="H1289" i="1"/>
  <c r="L1288" i="1"/>
  <c r="K1288" i="1"/>
  <c r="H1288" i="1"/>
  <c r="L1287" i="1"/>
  <c r="K1287" i="1"/>
  <c r="H1287" i="1"/>
  <c r="L1281" i="1"/>
  <c r="K1281" i="1"/>
  <c r="H1281" i="1"/>
  <c r="L1280" i="1"/>
  <c r="K1280" i="1"/>
  <c r="H1280" i="1"/>
  <c r="L1279" i="1"/>
  <c r="K1279" i="1"/>
  <c r="H1279" i="1"/>
  <c r="L1278" i="1"/>
  <c r="K1278" i="1"/>
  <c r="H1278" i="1"/>
  <c r="L1277" i="1"/>
  <c r="K1277" i="1"/>
  <c r="H1277" i="1"/>
  <c r="L1271" i="1"/>
  <c r="K1271" i="1"/>
  <c r="H1271" i="1"/>
  <c r="L1270" i="1"/>
  <c r="K1270" i="1"/>
  <c r="H1270" i="1"/>
  <c r="L1269" i="1"/>
  <c r="K1269" i="1"/>
  <c r="H1269" i="1"/>
  <c r="L1268" i="1"/>
  <c r="K1268" i="1"/>
  <c r="H1268" i="1"/>
  <c r="L1267" i="1"/>
  <c r="K1267" i="1"/>
  <c r="H1267" i="1"/>
  <c r="L1266" i="1"/>
  <c r="K1266" i="1"/>
  <c r="H1266" i="1"/>
  <c r="L1265" i="1"/>
  <c r="K1265" i="1"/>
  <c r="H1265" i="1"/>
  <c r="L1264" i="1"/>
  <c r="K1264" i="1"/>
  <c r="H1264" i="1"/>
  <c r="L1263" i="1"/>
  <c r="K1263" i="1"/>
  <c r="H1263" i="1"/>
  <c r="L1257" i="1"/>
  <c r="K1257" i="1"/>
  <c r="H1257" i="1"/>
  <c r="L1256" i="1"/>
  <c r="K1256" i="1"/>
  <c r="H1256" i="1"/>
  <c r="L1255" i="1"/>
  <c r="K1255" i="1"/>
  <c r="H1255" i="1"/>
  <c r="L1254" i="1"/>
  <c r="K1254" i="1"/>
  <c r="H1254" i="1"/>
  <c r="L1248" i="1"/>
  <c r="K1248" i="1"/>
  <c r="H1248" i="1"/>
  <c r="L1247" i="1"/>
  <c r="K1247" i="1"/>
  <c r="H1247" i="1"/>
  <c r="L1241" i="1"/>
  <c r="K1241" i="1"/>
  <c r="H1241" i="1"/>
  <c r="L1240" i="1"/>
  <c r="K1240" i="1"/>
  <c r="H1240" i="1"/>
  <c r="L1239" i="1"/>
  <c r="K1239" i="1"/>
  <c r="H1239" i="1"/>
  <c r="L1238" i="1"/>
  <c r="K1238" i="1"/>
  <c r="H1238" i="1"/>
  <c r="L1237" i="1"/>
  <c r="K1237" i="1"/>
  <c r="H1237" i="1"/>
  <c r="L1236" i="1"/>
  <c r="K1236" i="1"/>
  <c r="H1236" i="1"/>
  <c r="L1235" i="1"/>
  <c r="K1235" i="1"/>
  <c r="H1235" i="1"/>
  <c r="L1234" i="1"/>
  <c r="K1234" i="1"/>
  <c r="H1234" i="1"/>
  <c r="L1233" i="1"/>
  <c r="K1233" i="1"/>
  <c r="H1233" i="1"/>
  <c r="L1232" i="1"/>
  <c r="K1232" i="1"/>
  <c r="H1232" i="1"/>
  <c r="L1231" i="1"/>
  <c r="K1231" i="1"/>
  <c r="H1231" i="1"/>
  <c r="L1230" i="1"/>
  <c r="K1230" i="1"/>
  <c r="H1230" i="1"/>
  <c r="L1229" i="1"/>
  <c r="K1229" i="1"/>
  <c r="H1229" i="1"/>
  <c r="L1228" i="1"/>
  <c r="K1228" i="1"/>
  <c r="H1228" i="1"/>
  <c r="L1227" i="1"/>
  <c r="K1227" i="1"/>
  <c r="H1227" i="1"/>
  <c r="L1226" i="1"/>
  <c r="K1226" i="1"/>
  <c r="H1226" i="1"/>
  <c r="L1225" i="1"/>
  <c r="K1225" i="1"/>
  <c r="H1225" i="1"/>
  <c r="L1224" i="1"/>
  <c r="K1224" i="1"/>
  <c r="H1224" i="1"/>
  <c r="L1223" i="1"/>
  <c r="K1223" i="1"/>
  <c r="H1223" i="1"/>
  <c r="L1222" i="1"/>
  <c r="K1222" i="1"/>
  <c r="H1222" i="1"/>
  <c r="L1221" i="1"/>
  <c r="K1221" i="1"/>
  <c r="H1221" i="1"/>
  <c r="L1220" i="1"/>
  <c r="K1220" i="1"/>
  <c r="H1220" i="1"/>
  <c r="L1219" i="1"/>
  <c r="K1219" i="1"/>
  <c r="H1219" i="1"/>
  <c r="L1218" i="1"/>
  <c r="K1218" i="1"/>
  <c r="H1218" i="1"/>
  <c r="L1212" i="1"/>
  <c r="K1212" i="1"/>
  <c r="H1212" i="1"/>
  <c r="L1211" i="1"/>
  <c r="K1211" i="1"/>
  <c r="H1211" i="1"/>
  <c r="L1210" i="1"/>
  <c r="K1210" i="1"/>
  <c r="H1210" i="1"/>
  <c r="L1209" i="1"/>
  <c r="K1209" i="1"/>
  <c r="H1209" i="1"/>
  <c r="L1208" i="1"/>
  <c r="K1208" i="1"/>
  <c r="H1208" i="1"/>
  <c r="L1207" i="1"/>
  <c r="K1207" i="1"/>
  <c r="H1207" i="1"/>
  <c r="L1206" i="1"/>
  <c r="K1206" i="1"/>
  <c r="H1206" i="1"/>
  <c r="L1205" i="1"/>
  <c r="K1205" i="1"/>
  <c r="H1205" i="1"/>
  <c r="L1199" i="1"/>
  <c r="K1199" i="1"/>
  <c r="H1199" i="1"/>
  <c r="L1198" i="1"/>
  <c r="K1198" i="1"/>
  <c r="H1198" i="1"/>
  <c r="L1197" i="1"/>
  <c r="K1197" i="1"/>
  <c r="H1197" i="1"/>
  <c r="L1196" i="1"/>
  <c r="K1196" i="1"/>
  <c r="H1196" i="1"/>
  <c r="L1195" i="1"/>
  <c r="K1195" i="1"/>
  <c r="H1195" i="1"/>
  <c r="L1194" i="1"/>
  <c r="K1194" i="1"/>
  <c r="H1194" i="1"/>
  <c r="L1193" i="1"/>
  <c r="K1193" i="1"/>
  <c r="H1193" i="1"/>
  <c r="L1192" i="1"/>
  <c r="K1192" i="1"/>
  <c r="H1192" i="1"/>
  <c r="L1191" i="1"/>
  <c r="K1191" i="1"/>
  <c r="H1191" i="1"/>
  <c r="L1190" i="1"/>
  <c r="K1190" i="1"/>
  <c r="H1190" i="1"/>
  <c r="L1184" i="1"/>
  <c r="K1184" i="1"/>
  <c r="H1184" i="1"/>
  <c r="L1183" i="1"/>
  <c r="K1183" i="1"/>
  <c r="H1183" i="1"/>
  <c r="L1182" i="1"/>
  <c r="K1182" i="1"/>
  <c r="H1182" i="1"/>
  <c r="L1181" i="1"/>
  <c r="K1181" i="1"/>
  <c r="H1181" i="1"/>
  <c r="L1180" i="1"/>
  <c r="K1180" i="1"/>
  <c r="H1180" i="1"/>
  <c r="L1179" i="1"/>
  <c r="K1179" i="1"/>
  <c r="H1179" i="1"/>
  <c r="L1178" i="1"/>
  <c r="K1178" i="1"/>
  <c r="H1178" i="1"/>
  <c r="L1177" i="1"/>
  <c r="K1177" i="1"/>
  <c r="H1177" i="1"/>
  <c r="L1176" i="1"/>
  <c r="K1176" i="1"/>
  <c r="H1176" i="1"/>
  <c r="L1175" i="1"/>
  <c r="K1175" i="1"/>
  <c r="H1175" i="1"/>
  <c r="L1174" i="1"/>
  <c r="K1174" i="1"/>
  <c r="H1174" i="1"/>
  <c r="L1173" i="1"/>
  <c r="K1173" i="1"/>
  <c r="H1173" i="1"/>
  <c r="L1172" i="1"/>
  <c r="K1172" i="1"/>
  <c r="H1172" i="1"/>
  <c r="L1171" i="1"/>
  <c r="K1171" i="1"/>
  <c r="H1171" i="1"/>
  <c r="L1170" i="1"/>
  <c r="K1170" i="1"/>
  <c r="H1170" i="1"/>
  <c r="L1169" i="1"/>
  <c r="K1169" i="1"/>
  <c r="H1169" i="1"/>
  <c r="L1168" i="1"/>
  <c r="K1168" i="1"/>
  <c r="H1168" i="1"/>
  <c r="L1167" i="1"/>
  <c r="K1167" i="1"/>
  <c r="H1167" i="1"/>
  <c r="L1166" i="1"/>
  <c r="K1166" i="1"/>
  <c r="H1166" i="1"/>
  <c r="L1165" i="1"/>
  <c r="K1165" i="1"/>
  <c r="H1165" i="1"/>
  <c r="L1164" i="1"/>
  <c r="K1164" i="1"/>
  <c r="H1164" i="1"/>
  <c r="L1163" i="1"/>
  <c r="K1163" i="1"/>
  <c r="H1163" i="1"/>
  <c r="L1162" i="1"/>
  <c r="K1162" i="1"/>
  <c r="H1162" i="1"/>
  <c r="L1161" i="1"/>
  <c r="K1161" i="1"/>
  <c r="H1161" i="1"/>
  <c r="L1160" i="1"/>
  <c r="K1160" i="1"/>
  <c r="H1160" i="1"/>
  <c r="L1159" i="1"/>
  <c r="K1159" i="1"/>
  <c r="H1159" i="1"/>
  <c r="L1158" i="1"/>
  <c r="K1158" i="1"/>
  <c r="H1158" i="1"/>
  <c r="L1157" i="1"/>
  <c r="K1157" i="1"/>
  <c r="H1157" i="1"/>
  <c r="L1156" i="1"/>
  <c r="K1156" i="1"/>
  <c r="H1156" i="1"/>
  <c r="L1150" i="1"/>
  <c r="K1150" i="1"/>
  <c r="H1150" i="1"/>
  <c r="L1149" i="1"/>
  <c r="K1149" i="1"/>
  <c r="H1149" i="1"/>
  <c r="L1148" i="1"/>
  <c r="K1148" i="1"/>
  <c r="H1148" i="1"/>
  <c r="L1147" i="1"/>
  <c r="K1147" i="1"/>
  <c r="H1147" i="1"/>
  <c r="L1146" i="1"/>
  <c r="K1146" i="1"/>
  <c r="H1146" i="1"/>
  <c r="L1145" i="1"/>
  <c r="K1145" i="1"/>
  <c r="H1145" i="1"/>
  <c r="L1139" i="1"/>
  <c r="K1139" i="1"/>
  <c r="H1139" i="1"/>
  <c r="L1138" i="1"/>
  <c r="K1138" i="1"/>
  <c r="H1138" i="1"/>
  <c r="L1137" i="1"/>
  <c r="K1137" i="1"/>
  <c r="H1137" i="1"/>
  <c r="L1136" i="1"/>
  <c r="K1136" i="1"/>
  <c r="H1136" i="1"/>
  <c r="L1135" i="1"/>
  <c r="K1135" i="1"/>
  <c r="H1135" i="1"/>
  <c r="L1134" i="1"/>
  <c r="K1134" i="1"/>
  <c r="H1134" i="1"/>
  <c r="L1133" i="1"/>
  <c r="K1133" i="1"/>
  <c r="H1133" i="1"/>
  <c r="L1132" i="1"/>
  <c r="K1132" i="1"/>
  <c r="H1132" i="1"/>
  <c r="L1131" i="1"/>
  <c r="K1131" i="1"/>
  <c r="H1131" i="1"/>
  <c r="L1130" i="1"/>
  <c r="K1130" i="1"/>
  <c r="H1130" i="1"/>
  <c r="L1129" i="1"/>
  <c r="K1129" i="1"/>
  <c r="H1129" i="1"/>
  <c r="L1128" i="1"/>
  <c r="K1128" i="1"/>
  <c r="H1128" i="1"/>
  <c r="L1122" i="1"/>
  <c r="K1122" i="1"/>
  <c r="H1122" i="1"/>
  <c r="L1121" i="1"/>
  <c r="K1121" i="1"/>
  <c r="H1121" i="1"/>
  <c r="L1120" i="1"/>
  <c r="K1120" i="1"/>
  <c r="H1120" i="1"/>
  <c r="L1119" i="1"/>
  <c r="K1119" i="1"/>
  <c r="H1119" i="1"/>
  <c r="L1118" i="1"/>
  <c r="K1118" i="1"/>
  <c r="H1118" i="1"/>
  <c r="L1117" i="1"/>
  <c r="K1117" i="1"/>
  <c r="H1117" i="1"/>
  <c r="L1116" i="1"/>
  <c r="K1116" i="1"/>
  <c r="H1116" i="1"/>
  <c r="L1115" i="1"/>
  <c r="K1115" i="1"/>
  <c r="H1115" i="1"/>
  <c r="L1114" i="1"/>
  <c r="K1114" i="1"/>
  <c r="H1114" i="1"/>
  <c r="L1113" i="1"/>
  <c r="K1113" i="1"/>
  <c r="H1113" i="1"/>
  <c r="L1112" i="1"/>
  <c r="K1112" i="1"/>
  <c r="H1112" i="1"/>
  <c r="L1111" i="1"/>
  <c r="K1111" i="1"/>
  <c r="H1111" i="1"/>
  <c r="L1105" i="1"/>
  <c r="K1105" i="1"/>
  <c r="H1105" i="1"/>
  <c r="L1104" i="1"/>
  <c r="K1104" i="1"/>
  <c r="H1104" i="1"/>
  <c r="L1103" i="1"/>
  <c r="K1103" i="1"/>
  <c r="H1103" i="1"/>
  <c r="L1102" i="1"/>
  <c r="K1102" i="1"/>
  <c r="H1102" i="1"/>
  <c r="L1101" i="1"/>
  <c r="K1101" i="1"/>
  <c r="H1101" i="1"/>
  <c r="L1100" i="1"/>
  <c r="K1100" i="1"/>
  <c r="H1100" i="1"/>
  <c r="L1099" i="1"/>
  <c r="K1099" i="1"/>
  <c r="H1099" i="1"/>
  <c r="L1098" i="1"/>
  <c r="K1098" i="1"/>
  <c r="H1098" i="1"/>
  <c r="L1097" i="1"/>
  <c r="K1097" i="1"/>
  <c r="H1097" i="1"/>
  <c r="L1096" i="1"/>
  <c r="K1096" i="1"/>
  <c r="H1096" i="1"/>
  <c r="L1095" i="1"/>
  <c r="K1095" i="1"/>
  <c r="H1095" i="1"/>
  <c r="L1094" i="1"/>
  <c r="K1094" i="1"/>
  <c r="H1094" i="1"/>
  <c r="L1093" i="1"/>
  <c r="K1093" i="1"/>
  <c r="H1093" i="1"/>
  <c r="L1092" i="1"/>
  <c r="K1092" i="1"/>
  <c r="H1092" i="1"/>
  <c r="L1091" i="1"/>
  <c r="K1091" i="1"/>
  <c r="H1091" i="1"/>
  <c r="L1085" i="1"/>
  <c r="K1085" i="1"/>
  <c r="H1085" i="1"/>
  <c r="L1084" i="1"/>
  <c r="K1084" i="1"/>
  <c r="H1084" i="1"/>
  <c r="L1083" i="1"/>
  <c r="K1083" i="1"/>
  <c r="H1083" i="1"/>
  <c r="L1082" i="1"/>
  <c r="K1082" i="1"/>
  <c r="H1082" i="1"/>
  <c r="L1076" i="1"/>
  <c r="K1076" i="1"/>
  <c r="H1076" i="1"/>
  <c r="L1075" i="1"/>
  <c r="K1075" i="1"/>
  <c r="H1075" i="1"/>
  <c r="L1074" i="1"/>
  <c r="K1074" i="1"/>
  <c r="H1074" i="1"/>
  <c r="L1073" i="1"/>
  <c r="K1073" i="1"/>
  <c r="H1073" i="1"/>
  <c r="L1072" i="1"/>
  <c r="K1072" i="1"/>
  <c r="H1072" i="1"/>
  <c r="L1071" i="1"/>
  <c r="K1071" i="1"/>
  <c r="H1071" i="1"/>
  <c r="L1070" i="1"/>
  <c r="K1070" i="1"/>
  <c r="H1070" i="1"/>
  <c r="L1064" i="1"/>
  <c r="K1064" i="1"/>
  <c r="H1064" i="1"/>
  <c r="L1063" i="1"/>
  <c r="K1063" i="1"/>
  <c r="H1063" i="1"/>
  <c r="L1062" i="1"/>
  <c r="K1062" i="1"/>
  <c r="H1062" i="1"/>
  <c r="L1061" i="1"/>
  <c r="K1061" i="1"/>
  <c r="H1061" i="1"/>
  <c r="L1060" i="1"/>
  <c r="K1060" i="1"/>
  <c r="H1060" i="1"/>
  <c r="L1059" i="1"/>
  <c r="K1059" i="1"/>
  <c r="H1059" i="1"/>
  <c r="L1058" i="1"/>
  <c r="K1058" i="1"/>
  <c r="H1058" i="1"/>
  <c r="L1057" i="1"/>
  <c r="K1057" i="1"/>
  <c r="H1057" i="1"/>
  <c r="L1056" i="1"/>
  <c r="K1056" i="1"/>
  <c r="H1056" i="1"/>
  <c r="L1055" i="1"/>
  <c r="K1055" i="1"/>
  <c r="H1055" i="1"/>
  <c r="L1054" i="1"/>
  <c r="K1054" i="1"/>
  <c r="H1054" i="1"/>
  <c r="L1053" i="1"/>
  <c r="K1053" i="1"/>
  <c r="H1053" i="1"/>
  <c r="L1047" i="1"/>
  <c r="K1047" i="1"/>
  <c r="H1047" i="1"/>
  <c r="L1046" i="1"/>
  <c r="K1046" i="1"/>
  <c r="H1046" i="1"/>
  <c r="L1045" i="1"/>
  <c r="K1045" i="1"/>
  <c r="H1045" i="1"/>
  <c r="L1044" i="1"/>
  <c r="K1044" i="1"/>
  <c r="H1044" i="1"/>
  <c r="L1043" i="1"/>
  <c r="K1043" i="1"/>
  <c r="H1043" i="1"/>
  <c r="L1042" i="1"/>
  <c r="K1042" i="1"/>
  <c r="H1042" i="1"/>
  <c r="L1041" i="1"/>
  <c r="K1041" i="1"/>
  <c r="H1041" i="1"/>
  <c r="L1040" i="1"/>
  <c r="K1040" i="1"/>
  <c r="H1040" i="1"/>
  <c r="L1039" i="1"/>
  <c r="K1039" i="1"/>
  <c r="H1039" i="1"/>
  <c r="L1038" i="1"/>
  <c r="K1038" i="1"/>
  <c r="H1038" i="1"/>
  <c r="L1037" i="1"/>
  <c r="K1037" i="1"/>
  <c r="H1037" i="1"/>
  <c r="L1036" i="1"/>
  <c r="K1036" i="1"/>
  <c r="H1036" i="1"/>
  <c r="L1035" i="1"/>
  <c r="K1035" i="1"/>
  <c r="H1035" i="1"/>
  <c r="L1034" i="1"/>
  <c r="K1034" i="1"/>
  <c r="H1034" i="1"/>
  <c r="L1028" i="1"/>
  <c r="K1028" i="1"/>
  <c r="H1028" i="1"/>
  <c r="L1027" i="1"/>
  <c r="K1027" i="1"/>
  <c r="H1027" i="1"/>
  <c r="L1026" i="1"/>
  <c r="K1026" i="1"/>
  <c r="H1026" i="1"/>
  <c r="L1025" i="1"/>
  <c r="K1025" i="1"/>
  <c r="H1025" i="1"/>
  <c r="L1024" i="1"/>
  <c r="K1024" i="1"/>
  <c r="H1024" i="1"/>
  <c r="L1023" i="1"/>
  <c r="K1023" i="1"/>
  <c r="H1023" i="1"/>
  <c r="L1022" i="1"/>
  <c r="K1022" i="1"/>
  <c r="H1022" i="1"/>
  <c r="L1021" i="1"/>
  <c r="K1021" i="1"/>
  <c r="H1021" i="1"/>
  <c r="L1015" i="1"/>
  <c r="K1015" i="1"/>
  <c r="H1015" i="1"/>
  <c r="L1014" i="1"/>
  <c r="K1014" i="1"/>
  <c r="H1014" i="1"/>
  <c r="L1013" i="1"/>
  <c r="K1013" i="1"/>
  <c r="H1013" i="1"/>
  <c r="L1012" i="1"/>
  <c r="K1012" i="1"/>
  <c r="H1012" i="1"/>
  <c r="L1011" i="1"/>
  <c r="K1011" i="1"/>
  <c r="H1011" i="1"/>
  <c r="L1010" i="1"/>
  <c r="K1010" i="1"/>
  <c r="H1010" i="1"/>
  <c r="L1009" i="1"/>
  <c r="K1009" i="1"/>
  <c r="H1009" i="1"/>
  <c r="L1008" i="1"/>
  <c r="K1008" i="1"/>
  <c r="H1008" i="1"/>
  <c r="L1007" i="1"/>
  <c r="K1007" i="1"/>
  <c r="H1007" i="1"/>
  <c r="L1006" i="1"/>
  <c r="K1006" i="1"/>
  <c r="H1006" i="1"/>
  <c r="L1000" i="1"/>
  <c r="K1000" i="1"/>
  <c r="H1000" i="1"/>
  <c r="L999" i="1"/>
  <c r="K999" i="1"/>
  <c r="H999" i="1"/>
  <c r="L998" i="1"/>
  <c r="K998" i="1"/>
  <c r="H998" i="1"/>
  <c r="L997" i="1"/>
  <c r="K997" i="1"/>
  <c r="H997" i="1"/>
  <c r="L991" i="1"/>
  <c r="K991" i="1"/>
  <c r="H991" i="1"/>
  <c r="L990" i="1"/>
  <c r="K990" i="1"/>
  <c r="H990" i="1"/>
  <c r="L989" i="1"/>
  <c r="K989" i="1"/>
  <c r="H989" i="1"/>
  <c r="L988" i="1"/>
  <c r="K988" i="1"/>
  <c r="H988" i="1"/>
  <c r="L987" i="1"/>
  <c r="K987" i="1"/>
  <c r="H987" i="1"/>
  <c r="L986" i="1"/>
  <c r="K986" i="1"/>
  <c r="H986" i="1"/>
  <c r="L985" i="1"/>
  <c r="K985" i="1"/>
  <c r="H985" i="1"/>
  <c r="L984" i="1"/>
  <c r="K984" i="1"/>
  <c r="H984" i="1"/>
  <c r="L983" i="1"/>
  <c r="K983" i="1"/>
  <c r="H983" i="1"/>
  <c r="L982" i="1"/>
  <c r="K982" i="1"/>
  <c r="H982" i="1"/>
  <c r="L981" i="1"/>
  <c r="K981" i="1"/>
  <c r="H981" i="1"/>
  <c r="L980" i="1"/>
  <c r="K980" i="1"/>
  <c r="H980" i="1"/>
  <c r="L979" i="1"/>
  <c r="K979" i="1"/>
  <c r="H979" i="1"/>
  <c r="L978" i="1"/>
  <c r="K978" i="1"/>
  <c r="H978" i="1"/>
  <c r="L977" i="1"/>
  <c r="K977" i="1"/>
  <c r="H977" i="1"/>
  <c r="L976" i="1"/>
  <c r="K976" i="1"/>
  <c r="H976" i="1"/>
  <c r="L975" i="1"/>
  <c r="K975" i="1"/>
  <c r="H975" i="1"/>
  <c r="L974" i="1"/>
  <c r="K974" i="1"/>
  <c r="H974" i="1"/>
  <c r="L973" i="1"/>
  <c r="K973" i="1"/>
  <c r="H973" i="1"/>
  <c r="L972" i="1"/>
  <c r="K972" i="1"/>
  <c r="H972" i="1"/>
  <c r="L971" i="1"/>
  <c r="K971" i="1"/>
  <c r="H971" i="1"/>
  <c r="L965" i="1"/>
  <c r="K965" i="1"/>
  <c r="H965" i="1"/>
  <c r="L959" i="1"/>
  <c r="K959" i="1"/>
  <c r="H959" i="1"/>
  <c r="L958" i="1"/>
  <c r="K958" i="1"/>
  <c r="H958" i="1"/>
  <c r="L957" i="1"/>
  <c r="K957" i="1"/>
  <c r="H957" i="1"/>
  <c r="L956" i="1"/>
  <c r="K956" i="1"/>
  <c r="H956" i="1"/>
  <c r="L955" i="1"/>
  <c r="K955" i="1"/>
  <c r="H955" i="1"/>
  <c r="L954" i="1"/>
  <c r="K954" i="1"/>
  <c r="H954" i="1"/>
  <c r="L953" i="1"/>
  <c r="K953" i="1"/>
  <c r="H953" i="1"/>
  <c r="L952" i="1"/>
  <c r="K952" i="1"/>
  <c r="H952" i="1"/>
  <c r="L951" i="1"/>
  <c r="K951" i="1"/>
  <c r="H951" i="1"/>
  <c r="L950" i="1"/>
  <c r="K950" i="1"/>
  <c r="H950" i="1"/>
  <c r="L949" i="1"/>
  <c r="K949" i="1"/>
  <c r="H949" i="1"/>
  <c r="L948" i="1"/>
  <c r="K948" i="1"/>
  <c r="H948" i="1"/>
  <c r="L947" i="1"/>
  <c r="K947" i="1"/>
  <c r="H947" i="1"/>
  <c r="L946" i="1"/>
  <c r="K946" i="1"/>
  <c r="H946" i="1"/>
  <c r="L945" i="1"/>
  <c r="K945" i="1"/>
  <c r="H945" i="1"/>
  <c r="L944" i="1"/>
  <c r="K944" i="1"/>
  <c r="H944" i="1"/>
  <c r="L943" i="1"/>
  <c r="K943" i="1"/>
  <c r="H943" i="1"/>
  <c r="L942" i="1"/>
  <c r="K942" i="1"/>
  <c r="H942" i="1"/>
  <c r="L941" i="1"/>
  <c r="K941" i="1"/>
  <c r="H941" i="1"/>
  <c r="L940" i="1"/>
  <c r="K940" i="1"/>
  <c r="H940" i="1"/>
  <c r="L939" i="1"/>
  <c r="K939" i="1"/>
  <c r="H939" i="1"/>
  <c r="L938" i="1"/>
  <c r="K938" i="1"/>
  <c r="H938" i="1"/>
  <c r="L937" i="1"/>
  <c r="K937" i="1"/>
  <c r="H937" i="1"/>
  <c r="L936" i="1"/>
  <c r="K936" i="1"/>
  <c r="H936" i="1"/>
  <c r="L935" i="1"/>
  <c r="K935" i="1"/>
  <c r="H935" i="1"/>
  <c r="L934" i="1"/>
  <c r="K934" i="1"/>
  <c r="H934" i="1"/>
  <c r="L933" i="1"/>
  <c r="K933" i="1"/>
  <c r="H933" i="1"/>
  <c r="L927" i="1"/>
  <c r="K927" i="1"/>
  <c r="H927" i="1"/>
  <c r="L926" i="1"/>
  <c r="K926" i="1"/>
  <c r="H926" i="1"/>
  <c r="L925" i="1"/>
  <c r="K925" i="1"/>
  <c r="H925" i="1"/>
  <c r="L924" i="1"/>
  <c r="K924" i="1"/>
  <c r="H924" i="1"/>
  <c r="L923" i="1"/>
  <c r="K923" i="1"/>
  <c r="H923" i="1"/>
  <c r="L922" i="1"/>
  <c r="K922" i="1"/>
  <c r="H922" i="1"/>
  <c r="L921" i="1"/>
  <c r="K921" i="1"/>
  <c r="H921" i="1"/>
  <c r="L920" i="1"/>
  <c r="K920" i="1"/>
  <c r="H920" i="1"/>
  <c r="L919" i="1"/>
  <c r="K919" i="1"/>
  <c r="H919" i="1"/>
  <c r="L918" i="1"/>
  <c r="K918" i="1"/>
  <c r="H918" i="1"/>
  <c r="L917" i="1"/>
  <c r="K917" i="1"/>
  <c r="H917" i="1"/>
  <c r="L916" i="1"/>
  <c r="K916" i="1"/>
  <c r="H916" i="1"/>
  <c r="L910" i="1"/>
  <c r="K910" i="1"/>
  <c r="H910" i="1"/>
  <c r="L909" i="1"/>
  <c r="K909" i="1"/>
  <c r="H909" i="1"/>
  <c r="L908" i="1"/>
  <c r="K908" i="1"/>
  <c r="H908" i="1"/>
  <c r="L907" i="1"/>
  <c r="K907" i="1"/>
  <c r="H907" i="1"/>
  <c r="L906" i="1"/>
  <c r="K906" i="1"/>
  <c r="H906" i="1"/>
  <c r="L905" i="1"/>
  <c r="K905" i="1"/>
  <c r="H905" i="1"/>
  <c r="L899" i="1"/>
  <c r="K899" i="1"/>
  <c r="H899" i="1"/>
  <c r="L898" i="1"/>
  <c r="K898" i="1"/>
  <c r="H898" i="1"/>
  <c r="L897" i="1"/>
  <c r="K897" i="1"/>
  <c r="H897" i="1"/>
  <c r="L896" i="1"/>
  <c r="K896" i="1"/>
  <c r="H896" i="1"/>
  <c r="L895" i="1"/>
  <c r="K895" i="1"/>
  <c r="H895" i="1"/>
  <c r="L894" i="1"/>
  <c r="K894" i="1"/>
  <c r="H894" i="1"/>
  <c r="L893" i="1"/>
  <c r="K893" i="1"/>
  <c r="H893" i="1"/>
  <c r="L892" i="1"/>
  <c r="K892" i="1"/>
  <c r="H892" i="1"/>
  <c r="L891" i="1"/>
  <c r="K891" i="1"/>
  <c r="H891" i="1"/>
  <c r="L890" i="1"/>
  <c r="K890" i="1"/>
  <c r="H890" i="1"/>
  <c r="L889" i="1"/>
  <c r="K889" i="1"/>
  <c r="H889" i="1"/>
  <c r="L888" i="1"/>
  <c r="K888" i="1"/>
  <c r="H888" i="1"/>
  <c r="L887" i="1"/>
  <c r="K887" i="1"/>
  <c r="H887" i="1"/>
  <c r="L886" i="1"/>
  <c r="K886" i="1"/>
  <c r="H886" i="1"/>
  <c r="L885" i="1"/>
  <c r="K885" i="1"/>
  <c r="H885" i="1"/>
  <c r="L884" i="1"/>
  <c r="K884" i="1"/>
  <c r="H884" i="1"/>
  <c r="L878" i="1"/>
  <c r="K878" i="1"/>
  <c r="H878" i="1"/>
  <c r="L877" i="1"/>
  <c r="K877" i="1"/>
  <c r="H877" i="1"/>
  <c r="L876" i="1"/>
  <c r="K876" i="1"/>
  <c r="H876" i="1"/>
  <c r="L875" i="1"/>
  <c r="K875" i="1"/>
  <c r="H875" i="1"/>
  <c r="L874" i="1"/>
  <c r="K874" i="1"/>
  <c r="H874" i="1"/>
  <c r="L873" i="1"/>
  <c r="K873" i="1"/>
  <c r="H873" i="1"/>
  <c r="L872" i="1"/>
  <c r="K872" i="1"/>
  <c r="H872" i="1"/>
  <c r="L871" i="1"/>
  <c r="K871" i="1"/>
  <c r="H871" i="1"/>
  <c r="L870" i="1"/>
  <c r="K870" i="1"/>
  <c r="H870" i="1"/>
  <c r="L869" i="1"/>
  <c r="K869" i="1"/>
  <c r="H869" i="1"/>
  <c r="L868" i="1"/>
  <c r="K868" i="1"/>
  <c r="H868" i="1"/>
  <c r="L862" i="1"/>
  <c r="K862" i="1"/>
  <c r="H862" i="1"/>
  <c r="L861" i="1"/>
  <c r="K861" i="1"/>
  <c r="H861" i="1"/>
  <c r="L860" i="1"/>
  <c r="K860" i="1"/>
  <c r="H860" i="1"/>
  <c r="L859" i="1"/>
  <c r="K859" i="1"/>
  <c r="H859" i="1"/>
  <c r="L858" i="1"/>
  <c r="K858" i="1"/>
  <c r="H858" i="1"/>
  <c r="L857" i="1"/>
  <c r="K857" i="1"/>
  <c r="H857" i="1"/>
  <c r="L856" i="1"/>
  <c r="K856" i="1"/>
  <c r="H856" i="1"/>
  <c r="L850" i="1"/>
  <c r="K850" i="1"/>
  <c r="H850" i="1"/>
  <c r="L844" i="1"/>
  <c r="K844" i="1"/>
  <c r="H844" i="1"/>
  <c r="L843" i="1"/>
  <c r="K843" i="1"/>
  <c r="H843" i="1"/>
  <c r="L842" i="1"/>
  <c r="K842" i="1"/>
  <c r="H842" i="1"/>
  <c r="L841" i="1"/>
  <c r="K841" i="1"/>
  <c r="H841" i="1"/>
  <c r="L840" i="1"/>
  <c r="K840" i="1"/>
  <c r="H840" i="1"/>
  <c r="L839" i="1"/>
  <c r="K839" i="1"/>
  <c r="H839" i="1"/>
  <c r="L838" i="1"/>
  <c r="K838" i="1"/>
  <c r="H838" i="1"/>
  <c r="L837" i="1"/>
  <c r="K837" i="1"/>
  <c r="H837" i="1"/>
  <c r="L836" i="1"/>
  <c r="K836" i="1"/>
  <c r="H836" i="1"/>
  <c r="L835" i="1"/>
  <c r="K835" i="1"/>
  <c r="H835" i="1"/>
  <c r="L829" i="1"/>
  <c r="K829" i="1"/>
  <c r="H829" i="1"/>
  <c r="L828" i="1"/>
  <c r="K828" i="1"/>
  <c r="H828" i="1"/>
  <c r="L827" i="1"/>
  <c r="K827" i="1"/>
  <c r="H827" i="1"/>
  <c r="L826" i="1"/>
  <c r="K826" i="1"/>
  <c r="H826" i="1"/>
  <c r="L825" i="1"/>
  <c r="K825" i="1"/>
  <c r="H825" i="1"/>
  <c r="L824" i="1"/>
  <c r="K824" i="1"/>
  <c r="H824" i="1"/>
  <c r="L823" i="1"/>
  <c r="K823" i="1"/>
  <c r="H823" i="1"/>
  <c r="L822" i="1"/>
  <c r="K822" i="1"/>
  <c r="H822" i="1"/>
  <c r="L821" i="1"/>
  <c r="K821" i="1"/>
  <c r="H821" i="1"/>
  <c r="L820" i="1"/>
  <c r="K820" i="1"/>
  <c r="H820" i="1"/>
  <c r="L819" i="1"/>
  <c r="K819" i="1"/>
  <c r="H819" i="1"/>
  <c r="L818" i="1"/>
  <c r="K818" i="1"/>
  <c r="H818" i="1"/>
  <c r="L817" i="1"/>
  <c r="K817" i="1"/>
  <c r="H817" i="1"/>
  <c r="L816" i="1"/>
  <c r="K816" i="1"/>
  <c r="H816" i="1"/>
  <c r="L815" i="1"/>
  <c r="K815" i="1"/>
  <c r="H815" i="1"/>
  <c r="L809" i="1"/>
  <c r="K809" i="1"/>
  <c r="H809" i="1"/>
  <c r="L808" i="1"/>
  <c r="K808" i="1"/>
  <c r="H808" i="1"/>
  <c r="L807" i="1"/>
  <c r="K807" i="1"/>
  <c r="H807" i="1"/>
  <c r="L806" i="1"/>
  <c r="K806" i="1"/>
  <c r="H806" i="1"/>
  <c r="L805" i="1"/>
  <c r="K805" i="1"/>
  <c r="H805" i="1"/>
  <c r="L804" i="1"/>
  <c r="K804" i="1"/>
  <c r="H804" i="1"/>
  <c r="L803" i="1"/>
  <c r="K803" i="1"/>
  <c r="H803" i="1"/>
  <c r="L802" i="1"/>
  <c r="K802" i="1"/>
  <c r="H802" i="1"/>
  <c r="L801" i="1"/>
  <c r="K801" i="1"/>
  <c r="H801" i="1"/>
  <c r="L800" i="1"/>
  <c r="K800" i="1"/>
  <c r="H800" i="1"/>
  <c r="L799" i="1"/>
  <c r="K799" i="1"/>
  <c r="H799" i="1"/>
  <c r="L798" i="1"/>
  <c r="K798" i="1"/>
  <c r="H798" i="1"/>
  <c r="L792" i="1"/>
  <c r="K792" i="1"/>
  <c r="H792" i="1"/>
  <c r="L791" i="1"/>
  <c r="K791" i="1"/>
  <c r="H791" i="1"/>
  <c r="L790" i="1"/>
  <c r="K790" i="1"/>
  <c r="H790" i="1"/>
  <c r="L789" i="1"/>
  <c r="K789" i="1"/>
  <c r="H789" i="1"/>
  <c r="L788" i="1"/>
  <c r="K788" i="1"/>
  <c r="H788" i="1"/>
  <c r="L787" i="1"/>
  <c r="K787" i="1"/>
  <c r="H787" i="1"/>
  <c r="L781" i="1"/>
  <c r="K781" i="1"/>
  <c r="H781" i="1"/>
  <c r="L780" i="1"/>
  <c r="K780" i="1"/>
  <c r="H780" i="1"/>
  <c r="L779" i="1"/>
  <c r="K779" i="1"/>
  <c r="H779" i="1"/>
  <c r="L778" i="1"/>
  <c r="K778" i="1"/>
  <c r="H778" i="1"/>
  <c r="L777" i="1"/>
  <c r="K777" i="1"/>
  <c r="H777" i="1"/>
  <c r="L776" i="1"/>
  <c r="K776" i="1"/>
  <c r="H776" i="1"/>
  <c r="L775" i="1"/>
  <c r="K775" i="1"/>
  <c r="H775" i="1"/>
  <c r="L774" i="1"/>
  <c r="K774" i="1"/>
  <c r="H774" i="1"/>
  <c r="L773" i="1"/>
  <c r="K773" i="1"/>
  <c r="H773" i="1"/>
  <c r="L772" i="1"/>
  <c r="K772" i="1"/>
  <c r="H772" i="1"/>
  <c r="L771" i="1"/>
  <c r="K771" i="1"/>
  <c r="H771" i="1"/>
  <c r="L770" i="1"/>
  <c r="K770" i="1"/>
  <c r="H770" i="1"/>
  <c r="L769" i="1"/>
  <c r="K769" i="1"/>
  <c r="H769" i="1"/>
  <c r="L763" i="1"/>
  <c r="K763" i="1"/>
  <c r="H763" i="1"/>
  <c r="L762" i="1"/>
  <c r="K762" i="1"/>
  <c r="H762" i="1"/>
  <c r="L761" i="1"/>
  <c r="K761" i="1"/>
  <c r="H761" i="1"/>
  <c r="L760" i="1"/>
  <c r="K760" i="1"/>
  <c r="H760" i="1"/>
  <c r="L759" i="1"/>
  <c r="K759" i="1"/>
  <c r="H759" i="1"/>
  <c r="L758" i="1"/>
  <c r="K758" i="1"/>
  <c r="H758" i="1"/>
  <c r="L757" i="1"/>
  <c r="K757" i="1"/>
  <c r="H757" i="1"/>
  <c r="L751" i="1"/>
  <c r="K751" i="1"/>
  <c r="H751" i="1"/>
  <c r="L750" i="1"/>
  <c r="K750" i="1"/>
  <c r="H750" i="1"/>
  <c r="L749" i="1"/>
  <c r="K749" i="1"/>
  <c r="H749" i="1"/>
  <c r="L748" i="1"/>
  <c r="K748" i="1"/>
  <c r="H748" i="1"/>
  <c r="L747" i="1"/>
  <c r="K747" i="1"/>
  <c r="H747" i="1"/>
  <c r="L746" i="1"/>
  <c r="K746" i="1"/>
  <c r="H746" i="1"/>
  <c r="L745" i="1"/>
  <c r="K745" i="1"/>
  <c r="H745" i="1"/>
  <c r="L744" i="1"/>
  <c r="K744" i="1"/>
  <c r="H744" i="1"/>
  <c r="L743" i="1"/>
  <c r="K743" i="1"/>
  <c r="H743" i="1"/>
  <c r="L737" i="1"/>
  <c r="K737" i="1"/>
  <c r="H737" i="1"/>
  <c r="L736" i="1"/>
  <c r="K736" i="1"/>
  <c r="H736" i="1"/>
  <c r="L735" i="1"/>
  <c r="K735" i="1"/>
  <c r="H735" i="1"/>
  <c r="L734" i="1"/>
  <c r="K734" i="1"/>
  <c r="H734" i="1"/>
  <c r="L733" i="1"/>
  <c r="K733" i="1"/>
  <c r="H733" i="1"/>
  <c r="L732" i="1"/>
  <c r="K732" i="1"/>
  <c r="H732" i="1"/>
  <c r="L731" i="1"/>
  <c r="K731" i="1"/>
  <c r="H731" i="1"/>
  <c r="L730" i="1"/>
  <c r="K730" i="1"/>
  <c r="H730" i="1"/>
  <c r="L729" i="1"/>
  <c r="K729" i="1"/>
  <c r="H729" i="1"/>
  <c r="L728" i="1"/>
  <c r="K728" i="1"/>
  <c r="H728" i="1"/>
  <c r="L727" i="1"/>
  <c r="K727" i="1"/>
  <c r="H727" i="1"/>
  <c r="L726" i="1"/>
  <c r="K726" i="1"/>
  <c r="H726" i="1"/>
  <c r="L725" i="1"/>
  <c r="K725" i="1"/>
  <c r="H725" i="1"/>
  <c r="L719" i="1"/>
  <c r="K719" i="1"/>
  <c r="H719" i="1"/>
  <c r="L718" i="1"/>
  <c r="K718" i="1"/>
  <c r="H718" i="1"/>
  <c r="L717" i="1"/>
  <c r="K717" i="1"/>
  <c r="H717" i="1"/>
  <c r="L716" i="1"/>
  <c r="K716" i="1"/>
  <c r="H716" i="1"/>
  <c r="L715" i="1"/>
  <c r="K715" i="1"/>
  <c r="H715" i="1"/>
  <c r="L714" i="1"/>
  <c r="K714" i="1"/>
  <c r="H714" i="1"/>
  <c r="L713" i="1"/>
  <c r="K713" i="1"/>
  <c r="H713" i="1"/>
  <c r="L712" i="1"/>
  <c r="K712" i="1"/>
  <c r="H712" i="1"/>
  <c r="L711" i="1"/>
  <c r="K711" i="1"/>
  <c r="H711" i="1"/>
  <c r="L710" i="1"/>
  <c r="K710" i="1"/>
  <c r="H710" i="1"/>
  <c r="L704" i="1"/>
  <c r="K704" i="1"/>
  <c r="H704" i="1"/>
  <c r="L703" i="1"/>
  <c r="K703" i="1"/>
  <c r="H703" i="1"/>
  <c r="L702" i="1"/>
  <c r="K702" i="1"/>
  <c r="H702" i="1"/>
  <c r="L701" i="1"/>
  <c r="K701" i="1"/>
  <c r="H701" i="1"/>
  <c r="L700" i="1"/>
  <c r="K700" i="1"/>
  <c r="H700" i="1"/>
  <c r="L699" i="1"/>
  <c r="K699" i="1"/>
  <c r="H699" i="1"/>
  <c r="L698" i="1"/>
  <c r="K698" i="1"/>
  <c r="H698" i="1"/>
  <c r="L697" i="1"/>
  <c r="K697" i="1"/>
  <c r="H697" i="1"/>
  <c r="L696" i="1"/>
  <c r="K696" i="1"/>
  <c r="H696" i="1"/>
  <c r="L695" i="1"/>
  <c r="K695" i="1"/>
  <c r="H695" i="1"/>
  <c r="L694" i="1"/>
  <c r="K694" i="1"/>
  <c r="H694" i="1"/>
  <c r="L688" i="1"/>
  <c r="K688" i="1"/>
  <c r="H688" i="1"/>
  <c r="L687" i="1"/>
  <c r="K687" i="1"/>
  <c r="H687" i="1"/>
  <c r="L686" i="1"/>
  <c r="K686" i="1"/>
  <c r="H686" i="1"/>
  <c r="L685" i="1"/>
  <c r="K685" i="1"/>
  <c r="H685" i="1"/>
  <c r="L684" i="1"/>
  <c r="K684" i="1"/>
  <c r="H684" i="1"/>
  <c r="L683" i="1"/>
  <c r="K683" i="1"/>
  <c r="H683" i="1"/>
  <c r="L682" i="1"/>
  <c r="K682" i="1"/>
  <c r="H682" i="1"/>
  <c r="L681" i="1"/>
  <c r="K681" i="1"/>
  <c r="H681" i="1"/>
  <c r="L680" i="1"/>
  <c r="K680" i="1"/>
  <c r="H680" i="1"/>
  <c r="L679" i="1"/>
  <c r="K679" i="1"/>
  <c r="H679" i="1"/>
  <c r="L678" i="1"/>
  <c r="K678" i="1"/>
  <c r="H678" i="1"/>
  <c r="L672" i="1"/>
  <c r="K672" i="1"/>
  <c r="H672" i="1"/>
  <c r="L671" i="1"/>
  <c r="K671" i="1"/>
  <c r="H671" i="1"/>
  <c r="L670" i="1"/>
  <c r="K670" i="1"/>
  <c r="H670" i="1"/>
  <c r="L669" i="1"/>
  <c r="K669" i="1"/>
  <c r="H669" i="1"/>
  <c r="L668" i="1"/>
  <c r="K668" i="1"/>
  <c r="H668" i="1"/>
  <c r="L667" i="1"/>
  <c r="K667" i="1"/>
  <c r="H667" i="1"/>
  <c r="L666" i="1"/>
  <c r="K666" i="1"/>
  <c r="H666" i="1"/>
  <c r="L665" i="1"/>
  <c r="K665" i="1"/>
  <c r="H665" i="1"/>
  <c r="L664" i="1"/>
  <c r="K664" i="1"/>
  <c r="H664" i="1"/>
  <c r="L663" i="1"/>
  <c r="K663" i="1"/>
  <c r="H663" i="1"/>
  <c r="L662" i="1"/>
  <c r="K662" i="1"/>
  <c r="H662" i="1"/>
  <c r="L661" i="1"/>
  <c r="K661" i="1"/>
  <c r="H661" i="1"/>
  <c r="L660" i="1"/>
  <c r="K660" i="1"/>
  <c r="H660" i="1"/>
  <c r="L659" i="1"/>
  <c r="K659" i="1"/>
  <c r="H659" i="1"/>
  <c r="L658" i="1"/>
  <c r="K658" i="1"/>
  <c r="H658" i="1"/>
  <c r="L657" i="1"/>
  <c r="K657" i="1"/>
  <c r="H657" i="1"/>
  <c r="L656" i="1"/>
  <c r="K656" i="1"/>
  <c r="H656" i="1"/>
  <c r="L655" i="1"/>
  <c r="K655" i="1"/>
  <c r="H655" i="1"/>
  <c r="L654" i="1"/>
  <c r="K654" i="1"/>
  <c r="H654" i="1"/>
  <c r="L653" i="1"/>
  <c r="K653" i="1"/>
  <c r="H653" i="1"/>
  <c r="L652" i="1"/>
  <c r="K652" i="1"/>
  <c r="H652" i="1"/>
  <c r="L651" i="1"/>
  <c r="K651" i="1"/>
  <c r="H651" i="1"/>
  <c r="L650" i="1"/>
  <c r="K650" i="1"/>
  <c r="H650" i="1"/>
  <c r="L649" i="1"/>
  <c r="K649" i="1"/>
  <c r="H649" i="1"/>
  <c r="L648" i="1"/>
  <c r="K648" i="1"/>
  <c r="H648" i="1"/>
  <c r="L647" i="1"/>
  <c r="K647" i="1"/>
  <c r="H647" i="1"/>
  <c r="L646" i="1"/>
  <c r="K646" i="1"/>
  <c r="H646" i="1"/>
  <c r="L640" i="1"/>
  <c r="K640" i="1"/>
  <c r="H640" i="1"/>
  <c r="L639" i="1"/>
  <c r="K639" i="1"/>
  <c r="H639" i="1"/>
  <c r="L638" i="1"/>
  <c r="K638" i="1"/>
  <c r="H638" i="1"/>
  <c r="L637" i="1"/>
  <c r="K637" i="1"/>
  <c r="H637" i="1"/>
  <c r="L636" i="1"/>
  <c r="K636" i="1"/>
  <c r="H636" i="1"/>
  <c r="L635" i="1"/>
  <c r="K635" i="1"/>
  <c r="H635" i="1"/>
  <c r="L634" i="1"/>
  <c r="K634" i="1"/>
  <c r="H634" i="1"/>
  <c r="L633" i="1"/>
  <c r="K633" i="1"/>
  <c r="H633" i="1"/>
  <c r="L632" i="1"/>
  <c r="K632" i="1"/>
  <c r="H632" i="1"/>
  <c r="L631" i="1"/>
  <c r="K631" i="1"/>
  <c r="H631" i="1"/>
  <c r="L630" i="1"/>
  <c r="K630" i="1"/>
  <c r="H630" i="1"/>
  <c r="L629" i="1"/>
  <c r="K629" i="1"/>
  <c r="H629" i="1"/>
  <c r="L628" i="1"/>
  <c r="K628" i="1"/>
  <c r="H628" i="1"/>
  <c r="L627" i="1"/>
  <c r="K627" i="1"/>
  <c r="H627" i="1"/>
  <c r="L626" i="1"/>
  <c r="K626" i="1"/>
  <c r="H626" i="1"/>
  <c r="L625" i="1"/>
  <c r="K625" i="1"/>
  <c r="H625" i="1"/>
  <c r="L619" i="1"/>
  <c r="K619" i="1"/>
  <c r="H619" i="1"/>
  <c r="L618" i="1"/>
  <c r="K618" i="1"/>
  <c r="H618" i="1"/>
  <c r="L617" i="1"/>
  <c r="K617" i="1"/>
  <c r="H617" i="1"/>
  <c r="L616" i="1"/>
  <c r="K616" i="1"/>
  <c r="H616" i="1"/>
  <c r="L615" i="1"/>
  <c r="K615" i="1"/>
  <c r="H615" i="1"/>
  <c r="L614" i="1"/>
  <c r="K614" i="1"/>
  <c r="H614" i="1"/>
  <c r="L613" i="1"/>
  <c r="K613" i="1"/>
  <c r="H613" i="1"/>
  <c r="L607" i="1"/>
  <c r="K607" i="1"/>
  <c r="H607" i="1"/>
  <c r="L606" i="1"/>
  <c r="K606" i="1"/>
  <c r="H606" i="1"/>
  <c r="L605" i="1"/>
  <c r="K605" i="1"/>
  <c r="H605" i="1"/>
  <c r="L604" i="1"/>
  <c r="K604" i="1"/>
  <c r="H604" i="1"/>
  <c r="L603" i="1"/>
  <c r="K603" i="1"/>
  <c r="H603" i="1"/>
  <c r="L602" i="1"/>
  <c r="K602" i="1"/>
  <c r="H602" i="1"/>
  <c r="L601" i="1"/>
  <c r="K601" i="1"/>
  <c r="H601" i="1"/>
  <c r="L600" i="1"/>
  <c r="K600" i="1"/>
  <c r="H600" i="1"/>
  <c r="L599" i="1"/>
  <c r="K599" i="1"/>
  <c r="H599" i="1"/>
  <c r="L598" i="1"/>
  <c r="K598" i="1"/>
  <c r="H598" i="1"/>
  <c r="L597" i="1"/>
  <c r="K597" i="1"/>
  <c r="H597" i="1"/>
  <c r="L596" i="1"/>
  <c r="K596" i="1"/>
  <c r="H596" i="1"/>
  <c r="L595" i="1"/>
  <c r="K595" i="1"/>
  <c r="H595" i="1"/>
  <c r="L594" i="1"/>
  <c r="K594" i="1"/>
  <c r="H594" i="1"/>
  <c r="L593" i="1"/>
  <c r="K593" i="1"/>
  <c r="H593" i="1"/>
  <c r="L592" i="1"/>
  <c r="K592" i="1"/>
  <c r="H592" i="1"/>
  <c r="L591" i="1"/>
  <c r="K591" i="1"/>
  <c r="H591" i="1"/>
  <c r="L590" i="1"/>
  <c r="K590" i="1"/>
  <c r="H590" i="1"/>
  <c r="L584" i="1"/>
  <c r="K584" i="1"/>
  <c r="H584" i="1"/>
  <c r="L583" i="1"/>
  <c r="K583" i="1"/>
  <c r="H583" i="1"/>
  <c r="L582" i="1"/>
  <c r="K582" i="1"/>
  <c r="H582" i="1"/>
  <c r="L581" i="1"/>
  <c r="K581" i="1"/>
  <c r="H581" i="1"/>
  <c r="L580" i="1"/>
  <c r="K580" i="1"/>
  <c r="H580" i="1"/>
  <c r="L579" i="1"/>
  <c r="K579" i="1"/>
  <c r="H579" i="1"/>
  <c r="L578" i="1"/>
  <c r="K578" i="1"/>
  <c r="H578" i="1"/>
  <c r="L577" i="1"/>
  <c r="K577" i="1"/>
  <c r="H577" i="1"/>
  <c r="L576" i="1"/>
  <c r="K576" i="1"/>
  <c r="H576" i="1"/>
  <c r="L575" i="1"/>
  <c r="K575" i="1"/>
  <c r="H575" i="1"/>
  <c r="L569" i="1"/>
  <c r="K569" i="1"/>
  <c r="H569" i="1"/>
  <c r="L568" i="1"/>
  <c r="K568" i="1"/>
  <c r="H568" i="1"/>
  <c r="L567" i="1"/>
  <c r="K567" i="1"/>
  <c r="H567" i="1"/>
  <c r="L561" i="1"/>
  <c r="K561" i="1"/>
  <c r="H561" i="1"/>
  <c r="L560" i="1"/>
  <c r="K560" i="1"/>
  <c r="H560" i="1"/>
  <c r="L559" i="1"/>
  <c r="K559" i="1"/>
  <c r="H559" i="1"/>
  <c r="L558" i="1"/>
  <c r="K558" i="1"/>
  <c r="H558" i="1"/>
  <c r="L557" i="1"/>
  <c r="K557" i="1"/>
  <c r="H557" i="1"/>
  <c r="L556" i="1"/>
  <c r="K556" i="1"/>
  <c r="H556" i="1"/>
  <c r="L555" i="1"/>
  <c r="K555" i="1"/>
  <c r="H555" i="1"/>
  <c r="L554" i="1"/>
  <c r="K554" i="1"/>
  <c r="H554" i="1"/>
  <c r="L553" i="1"/>
  <c r="K553" i="1"/>
  <c r="H553" i="1"/>
  <c r="L552" i="1"/>
  <c r="K552" i="1"/>
  <c r="H552" i="1"/>
  <c r="L551" i="1"/>
  <c r="K551" i="1"/>
  <c r="H551" i="1"/>
  <c r="L550" i="1"/>
  <c r="K550" i="1"/>
  <c r="H550" i="1"/>
  <c r="L549" i="1"/>
  <c r="K549" i="1"/>
  <c r="H549" i="1"/>
  <c r="L548" i="1"/>
  <c r="K548" i="1"/>
  <c r="H548" i="1"/>
  <c r="L547" i="1"/>
  <c r="K547" i="1"/>
  <c r="H547" i="1"/>
  <c r="L546" i="1"/>
  <c r="K546" i="1"/>
  <c r="H546" i="1"/>
  <c r="L545" i="1"/>
  <c r="K545" i="1"/>
  <c r="H545" i="1"/>
  <c r="L544" i="1"/>
  <c r="K544" i="1"/>
  <c r="H544" i="1"/>
  <c r="L543" i="1"/>
  <c r="K543" i="1"/>
  <c r="H543" i="1"/>
  <c r="L542" i="1"/>
  <c r="K542" i="1"/>
  <c r="H542" i="1"/>
  <c r="L541" i="1"/>
  <c r="K541" i="1"/>
  <c r="H541" i="1"/>
  <c r="L540" i="1"/>
  <c r="K540" i="1"/>
  <c r="H540" i="1"/>
  <c r="L539" i="1"/>
  <c r="K539" i="1"/>
  <c r="H539" i="1"/>
  <c r="L538" i="1"/>
  <c r="K538" i="1"/>
  <c r="H538" i="1"/>
  <c r="L537" i="1"/>
  <c r="K537" i="1"/>
  <c r="H537" i="1"/>
  <c r="L536" i="1"/>
  <c r="K536" i="1"/>
  <c r="H536" i="1"/>
  <c r="L535" i="1"/>
  <c r="K535" i="1"/>
  <c r="H535" i="1"/>
  <c r="L534" i="1"/>
  <c r="K534" i="1"/>
  <c r="H534" i="1"/>
  <c r="L533" i="1"/>
  <c r="K533" i="1"/>
  <c r="H533" i="1"/>
  <c r="L532" i="1"/>
  <c r="K532" i="1"/>
  <c r="H532" i="1"/>
  <c r="L531" i="1"/>
  <c r="K531" i="1"/>
  <c r="H531" i="1"/>
  <c r="L530" i="1"/>
  <c r="K530" i="1"/>
  <c r="H530" i="1"/>
  <c r="L529" i="1"/>
  <c r="K529" i="1"/>
  <c r="H529" i="1"/>
  <c r="L528" i="1"/>
  <c r="K528" i="1"/>
  <c r="H528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20" i="1"/>
  <c r="K520" i="1"/>
  <c r="H520" i="1"/>
  <c r="L519" i="1"/>
  <c r="K519" i="1"/>
  <c r="H519" i="1"/>
  <c r="L518" i="1"/>
  <c r="K518" i="1"/>
  <c r="H518" i="1"/>
  <c r="L517" i="1"/>
  <c r="K517" i="1"/>
  <c r="H517" i="1"/>
  <c r="L516" i="1"/>
  <c r="K516" i="1"/>
  <c r="H516" i="1"/>
  <c r="L515" i="1"/>
  <c r="K515" i="1"/>
  <c r="H515" i="1"/>
  <c r="L514" i="1"/>
  <c r="K514" i="1"/>
  <c r="H514" i="1"/>
  <c r="L513" i="1"/>
  <c r="K513" i="1"/>
  <c r="H513" i="1"/>
  <c r="L512" i="1"/>
  <c r="K512" i="1"/>
  <c r="H512" i="1"/>
  <c r="L511" i="1"/>
  <c r="K511" i="1"/>
  <c r="H511" i="1"/>
  <c r="L510" i="1"/>
  <c r="K510" i="1"/>
  <c r="H510" i="1"/>
  <c r="L509" i="1"/>
  <c r="K509" i="1"/>
  <c r="H509" i="1"/>
  <c r="L508" i="1"/>
  <c r="K508" i="1"/>
  <c r="H508" i="1"/>
  <c r="L507" i="1"/>
  <c r="K507" i="1"/>
  <c r="H507" i="1"/>
  <c r="L506" i="1"/>
  <c r="K506" i="1"/>
  <c r="H506" i="1"/>
  <c r="L505" i="1"/>
  <c r="K505" i="1"/>
  <c r="H505" i="1"/>
  <c r="L504" i="1"/>
  <c r="K504" i="1"/>
  <c r="H504" i="1"/>
  <c r="L503" i="1"/>
  <c r="K503" i="1"/>
  <c r="H503" i="1"/>
  <c r="L502" i="1"/>
  <c r="K502" i="1"/>
  <c r="H502" i="1"/>
  <c r="L501" i="1"/>
  <c r="K501" i="1"/>
  <c r="H501" i="1"/>
  <c r="L500" i="1"/>
  <c r="K500" i="1"/>
  <c r="H500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80" i="1"/>
  <c r="K480" i="1"/>
  <c r="H480" i="1"/>
  <c r="L479" i="1"/>
  <c r="K479" i="1"/>
  <c r="H479" i="1"/>
  <c r="L478" i="1"/>
  <c r="K478" i="1"/>
  <c r="H478" i="1"/>
  <c r="L477" i="1"/>
  <c r="K477" i="1"/>
  <c r="H477" i="1"/>
  <c r="L476" i="1"/>
  <c r="K476" i="1"/>
  <c r="H476" i="1"/>
  <c r="L475" i="1"/>
  <c r="K475" i="1"/>
  <c r="H475" i="1"/>
  <c r="L474" i="1"/>
  <c r="K474" i="1"/>
  <c r="H474" i="1"/>
  <c r="L473" i="1"/>
  <c r="K473" i="1"/>
  <c r="H473" i="1"/>
  <c r="L472" i="1"/>
  <c r="K472" i="1"/>
  <c r="H472" i="1"/>
  <c r="L471" i="1"/>
  <c r="K471" i="1"/>
  <c r="H471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6" i="1"/>
  <c r="K466" i="1"/>
  <c r="H466" i="1"/>
  <c r="L465" i="1"/>
  <c r="K465" i="1"/>
  <c r="H465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60" i="1"/>
  <c r="K460" i="1"/>
  <c r="H460" i="1"/>
  <c r="L459" i="1"/>
  <c r="K459" i="1"/>
  <c r="H459" i="1"/>
  <c r="L458" i="1"/>
  <c r="K458" i="1"/>
  <c r="H458" i="1"/>
  <c r="L457" i="1"/>
  <c r="K457" i="1"/>
  <c r="H457" i="1"/>
  <c r="L456" i="1"/>
  <c r="K456" i="1"/>
  <c r="H456" i="1"/>
  <c r="L455" i="1"/>
  <c r="K455" i="1"/>
  <c r="H455" i="1"/>
  <c r="L454" i="1"/>
  <c r="K454" i="1"/>
  <c r="H454" i="1"/>
  <c r="L453" i="1"/>
  <c r="K453" i="1"/>
  <c r="H453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8" i="1"/>
  <c r="K418" i="1"/>
  <c r="H418" i="1"/>
  <c r="L417" i="1"/>
  <c r="K417" i="1"/>
  <c r="H417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6" i="1"/>
  <c r="K396" i="1"/>
  <c r="H396" i="1"/>
  <c r="L395" i="1"/>
  <c r="K395" i="1"/>
  <c r="H395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9" i="1"/>
  <c r="K189" i="1"/>
  <c r="H189" i="1"/>
  <c r="L188" i="1"/>
  <c r="K188" i="1"/>
  <c r="H188" i="1"/>
  <c r="L187" i="1"/>
  <c r="K187" i="1"/>
  <c r="H187" i="1"/>
  <c r="L186" i="1"/>
  <c r="K186" i="1"/>
  <c r="H186" i="1"/>
  <c r="L185" i="1"/>
  <c r="K185" i="1"/>
  <c r="H185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8" i="1"/>
  <c r="K178" i="1"/>
  <c r="H178" i="1"/>
  <c r="L177" i="1"/>
  <c r="K177" i="1"/>
  <c r="H177" i="1"/>
  <c r="L176" i="1"/>
  <c r="K176" i="1"/>
  <c r="H176" i="1"/>
  <c r="L175" i="1"/>
  <c r="K175" i="1"/>
  <c r="H175" i="1"/>
  <c r="L174" i="1"/>
  <c r="K174" i="1"/>
  <c r="H174" i="1"/>
  <c r="L173" i="1"/>
  <c r="K173" i="1"/>
  <c r="H173" i="1"/>
  <c r="L172" i="1"/>
  <c r="K172" i="1"/>
  <c r="H172" i="1"/>
  <c r="L171" i="1"/>
  <c r="K171" i="1"/>
  <c r="H171" i="1"/>
  <c r="L165" i="1"/>
  <c r="K165" i="1"/>
  <c r="H165" i="1"/>
  <c r="L164" i="1"/>
  <c r="K164" i="1"/>
  <c r="H164" i="1"/>
  <c r="L163" i="1"/>
  <c r="K163" i="1"/>
  <c r="H163" i="1"/>
  <c r="L162" i="1"/>
  <c r="K162" i="1"/>
  <c r="H162" i="1"/>
  <c r="L161" i="1"/>
  <c r="K161" i="1"/>
  <c r="H161" i="1"/>
  <c r="L160" i="1"/>
  <c r="K160" i="1"/>
  <c r="H160" i="1"/>
  <c r="L159" i="1"/>
  <c r="K159" i="1"/>
  <c r="H159" i="1"/>
  <c r="L158" i="1"/>
  <c r="K158" i="1"/>
  <c r="H158" i="1"/>
  <c r="L157" i="1"/>
  <c r="K157" i="1"/>
  <c r="H157" i="1"/>
  <c r="L156" i="1"/>
  <c r="K156" i="1"/>
  <c r="H156" i="1"/>
  <c r="L155" i="1"/>
  <c r="K155" i="1"/>
  <c r="H155" i="1"/>
  <c r="L154" i="1"/>
  <c r="K154" i="1"/>
  <c r="H154" i="1"/>
  <c r="L148" i="1"/>
  <c r="K148" i="1"/>
  <c r="H148" i="1"/>
  <c r="L147" i="1"/>
  <c r="K147" i="1"/>
  <c r="H147" i="1"/>
  <c r="L146" i="1"/>
  <c r="K146" i="1"/>
  <c r="H146" i="1"/>
  <c r="L145" i="1"/>
  <c r="K145" i="1"/>
  <c r="H145" i="1"/>
  <c r="L139" i="1"/>
  <c r="K139" i="1"/>
  <c r="H139" i="1"/>
  <c r="L138" i="1"/>
  <c r="K138" i="1"/>
  <c r="H138" i="1"/>
  <c r="L137" i="1"/>
  <c r="K137" i="1"/>
  <c r="H137" i="1"/>
  <c r="L136" i="1"/>
  <c r="K136" i="1"/>
  <c r="H136" i="1"/>
  <c r="L135" i="1"/>
  <c r="K135" i="1"/>
  <c r="H135" i="1"/>
  <c r="L134" i="1"/>
  <c r="K134" i="1"/>
  <c r="H134" i="1"/>
  <c r="L133" i="1"/>
  <c r="K133" i="1"/>
  <c r="H133" i="1"/>
  <c r="L132" i="1"/>
  <c r="K132" i="1"/>
  <c r="H132" i="1"/>
  <c r="L131" i="1"/>
  <c r="K131" i="1"/>
  <c r="H131" i="1"/>
  <c r="L130" i="1"/>
  <c r="K130" i="1"/>
  <c r="H130" i="1"/>
  <c r="L129" i="1"/>
  <c r="K129" i="1"/>
  <c r="H129" i="1"/>
  <c r="L128" i="1"/>
  <c r="K128" i="1"/>
  <c r="H128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8" i="1"/>
  <c r="K118" i="1"/>
  <c r="H118" i="1"/>
  <c r="L117" i="1"/>
  <c r="K117" i="1"/>
  <c r="H117" i="1"/>
  <c r="L116" i="1"/>
  <c r="K116" i="1"/>
  <c r="H116" i="1"/>
  <c r="L115" i="1"/>
  <c r="K115" i="1"/>
  <c r="H115" i="1"/>
  <c r="L114" i="1"/>
  <c r="K114" i="1"/>
  <c r="H114" i="1"/>
  <c r="L113" i="1"/>
  <c r="K113" i="1"/>
  <c r="H113" i="1"/>
  <c r="L112" i="1"/>
  <c r="K112" i="1"/>
  <c r="H112" i="1"/>
  <c r="L111" i="1"/>
  <c r="K111" i="1"/>
  <c r="H111" i="1"/>
  <c r="L110" i="1"/>
  <c r="K110" i="1"/>
  <c r="H110" i="1"/>
  <c r="L109" i="1"/>
  <c r="K109" i="1"/>
  <c r="H109" i="1"/>
  <c r="L108" i="1"/>
  <c r="K108" i="1"/>
  <c r="H108" i="1"/>
  <c r="L107" i="1"/>
  <c r="K107" i="1"/>
  <c r="H107" i="1"/>
  <c r="L106" i="1"/>
  <c r="K106" i="1"/>
  <c r="H106" i="1"/>
  <c r="L100" i="1"/>
  <c r="K100" i="1"/>
  <c r="H100" i="1"/>
  <c r="L99" i="1"/>
  <c r="K99" i="1"/>
  <c r="H99" i="1"/>
  <c r="L98" i="1"/>
  <c r="K98" i="1"/>
  <c r="H98" i="1"/>
  <c r="L97" i="1"/>
  <c r="K97" i="1"/>
  <c r="H97" i="1"/>
  <c r="L96" i="1"/>
  <c r="K96" i="1"/>
  <c r="H96" i="1"/>
  <c r="L95" i="1"/>
  <c r="K95" i="1"/>
  <c r="H95" i="1"/>
  <c r="L94" i="1"/>
  <c r="K94" i="1"/>
  <c r="H94" i="1"/>
  <c r="L93" i="1"/>
  <c r="K93" i="1"/>
  <c r="H93" i="1"/>
  <c r="L92" i="1"/>
  <c r="K92" i="1"/>
  <c r="H92" i="1"/>
  <c r="L86" i="1"/>
  <c r="K86" i="1"/>
  <c r="H86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M71" i="1"/>
  <c r="L71" i="1"/>
  <c r="I71" i="1"/>
  <c r="M70" i="1"/>
  <c r="L70" i="1"/>
  <c r="I70" i="1"/>
  <c r="M69" i="1"/>
  <c r="L69" i="1"/>
  <c r="I69" i="1"/>
  <c r="M68" i="1"/>
  <c r="L68" i="1"/>
  <c r="I68" i="1"/>
  <c r="M67" i="1"/>
  <c r="L67" i="1"/>
  <c r="I67" i="1"/>
  <c r="M66" i="1"/>
  <c r="L66" i="1"/>
  <c r="I66" i="1"/>
  <c r="M65" i="1"/>
  <c r="L65" i="1"/>
  <c r="I65" i="1"/>
  <c r="M64" i="1"/>
  <c r="L64" i="1"/>
  <c r="I64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<sst xmlns="http://schemas.openxmlformats.org/spreadsheetml/2006/main" count="5331" uniqueCount="525">
  <si>
    <t>Informe de trayectos</t>
  </si>
  <si>
    <t>Periodo: 19 de febrero de 2025 0:00 - 19 de febrero de 2025 23:59</t>
  </si>
  <si>
    <t>Informe generado</t>
  </si>
  <si>
    <t>a: 22 de septiembre de 2025 14:44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</si>
  <si>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</si>
  <si>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</si>
  <si>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</si>
  <si>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</si>
  <si>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</si>
  <si>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</si>
  <si>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</si>
  <si>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</si>
  <si>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</si>
  <si>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</si>
  <si>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</si>
  <si>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</si>
  <si>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</si>
  <si>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</si>
  <si>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</si>
  <si>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89 km/h</t>
  </si>
  <si>
    <t>16 km/h</t>
  </si>
  <si>
    <t>Avenida Lima Norte, Santa Eulalia, Lima Metropolitana, Lima, 15468, Perú</t>
  </si>
  <si>
    <t>Jirón Huarochirí, 643, Lima, Lima Metropolitana, Lima, 15082, Perú</t>
  </si>
  <si>
    <t>80 km/h</t>
  </si>
  <si>
    <t>3 km/h</t>
  </si>
  <si>
    <t>Los Huancas, Ate, Lima Metropolitana, Lima, 15483, Perú</t>
  </si>
  <si>
    <t>84 km/h</t>
  </si>
  <si>
    <t>18 km/h</t>
  </si>
  <si>
    <t>Ate, Lima Metropolitana, Lima, 15483, Perú</t>
  </si>
  <si>
    <t>73 km/h</t>
  </si>
  <si>
    <t>25 km/h</t>
  </si>
  <si>
    <t>8 km/h</t>
  </si>
  <si>
    <t>78 km/h</t>
  </si>
  <si>
    <t>19 km/h</t>
  </si>
  <si>
    <t>Avenida Huancaray, Santa Anita, Lima Metropolitana, Lima, 15009, Perú, (RUTA DESVIO TEM.  4507)</t>
  </si>
  <si>
    <t>23 km/h</t>
  </si>
  <si>
    <t>Carretera Central, Chaclacayo, Lima Metropolitana, Lima, 15476, Perú</t>
  </si>
  <si>
    <t>17 km/h</t>
  </si>
  <si>
    <t>Calle los Alamos, Chosica, Lima Metropolitana, Lima, 15468, Perú</t>
  </si>
  <si>
    <t>Avenida Las Retamas, Ricardo Palma, Huarochirí, Lima, 15468, Perú</t>
  </si>
  <si>
    <t>104 km/h</t>
  </si>
  <si>
    <t>Calle Las Gardenias, Ricardo Palma, Huarochirí, Lima, 15468, Perú</t>
  </si>
  <si>
    <t>83 km/h</t>
  </si>
  <si>
    <t>14 km/h</t>
  </si>
  <si>
    <t>Capitan Gamarra, Ricardo Palma, Huarochirí, Lima, 15468, Perú, (Ruta4507nueva era 23-10-23)</t>
  </si>
  <si>
    <t>85 km/h</t>
  </si>
  <si>
    <t>15 km/h</t>
  </si>
  <si>
    <t>Calle A, Chosica, Lima Metropolitana, Lima, 15468, Perú</t>
  </si>
  <si>
    <t>88 km/h</t>
  </si>
  <si>
    <t>Avenida José Carlos Mariátegui, Ricardo Palma, Huarochirí, Lima, 15468, Perú</t>
  </si>
  <si>
    <t>74 km/h</t>
  </si>
  <si>
    <t>Carretera Central, 200, Chaclacayo, Lima Metropolitana, Lima, 15476, Perú</t>
  </si>
  <si>
    <t>93 km/h</t>
  </si>
  <si>
    <t>Avenida Micaela Bastidas, 382, Santa Eulalia, Huarochirí, Lima, 15468, Perú</t>
  </si>
  <si>
    <t>Calle Nueva Los Alamos, Santa Eulalia, Huarochirí, Lima, 15468, Perú</t>
  </si>
  <si>
    <t>91 km/h</t>
  </si>
  <si>
    <t>Calle Cerro de Pasco, Ate, Lima Metropolitana, Lima, 15498, Perú</t>
  </si>
  <si>
    <t>31 km/h</t>
  </si>
  <si>
    <t>4 km/h</t>
  </si>
  <si>
    <t>Avenida Bernard de Balaguer, Lurigancho, Lima Metropolitana, Lima, 15464, Perú</t>
  </si>
  <si>
    <t>87 km/h</t>
  </si>
  <si>
    <t>77 km/h</t>
  </si>
  <si>
    <t>13 km/h</t>
  </si>
  <si>
    <t>82 km/h</t>
  </si>
  <si>
    <t>Calle 1, Ate, Lima Metropolitana, Lima, 15483, Perú</t>
  </si>
  <si>
    <t>81 km/h</t>
  </si>
  <si>
    <t>Santa Eulalia, Huarochirí, Lima, 15468, Perú</t>
  </si>
  <si>
    <t>Avenida Las Retamas, Chaclacayo, Lima Metropolitana, Lima, 15474, Perú</t>
  </si>
  <si>
    <t>61 km/h</t>
  </si>
  <si>
    <t>Calle Leoncio Prado, Santa Eulalia, Huarochirí, Lima, 15468, Perú</t>
  </si>
  <si>
    <t>Calle Estocolmo, Ate, Lima Metropolitana, Lima, 15498, Perú</t>
  </si>
  <si>
    <t>Calle Las Tunas, Santa Anita, Lima Metropolitana, Lima, 15007, Perú</t>
  </si>
  <si>
    <t>0 km/h</t>
  </si>
  <si>
    <t>Calle Los Topacios, Lurigancho, Lima Metropolitana, Lima, 15472, Perú</t>
  </si>
  <si>
    <t>Avenida Alfonso Cobián, Chaclacayo, Lima Metropolitana, Lima, 15476, Perú</t>
  </si>
  <si>
    <t>Avenida Malecón Manco Cápac, Chaclacayo, Lima Metropolitana, Lima, 15472, Perú</t>
  </si>
  <si>
    <t>Avenida Nicolás de Ayllón, Ate, Lima Metropolitana, Lima, 15009, Perú, (Ruta4507nueva era 23-10-23)</t>
  </si>
  <si>
    <t>Calle 11, Santa Anita, Lima Metropolitana, Lima, 15009, Perú</t>
  </si>
  <si>
    <t>76 km/h</t>
  </si>
  <si>
    <t>Carretera Central, Ate, Lima Metropolitana, Lima, 15474, Perú</t>
  </si>
  <si>
    <t>Ate, Lima Metropolitana, Lima, 15474, Perú</t>
  </si>
  <si>
    <t>Chosica, Lima Metropolitana, Lima, 15468, Perú</t>
  </si>
  <si>
    <t>Carretera Central, Chaclacayo, Lima Metropolitana, Lima, 15476, Perú, (Ruta4507nueva era 23-10-23)</t>
  </si>
  <si>
    <t>Calle Los Álamos, Ate, Lima Metropolitana, Lima, 15483, Perú</t>
  </si>
  <si>
    <t>27 km/h</t>
  </si>
  <si>
    <t>7 km/h</t>
  </si>
  <si>
    <t>Avenida Enrique Guzmán y Valle, Chosica, Lima Metropolitana, Lima, 15468, Perú</t>
  </si>
  <si>
    <t>86 km/h</t>
  </si>
  <si>
    <t>Venta, Ate, Lima Metropolitana, Lima, 15474, Perú</t>
  </si>
  <si>
    <t>Avenida Los Incas, Ate, Lima Metropolitana, Lima, 15483, Perú</t>
  </si>
  <si>
    <t>95 km/h</t>
  </si>
  <si>
    <t>Avenida Nicolás de Ayllón, Ate, Lima Metropolitana, Lima, 15487, Perú, (Ruta4507nueva era 23-10-23)</t>
  </si>
  <si>
    <t>Ate, Lima Metropolitana, Lima, 15487, Perú</t>
  </si>
  <si>
    <t>Corcona, Huarochirí, Lima, Perú</t>
  </si>
  <si>
    <t>Jirón Macará, 419, San Martín de Porres, Lima Metropolitana, Lima, 15102, Perú</t>
  </si>
  <si>
    <t>Lurigancho, Lima Metropolitana, Lima, 15468, Perú</t>
  </si>
  <si>
    <t>75 km/h</t>
  </si>
  <si>
    <t>Plaza Francisco Bolognesi, Lima, Lima Metropolitana, Lima, 15083, Perú, (Ruta4507nueva era 23-10-23)</t>
  </si>
  <si>
    <t>Avenida Paseo de la República, Lima, Lima Metropolitana, Lima, 15083, Perú, (Ruta4507nueva era 23-10-23)</t>
  </si>
  <si>
    <t>Avenida José Carlos Mariátegui, Ate, Lima Metropolitana, Lima, 15487, Perú</t>
  </si>
  <si>
    <t>52 km/h</t>
  </si>
  <si>
    <t>6 km/h</t>
  </si>
  <si>
    <t>Avenida Colectora, Chosica, Lima Metropolitana, Lima, 15468, Perú</t>
  </si>
  <si>
    <t>Avenida Micaela Bastidas, 561, Santa Eulalia, Huarochirí, Lima, 15468, Perú</t>
  </si>
  <si>
    <t>Avenida Nicolás de Ayllón, Ate, Lima Metropolitana, Lima, 15498, Perú, (Ruta4507nueva era 23-10-23)</t>
  </si>
  <si>
    <t>Alameda E, Chaclacayo, Lima Metropolitana, Lima, 15476, Perú</t>
  </si>
  <si>
    <t>70 km/h</t>
  </si>
  <si>
    <t>Micaela Bastidas, Ate, Lima Metropolitana, Lima, 15498, Perú</t>
  </si>
  <si>
    <t>Simón Bolívar, Ricardo Palma, Huarochirí, Lima, 15468, Perú</t>
  </si>
  <si>
    <t>Avenida Lima Norte, Chosica, Lima Metropolitana, Lima, 15468, Perú</t>
  </si>
  <si>
    <t>Avenida Simón Bolívar, Santa Eulalia, Huarochirí, Lima, 15468, Perú</t>
  </si>
  <si>
    <t>63 km/h</t>
  </si>
  <si>
    <t>Avenida Nicolás de Ayllón, Ate, Lima Metropolitana, Lima, 15008, Perú, (Ruta4507nueva era 23-10-23)</t>
  </si>
  <si>
    <t>79 km/h</t>
  </si>
  <si>
    <t>Avenida Nicolás de Ayllón, Lima, Lima Metropolitana, Lima, 15011, Perú, (Ruta4507nueva era 23-10-23)</t>
  </si>
  <si>
    <t>Avenida Alfonso Ugarte, 699, Lima, Lima Metropolitana, Lima, 15082, Perú, (Ruta4507nueva era 23-10-23)</t>
  </si>
  <si>
    <t>94 km/h</t>
  </si>
  <si>
    <t>Jirón Los Próceres, Santa Eulalia, Huarochirí, Lima, 15468, Perú</t>
  </si>
  <si>
    <t>Carretera Central, Ate, Lima Metropolitana, Lima, 15487, Perú, (Ruta4507nueva era 23-10-23)</t>
  </si>
  <si>
    <t>96 km/h</t>
  </si>
  <si>
    <t>Avenida Simón Bolívar, Santa Eulalia, Huarochirí, Lima, 15468, Perú, (Ruta4507nueva era 23-10-23)</t>
  </si>
  <si>
    <t>Avenida José Santos Chocano, Ricardo Palma, Huarochirí, Lima, 15468, Perú</t>
  </si>
  <si>
    <t>97 km/h</t>
  </si>
  <si>
    <t>10 km/h</t>
  </si>
  <si>
    <t>Totales:</t>
  </si>
  <si>
    <t/>
  </si>
  <si>
    <t>* Los datos de combustible se calculan de acuerdo con el consumo medio de combustible del vehículo especificado en su configuración</t>
  </si>
  <si>
    <t>1 km/h</t>
  </si>
  <si>
    <t>Abraham Valdelomar, Ricardo Palma, Huarochirí, Lima, 15468, Perú</t>
  </si>
  <si>
    <t>22 km/h</t>
  </si>
  <si>
    <t>Jose Carlos Mariátegui, Ricardo Palma, Lima Metropolitana, Lima, 15468, Perú, (PARADERO RICARDO PALMA)</t>
  </si>
  <si>
    <t>36 km/h</t>
  </si>
  <si>
    <t>9 km/h</t>
  </si>
  <si>
    <t>Pasaje Gould, Lima, Lima Metropolitana, Lima, 15082, Perú</t>
  </si>
  <si>
    <t>5 km/h</t>
  </si>
  <si>
    <t>Marcos Puente Llanos, Ate, Lima Metropolitana, Lima, 15498, Perú, (RUTA DESVIO TEM.  4507)</t>
  </si>
  <si>
    <t>2 km/h</t>
  </si>
  <si>
    <t>11 km/h</t>
  </si>
  <si>
    <t>50 km/h</t>
  </si>
  <si>
    <t>Carretera Central, Chaclacayo, Lima Metropolitana, Lima, 15474, Perú, (S07ÑAÑA, Ruta4507nueva era 23-10-23)</t>
  </si>
  <si>
    <t>Avenida Malecón Manco Cápac, Chaclacayo, Lima Metropolitana, Lima, 15472, Perú, (Ruta4507nueva era 23-10-23)</t>
  </si>
  <si>
    <t>64 km/h</t>
  </si>
  <si>
    <t>32 km/h</t>
  </si>
  <si>
    <t>Avenida Iquitos, Lima, Lima Metropolitana, Lima, 15001, Perú, (Ruta4507nueva era 23-10-23)</t>
  </si>
  <si>
    <t>Jose Carlos Mariátegui, Chosica, Lima Metropolitana, Lima, 15468, Perú, (PARADERO RICARDO PALMA)</t>
  </si>
  <si>
    <t>Vía Expresa Almirante Miguel Grau, La Victoria, Lima Metropolitana, Lima, 15001, Perú, (Ruta4507nueva era 23-10-23)</t>
  </si>
  <si>
    <t>Avenida Almirante Miguel Grau, 351, La Victoria, Lima Metropolitana, Lima, 15001, Perú, (Ruta4507nueva era 23-10-23)</t>
  </si>
  <si>
    <t>47 km/h</t>
  </si>
  <si>
    <t>12 km/h</t>
  </si>
  <si>
    <t>20 km/h</t>
  </si>
  <si>
    <t>Ricardo Palma, Huarochirí, Lima, 15468, Perú, (CURVA RICARDO PALMA, Ruta4507nueva era 23-10-23)</t>
  </si>
  <si>
    <t>24 km/h</t>
  </si>
  <si>
    <t>Avenida José Carlos Mariátegui, Ricardo Palma, Huarochirí, Lima, 15468, Perú, (CURVA RICARDO PALMA, Ruta4507nueva era 23-10-23)</t>
  </si>
  <si>
    <t>65 km/h</t>
  </si>
  <si>
    <t>Ricardo Palma, Huarochirí, Lima, 15468, Perú, (Ruta4507nueva era 23-10-23)</t>
  </si>
  <si>
    <t>26 km/h</t>
  </si>
  <si>
    <t>Avenida Andrés Avelino Cáceres, Ate, Lima Metropolitana, Lima, 15483, Perú</t>
  </si>
  <si>
    <t>Avenida Nicolás de Ayllón, Ate, Lima Metropolitana, Lima, 15002, Perú, (Ruta4507nueva era 23-10-23)</t>
  </si>
  <si>
    <t>Avenida Nicolás de Ayllón, Ate, Lima Metropolitana, Lima, 15002, Perú, (Ruta4507nueva era 23-10-23, RUTA DESVIO TEM.  4507)</t>
  </si>
  <si>
    <t>Avenida José Carlos Mariátegui, Ricardo Palma, Huarochirí, Lima, 15468, Perú, (Ruta4507nueva era 23-10-23)</t>
  </si>
  <si>
    <t>71 km/h</t>
  </si>
  <si>
    <t>30 km/h</t>
  </si>
  <si>
    <t>Avenida Santa Rosa, El Agustino, Lima Metropolitana, Lima, 15002, Perú, (Ruta4507nueva era 23-10-23, RUTA DESVIO TEM.  4507)</t>
  </si>
  <si>
    <t>Calle Salaverry, 280, Chosica, Lima Metropolitana, Lima, 15468, Perú, (Ruta4507nueva era 23-10-23)</t>
  </si>
  <si>
    <t>Avenida Nicolás de Ayllón, Santa Anita, Lima Metropolitana, Lima, 15498, Perú, (Ruta4507nueva era 23-10-23)</t>
  </si>
  <si>
    <t>68 km/h</t>
  </si>
  <si>
    <t>21 km/h</t>
  </si>
  <si>
    <t>Calle Berlín, Ate, Lima Metropolitana, Lima, 15498, Perú, (RUTA DESVIO TEM.  4507)</t>
  </si>
  <si>
    <t>Carretera Central, Lurigancho, Lima Metropolitana, Lima, 15483, Perú</t>
  </si>
  <si>
    <t>33 km/h</t>
  </si>
  <si>
    <t>67 km/h</t>
  </si>
  <si>
    <t>42 km/h</t>
  </si>
  <si>
    <t>35 km/h</t>
  </si>
  <si>
    <t>Carretera Central, Chaclacayo, Lima Metropolitana, Lima, 15464, Perú</t>
  </si>
  <si>
    <t>43 km/h</t>
  </si>
  <si>
    <t>Carretera Central, Chaclacayo, Lima Metropolitana, Lima, 15474, Perú, (Ruta4507nueva era 23-10-23)</t>
  </si>
  <si>
    <t>Carretera Central, Ate, Lima Metropolitana, Lima, 15474, Perú, (Ruta4507nueva era 23-10-23)</t>
  </si>
  <si>
    <t>55 km/h</t>
  </si>
  <si>
    <t>28 km/h</t>
  </si>
  <si>
    <t>Carretera Central, Ate, Lima Metropolitana, Lima, 15483, Perú, (Ruta4507nueva era 23-10-23)</t>
  </si>
  <si>
    <t>62 km/h</t>
  </si>
  <si>
    <t>39 km/h</t>
  </si>
  <si>
    <t>Ate, Lima Metropolitana, Lima, 15483, Perú, (Ruta4507nueva era 23-10-23)</t>
  </si>
  <si>
    <t>54 km/h</t>
  </si>
  <si>
    <t>Carretera Central, Ate, Lima Metropolitana, Lima, 15487, Perú, (S06 SANTA CLARA, Ruta4507nueva era 23-10-23)</t>
  </si>
  <si>
    <t>29 km/h</t>
  </si>
  <si>
    <t>Avenida Nicolás de Ayllón, Ate, Lima Metropolitana, Lima, 15498, Perú, (Ruta4507nueva era 23-10-23, RUTA DESVIO TEM.  4507)</t>
  </si>
  <si>
    <t>Avenida Nicolás de Ayllón, 5880, Ate, Lima Metropolitana, Lima, 15498, Perú, (S05Vitarte/ ALT. Hospital, Ruta4507nueva era 23-10-23)</t>
  </si>
  <si>
    <t>Jirón San Martín de Porres, Ate, Lima Metropolitana, Lima, 15498, Perú, (Ruta4507nueva era 23-10-23, RUTA DESVIO TEM.  4507)</t>
  </si>
  <si>
    <t>Victor Raul Haya de la Torre, Ate, Lima Metropolitana, Lima, 15498, Perú, (Ruta4507nueva era 23-10-23)</t>
  </si>
  <si>
    <t>Víctor Raúl Haya de la Torre, Ate, Lima Metropolitana, Lima, 15498, Perú, (Ruta4507nueva era 23-10-23)</t>
  </si>
  <si>
    <t>34 km/h</t>
  </si>
  <si>
    <t>Avenida Nicolás de Ayllón, Santa Anita, Lima Metropolitana, Lima, 15009, Perú, (Ruta4507nueva era 23-10-23)</t>
  </si>
  <si>
    <t>53 km/h</t>
  </si>
  <si>
    <t>37 km/h</t>
  </si>
  <si>
    <t>Avenida Nicolás de Ayllón, Santa Anita, Lima Metropolitana, Lima, 15008, Perú, (Ruta4507nueva era 23-10-23, RUTA DESVIO TEM.  4507)</t>
  </si>
  <si>
    <t>Avenida Nicolás de Ayllón, El Agustino, Lima Metropolitana, Lima, 15008, Perú, (Ruta4507nueva era 23-10-23)</t>
  </si>
  <si>
    <t>Vía de Evitamiento, Santa Anita, Lima Metropolitana, Lima, 15008, Perú, (Ruta4507nueva era 23-10-23, RUTA DESVIO TEM.  4507)</t>
  </si>
  <si>
    <t>Avenida Nicolás de Ayllón, El Agustino, Lima Metropolitana, Lima, 15008, Perú, (Ruta4507nueva era 23-10-23, RUTA DESVIO TEM.  4507)</t>
  </si>
  <si>
    <t>Avenida Santa María, Ate, Lima Metropolitana, Lima, 15022, Perú</t>
  </si>
  <si>
    <t>Avenida De Las Torres, 225, San Luis, Lima Metropolitana, Lima, 15022, Perú</t>
  </si>
  <si>
    <t>Avenida De Las Torres, San Luis, Lima Metropolitana, Lima, 15022, Perú</t>
  </si>
  <si>
    <t>41 km/h</t>
  </si>
  <si>
    <t>Nardos, Ate, Lima Metropolitana, Lima, 15019, Perú</t>
  </si>
  <si>
    <t>Avenida José de la Riva Aguero, El Agustino, Lima Metropolitana, Lima, 15004, Perú</t>
  </si>
  <si>
    <t>Calle El Pino, El Agustino, Lima Metropolitana, Lima, 15004, Perú</t>
  </si>
  <si>
    <t>Avenida Nicolás Ayllón, 137, Lima, Lima Metropolitana, Lima, 15011, Perú, (Ruta4507nueva era 23-10-23)</t>
  </si>
  <si>
    <t>Avenida Almirante Miguel Grau, 1553, Lima, Lima Metropolitana, Lima, 15011, Perú, (Ruta4507nueva era 23-10-23)</t>
  </si>
  <si>
    <t>Avenida Almirante Miguel Grau, 1518, Lima, Lima Metropolitana, Lima, 15011, Perú, (Ruta4507nueva era 23-10-23)</t>
  </si>
  <si>
    <t>Avenida Almirante Miguel Grau, 887, Lima, Lima Metropolitana, Lima, 15001, Perú, (Ruta4507nueva era 23-10-23)</t>
  </si>
  <si>
    <t>Avenida Almirante Miguel Grau, 848, Lima, Lima Metropolitana, Lima, 15001, Perú, (Ruta4507nueva era 23-10-23)</t>
  </si>
  <si>
    <t>Avenida Almirante Miguel Grau, 364, La Victoria, Lima Metropolitana, Lima, 15001, Perú, (Ruta4507nueva era 23-10-23)</t>
  </si>
  <si>
    <t>Avenida Almirante Miguel Grau, La Victoria, Lima Metropolitana, Lima, 15001, Perú, (Ruta4507nueva era 23-10-23)</t>
  </si>
  <si>
    <t>46 km/h</t>
  </si>
  <si>
    <t>Avenida 28 de Julio, Lima, Lima Metropolitana, Lima, 15083, Perú</t>
  </si>
  <si>
    <t>Avenida 28 de Julio, 715, Jesús María, Lima Metropolitana, Lima, 15083, Perú</t>
  </si>
  <si>
    <t>Jirón Washington, 1938, Lima, Lima Metropolitana, Lima, 15083, Perú</t>
  </si>
  <si>
    <t>Avenida Guzmán Blanco, 445, Lima, Lima Metropolitana, Lima, 15083, Perú</t>
  </si>
  <si>
    <t>Avenida Guzmán Blanco, 199, Lima, Lima Metropolitana, Lima, 15083, Perú</t>
  </si>
  <si>
    <t>Avenida Alfonso Ugarte, 1439, Lima, Lima Metropolitana, Lima, 15083, Perú, (Ruta4507nueva era 23-10-23)</t>
  </si>
  <si>
    <t>Avenida Alfonso Ugarte, 1409, Lima, Lima Metropolitana, Lima, 15083, Perú, (Ruta4507nueva era 23-10-23)</t>
  </si>
  <si>
    <t>Avenida Alfonso Ugarte, 1227, Breña, Lima Metropolitana, Lima, 15083, Perú</t>
  </si>
  <si>
    <t>Jirón Zepita, 101, Lima, Lima Metropolitana, Lima, 15082, Perú</t>
  </si>
  <si>
    <t>Avenida Alfonso Ugarte, 641B, Lima, Lima Metropolitana, Lima, 15082, Perú, (Ruta4507nueva era 23-10-23)</t>
  </si>
  <si>
    <t>Avenida Óscar Raimundo Benavides, 150, Lima, Lima Metropolitana, Lima, 15082, Perú, (Ruta4507nueva era 23-10-23)</t>
  </si>
  <si>
    <t>Avenida Óscar Raimundo Benavides, 150, Lima, Lima Metropolitana, Lima, 15082, Perú</t>
  </si>
  <si>
    <t>Avenida Alfonso Ugarte, 848, Lima, Lima Metropolitana, Lima, 15082, Perú, (Ruta4507nueva era 23-10-23)</t>
  </si>
  <si>
    <t>Avenida Alfonso Ugarte, Lima, Lima Metropolitana, Lima, 15082, Perú, (Ruta4507nueva era 23-10-23)</t>
  </si>
  <si>
    <t>Avenida Alfonso Ugarte, 848, Lima, Lima Metropolitana, Lima, 15082, Perú</t>
  </si>
  <si>
    <t>Avenida Alfonso Ugarte, 900, Breña, Lima Metropolitana, Lima, 15082, Perú, (Ruta4507nueva era 23-10-23)</t>
  </si>
  <si>
    <t>Jirón Pomabamba, Breña, Lima Metropolitana, Lima, 15082, Perú, (Ruta4507nueva era 23-10-23)</t>
  </si>
  <si>
    <t>Avenida Alfonso Ugarte, Cdra. 9, Lima, Lima Metropolitana, Lima, 15082, Perú, (Ruta4507nueva era 23-10-23)</t>
  </si>
  <si>
    <t>Avenida Alfonso Ugarte, 1006, Lima, Lima Metropolitana, Lima, 15082, Perú, (Ruta4507nueva era 23-10-23)</t>
  </si>
  <si>
    <t>Avenida Alfonso Ugarte, Breña, Lima Metropolitana, Lima, 15082, Perú, (S01Alfonso Ugarte/ Metro, Ruta4507nueva era 23-10-23)</t>
  </si>
  <si>
    <t>Avenida Alfonso Ugarte, 494, Breña, Lima Metropolitana, Lima, 15083, Perú, (Ruta4507nueva era 23-10-23)</t>
  </si>
  <si>
    <t>45 km/h</t>
  </si>
  <si>
    <t>Plaza Francisco Bolognesi, 590, Jesús María, Lima Metropolitana, Lima, 15083, Perú, (GIRO EN  PLAZA BOLOGNESI, Ruta4507nueva era 23-10-23)</t>
  </si>
  <si>
    <t>Avenida Guzmán Blanco, Lima, Lima Metropolitana, Lima, 15083, Perú</t>
  </si>
  <si>
    <t>Avenida 28 de Julio, 1056, Jesús María, Lima Metropolitana, Lima, 15083, Perú</t>
  </si>
  <si>
    <t>Avenida Paseo de la República, Lima, Lima Metropolitana, Lima, 15083, Perú</t>
  </si>
  <si>
    <t>Avenida Paseo de la República, 683, La Victoria, Lima Metropolitana, Lima, 15083, Perú</t>
  </si>
  <si>
    <t>Avenida Almirante Miguel Grau, Lima, Lima Metropolitana, Lima, 15011, Perú, (Ruta4507nueva era 23-10-23)</t>
  </si>
  <si>
    <t>Prolongación Avenida San Pablo, Lima, Lima Metropolitana, Lima, 15011, Perú, (Ruta4507nueva era 23-10-23)</t>
  </si>
  <si>
    <t>Prolongación Avenida San Pablo, Lima, Lima Metropolitana, Lima, 15011, Perú</t>
  </si>
  <si>
    <t>Avenida Inca Garcilazo de la Vega, El Agustino, Lima Metropolitana, Lima, 15004, Perú</t>
  </si>
  <si>
    <t>Avenida Inca Garcilazo de la Vega, El Agustino, Lima Metropolitana, Lima, 15004, Perú, (Ruta4507nueva era 23-10-23)</t>
  </si>
  <si>
    <t>Calle Ollanta, San Luis, Lima Metropolitana, Lima, 15019, Perú</t>
  </si>
  <si>
    <t>Pasaje Tahuantinsuyo, San Luis, Lima Metropolitana, Lima, 15019, Perú</t>
  </si>
  <si>
    <t>Calle 28 de Diciembre, San Luis, Lima Metropolitana, Lima, 15019, Perú, (Ruta4507nueva era 23-10-23)</t>
  </si>
  <si>
    <t>Avenida Nicolás de Ayllón, San Luis, Lima Metropolitana, Lima, 15019, Perú, (Ruta4507nueva era 23-10-23)</t>
  </si>
  <si>
    <t>Avenida Circunvalación, La Victoria, Lima Metropolitana, Lima, 15019, Perú</t>
  </si>
  <si>
    <t>44 km/h</t>
  </si>
  <si>
    <t>Avenida Nicolás de Ayllón, San Luis, Lima Metropolitana, Lima, 15022, Perú, (Ruta4507nueva era 23-10-23, RUTA DESVIO TEM.  4507)</t>
  </si>
  <si>
    <t>Avenida De Las Torres, San Luis, Lima Metropolitana, Lima, 15022, Perú, (Ruta4507nueva era 23-10-23, RUTA DESVIO TEM.  4507)</t>
  </si>
  <si>
    <t>51 km/h</t>
  </si>
  <si>
    <t>Ate, Lima Metropolitana, Lima, 15008, Perú</t>
  </si>
  <si>
    <t>40 km/h</t>
  </si>
  <si>
    <t>Vía de Evitamiento, Ate, Lima Metropolitana, Lima, 15008, Perú, (Ruta4507nueva era 23-10-23, RUTA DESVIO TEM.  4507)</t>
  </si>
  <si>
    <t>Calle Santa Inés, Ate, Lima Metropolitana, Lima, 15008, Perú, (Ruta4507nueva era 23-10-23, RUTA DESVIO TEM.  4507)</t>
  </si>
  <si>
    <t>Avenida Minería, Santa Anita, Lima Metropolitana, Lima, 15008, Perú, (Ruta4507nueva era 23-10-23, RUTA DESVIO TEM.  4507)</t>
  </si>
  <si>
    <t>Avenida Nicolás de Ayllón, Km. 3.5, Santa Anita, Lima Metropolitana, Lima, 00051, Perú, (Ruta4507nueva era 23-10-23)</t>
  </si>
  <si>
    <t>48 km/h</t>
  </si>
  <si>
    <t>Víctor Raúl Haya de la Torre, Ate, Lima Metropolitana, Lima, 15498, Perú, (Ruta4507nueva era 23-10-23, RUTA DESVIO TEM.  4507)</t>
  </si>
  <si>
    <t>Calle Parque Principal, Ate, Lima Metropolitana, Lima, 15498, Perú, (Ruta4507nueva era 23-10-23)</t>
  </si>
  <si>
    <t>Avenida Esperanza, Ate, Lima Metropolitana, Lima, 15487, Perú, (Ruta4507nueva era 23-10-23)</t>
  </si>
  <si>
    <t>56 km/h</t>
  </si>
  <si>
    <t>Avenida Gloria Grande, Ate, Lima Metropolitana, Lima, 15483, Perú, (Ruta4507nueva era 23-10-23)</t>
  </si>
  <si>
    <t>Avenida Jaime Zubieta Calderón, Ate, Lima Metropolitana, Lima, 15483, Perú, (Ruta4507nueva era 23-10-23)</t>
  </si>
  <si>
    <t>Avenida Jaime Zubieta Calderon, Ate, Lima Metropolitana, Lima, 15483, Perú, (Ruta4507nueva era 23-10-23)</t>
  </si>
  <si>
    <t>Carretera Central, Ate, Lima Metropolitana, Lima, 15474, Perú, (Horacio Zeballos)</t>
  </si>
  <si>
    <t>Avenida José Carlos Mariátegui, Ate, Lima Metropolitana, Lima, 15474, Perú, (Horacio Zeballos)</t>
  </si>
  <si>
    <t>Carretera Central, Chaclacayo, Lima Metropolitana, Lima, 15464, Perú, (Ruta4507nueva era 23-10-23)</t>
  </si>
  <si>
    <t>Avenida Nicolás Ayllón, 161 C, Chaclacayo, Lima Metropolitana, Lima, 15464, Perú, (Ruta4507nueva era 23-10-23)</t>
  </si>
  <si>
    <t>60 km/h</t>
  </si>
  <si>
    <t>Avenida Nicolás Ayllón, 161 C, Chaclacayo, Lima Metropolitana, Lima, 15472, Perú, (Ruta4507nueva era 23-10-23)</t>
  </si>
  <si>
    <t>Avenida Nicolás Ayllón, Chaclacayo, Lima Metropolitana, Lima, 15472, Perú, (Ruta4507nueva era 23-10-23)</t>
  </si>
  <si>
    <t>Avenida Nicolás Ayllón, 432, Chaclacayo, Lima Metropolitana, Lima, 15472, Perú, (Ruta4507nueva era 23-10-23)</t>
  </si>
  <si>
    <t>Avenida Nicolás Ayllón, 477, Chaclacayo, Lima Metropolitana, Lima, 15472, Perú, (Ruta4507nueva era 23-10-23)</t>
  </si>
  <si>
    <t>38 km/h</t>
  </si>
  <si>
    <t>Avenida Nicolás Ayllón, 900, Chaclacayo, Lima Metropolitana, Lima, 15472, Perú, (Ruta4507nueva era 23-10-23)</t>
  </si>
  <si>
    <t>Carretera Central, Lurigancho, Lima Metropolitana, Lima, 15472, Perú, (Ruta4507nueva era 23-10-23)</t>
  </si>
  <si>
    <t>Avenida Las Flores, Chosica, Lima Metropolitana, Lima, 15468, Perú, (Ruta4507nueva era 23-10-23)</t>
  </si>
  <si>
    <t>57 km/h</t>
  </si>
  <si>
    <t>Calle Los Geranios, Chosica, Lima Metropolitana, Lima, 15468, Perú, (Ruta4507nueva era 23-10-23)</t>
  </si>
  <si>
    <t>Avenida Lima Sur, 824, Chosica, Lima Metropolitana, Lima, 15468, Perú, (Ruta4507nueva era 23-10-23)</t>
  </si>
  <si>
    <t>Jirón Chucuito, 187, Chosica, Lima Metropolitana, Lima, 15468, Perú, (Ruta4507nueva era 23-10-23)</t>
  </si>
  <si>
    <t>Avenida Lima Sur, Chosica, Lima Metropolitana, Lima, 15468, Perú, (Ruta4507nueva era 23-10-23)</t>
  </si>
  <si>
    <t>Avenida Lima Sur, 465, Chosica, Lima Metropolitana, Lima, 15468, Perú, (Ruta4507nueva era 23-10-23)</t>
  </si>
  <si>
    <t>Avenida Lima Sur, 275, Chosica, Lima Metropolitana, Lima, 15468, Perú, (Ruta4507nueva era 23-10-23)</t>
  </si>
  <si>
    <t>Avenida Lima Norte, Santa Eulalia, Lima Metropolitana, Lima, 15468, Perú, (Ruta4507nueva era 23-10-23)</t>
  </si>
  <si>
    <t>Avenida Lima Norte, Santa Eulalia, Huarochirí, Lima, 15468, Perú, (Ruta4507nueva era 23-10-23)</t>
  </si>
  <si>
    <t>Calle Cesar Vallejo, Ricardo Palma, Huarochirí, Lima, 15468, Perú</t>
  </si>
  <si>
    <t>Avenida Lima Norte, 574, Santa Eulalia, Lima Metropolitana, Lima, 15468, Perú, (Ruta4507nueva era 23-10-23)</t>
  </si>
  <si>
    <t>58 km/h</t>
  </si>
  <si>
    <t>Avenida Lima Norte, Chosica, Lima Metropolitana, Lima, 15468, Perú, (Ruta4507nueva era 23-10-23)</t>
  </si>
  <si>
    <t>Jirón Tacna, Chosica, Lima Metropolitana, Lima, 15468, Perú, (Ruta4507nueva era 23-10-23)</t>
  </si>
  <si>
    <t>Jirón Tacna, Chosica, Lima Metropolitana, Lima, 15468, Perú</t>
  </si>
  <si>
    <t>Avenida Lima Sur, 765, Chosica, Lima Metropolitana, Lima, 15468, Perú, (Ruta4507nueva era 23-10-23)</t>
  </si>
  <si>
    <t>Avenida Lima Sur, Chosica, Lima Metropolitana, Lima, 15468, Perú, (S09 CHOSICA/ PEDREGAL, Ruta4507nueva era 23-10-23)</t>
  </si>
  <si>
    <t>66 km/h</t>
  </si>
  <si>
    <t>Ate, Lima Metropolitana, Lima, 15474, Perú, (Ruta4507nueva era 23-10-23)</t>
  </si>
  <si>
    <t>49 km/h</t>
  </si>
  <si>
    <t>72 km/h</t>
  </si>
  <si>
    <t>Calle Las Praderas, Ate, Lima Metropolitana, Lima, 15487, Perú, (Ruta4507nueva era 23-10-23)</t>
  </si>
  <si>
    <t>Avenida Nicolás de Ayllón, 500, Ate, Lima Metropolitana, Lima, 15498, Perú, (Ruta4507nueva era 23-10-23)</t>
  </si>
  <si>
    <t>Ate, Lima Metropolitana, Lima, 15498, Perú, (Ruta4507nueva era 23-10-23)</t>
  </si>
  <si>
    <t>Calle Progreso, Ate, Lima Metropolitana, Lima, 15498, Perú</t>
  </si>
  <si>
    <t>Victor Raul Haya de la Torre, Ate, Lima Metropolitana, Lima, 15498, Perú</t>
  </si>
  <si>
    <t>Avenida Nicolás de Ayllón, Ate, Lima Metropolitana, Lima, 15498, Perú</t>
  </si>
  <si>
    <t>Avenida Separadora Industrial, Ate, Lima Metropolitana, Lima, 15498, Perú, (Ruta4507nueva era 23-10-23)</t>
  </si>
  <si>
    <t>Avenida Nicolás de Ayllón, Santa Anita, Lima Metropolitana, Lima, 00051, Perú, (Ruta4507nueva era 23-10-23)</t>
  </si>
  <si>
    <t>Las Alondras, 237, Santa Anita, Lima Metropolitana, Lima, 15008, Perú, (Ruta4507nueva era 23-10-23)</t>
  </si>
  <si>
    <t>Las Alondras, Santa Anita, Lima Metropolitana, Lima, 15008, Perú, (Ruta4507nueva era 23-10-23)</t>
  </si>
  <si>
    <t>Avenida Nicolás de Ayllón, Santa Anita, Lima Metropolitana, Lima, 15008, Perú, (Ruta4507nueva era 23-10-23)</t>
  </si>
  <si>
    <t>Vía de Evitamiento, Santa Anita, Lima Metropolitana, Lima, 15008, Perú, (Ruta4507nueva era 23-10-23)</t>
  </si>
  <si>
    <t>Avenida Andrés Avelino Cáceres, Ate, Lima Metropolitana, Lima, 15019, Perú</t>
  </si>
  <si>
    <t>Avenida Inca Garcilazo de la Vega, Lima, Lima Metropolitana, Lima, 15004, Perú</t>
  </si>
  <si>
    <t>Avenida Almirante Miguel Grau, 1864, Lima, Lima Metropolitana, Lima, 15011, Perú</t>
  </si>
  <si>
    <t>Avenida Almirante Miguel Grau, 1832, Lima, Lima Metropolitana, Lima, 15011, Perú</t>
  </si>
  <si>
    <t>Avenida Almirante Miguel Grau, 1804, Lima, Lima Metropolitana, Lima, 15011, Perú</t>
  </si>
  <si>
    <t>Avenida Almirante Miguel Grau, 1772, Lima, Lima Metropolitana, Lima, 15011, Perú</t>
  </si>
  <si>
    <t>Vía Expresa Almirante Miguel Grau, Lima, Lima Metropolitana, Lima, 15011, Perú, (Ruta4507nueva era 23-10-23)</t>
  </si>
  <si>
    <t>Vía Expresa Almirante Miguel Grau, La Victoria, Lima Metropolitana, Lima, 15011, Perú, (Ruta4507nueva era 23-10-23)</t>
  </si>
  <si>
    <t>Avenida Almirante Miguel Grau, 813, Lima, Lima Metropolitana, Lima, 15001, Perú, (Ruta4507nueva era 23-10-23)</t>
  </si>
  <si>
    <t>Avenida Almirante Miguel Grau, 800, La Victoria, Lima Metropolitana, Lima, 15011, Perú, (Ruta4507nueva era 23-10-23)</t>
  </si>
  <si>
    <t>Vía Expresa Almirante Miguel Grau, La Victoria, Lima Metropolitana, Lima, 15001, Perú, (S02 AV.GRAU/ JR ANDAHUAYLAS, Ruta4507nueva era 23-10-23)</t>
  </si>
  <si>
    <t>Avenida Almirante Miguel Grau, 113, Lima, Lima Metropolitana, Lima, 15001, Perú, (Ruta4507nueva era 23-10-23)</t>
  </si>
  <si>
    <t>Metropolitano, Lima, Lima Metropolitana, Lima, 15083, Perú, (Ruta4507nueva era 23-10-23)</t>
  </si>
  <si>
    <t>Avenida Almirante Miguel Grau, Lima, Lima Metropolitana, Lima, 15083, Perú, (Ruta4507nueva era 23-10-23)</t>
  </si>
  <si>
    <t>Avenida Paseo de la República, 385, La Victoria, Lima Metropolitana, Lima, 15001, Perú</t>
  </si>
  <si>
    <t>Avenida Almirante Miguel Grau, 354, Lima, Lima Metropolitana, Lima, 15001, Perú, (Ruta4507nueva era 23-10-23)</t>
  </si>
  <si>
    <t>Avenida Almirante Miguel Grau, 369, Lima, Lima Metropolitana, Lima, 15001, Perú, (Ruta4507nueva era 23-10-23)</t>
  </si>
  <si>
    <t>Avenida Abancay, Lima, Lima Metropolitana, Lima, 15001, Perú</t>
  </si>
  <si>
    <t>Avenida Almirante Miguel Grau, 956, La Victoria, Lima Metropolitana, Lima, 15011, Perú, (Ruta4507nueva era 23-10-23)</t>
  </si>
  <si>
    <t>Avenida Almirante Miguel Grau, La Victoria, Lima Metropolitana, Lima, 15011, Perú, (Ruta4507nueva era 23-10-23)</t>
  </si>
  <si>
    <t>Avenida Almirante Miguel Grau, Lima, Lima Metropolitana, Lima, 15003, Perú</t>
  </si>
  <si>
    <t>Jirón Junín, El Agustino, Lima Metropolitana, Lima, 15011, Perú</t>
  </si>
  <si>
    <t>Avenida José de la Riva Aguero, Lima, Lima Metropolitana, Lima, 15004, Perú</t>
  </si>
  <si>
    <t>Avenida Nicolás de Ayllón, Lima, Lima Metropolitana, Lima, 15004, Perú, (Ruta4507nueva era 23-10-23)</t>
  </si>
  <si>
    <t>Calle Ollanta, Lima, Lima Metropolitana, Lima, 15019, Perú</t>
  </si>
  <si>
    <t>Avenida Circunvalación, San Luis, Lima Metropolitana, Lima, 15019, Perú</t>
  </si>
  <si>
    <t>Avenida Nicolás de Ayllón, Ate, Lima Metropolitana, Lima, 15002, Perú</t>
  </si>
  <si>
    <t>Avenida Nicolás de Ayllón, Ate, Lima Metropolitana, Lima, 15008, Perú, (Ruta4507nueva era 23-10-23, RUTA DESVIO TEM.  4507)</t>
  </si>
  <si>
    <t>Vía de Evitamiento, Ate, Lima Metropolitana, Lima, 15008, Perú, (Ruta4507nueva era 23-10-23)</t>
  </si>
  <si>
    <t>Avenida Nicolás de Ayllón, 2950, Ate, Lima Metropolitana, Lima, 15008, Perú, (Ruta4507nueva era 23-10-23)</t>
  </si>
  <si>
    <t>Avenida La Molina, Ate, Lima Metropolitana, Lima, 15008, Perú, (Ruta4507nueva era 23-10-23)</t>
  </si>
  <si>
    <t>Victor Raul Haya de la Torre, Ate, Lima Metropolitana, Lima, 15498, Perú, (Ruta4507nueva era 23-10-23, RUTA DESVIO TEM.  4507)</t>
  </si>
  <si>
    <t>Avenida Nicolás de Ayllón, Ate, Lima Metropolitana, Lima, 15498, Perú, (S05Vitarte/ ALT. Hospital, Ruta4507nueva era 23-10-23)</t>
  </si>
  <si>
    <t>Avenida José Carlos Mariátegui, Ate, Lima Metropolitana, Lima, 15498, Perú, (S05Vitarte/ ALT. Hospital, Ruta4507nueva era 23-10-23)</t>
  </si>
  <si>
    <t>Avenida Nicolás de Ayllón, 836, Ate, Lima Metropolitana, Lima, 15487, Perú, (Ruta4507nueva era 23-10-23)</t>
  </si>
  <si>
    <t>Carretera Central, 1030, Ate, Lima Metropolitana, Lima, 15487, Perú, (Ruta4507nueva era 23-10-23)</t>
  </si>
  <si>
    <t>Ate, Lima Metropolitana, Lima, 15487, Perú, (Ruta4507nueva era 23-10-23)</t>
  </si>
  <si>
    <t>59 km/h</t>
  </si>
  <si>
    <t>Avenida Primavera, Ate, Lima Metropolitana, Lima, 15483, Perú</t>
  </si>
  <si>
    <t>Carretera Central, Ate, Lima Metropolitana, Lima, 15483, Perú</t>
  </si>
  <si>
    <t>Avenida Jaime Zubieta Calderón, Ate, Lima Metropolitana, Lima, 15483, Perú</t>
  </si>
  <si>
    <t>Ate, Lima Metropolitana, Lima, 15487, Perú, (S06 SANTA CLARA, Ruta4507nueva era 23-10-23)</t>
  </si>
  <si>
    <t>Avenida Nicolás de Ayllón, 5818, Ate, Lima Metropolitana, Lima, 15498, Perú, (Ruta4507nueva era 23-10-23)</t>
  </si>
  <si>
    <t>Avenida Minería, Santa Anita, Lima Metropolitana, Lima, 15008, Perú</t>
  </si>
  <si>
    <t>Calle Santa Inés, Ate, Lima Metropolitana, Lima, 15008, Perú</t>
  </si>
  <si>
    <t>Calle Santa Inés, Ate, Lima Metropolitana, Lima, 15008, Perú, (Ruta4507nueva era 23-10-23)</t>
  </si>
  <si>
    <t>Avenida Los Castillos, Ate, Lima Metropolitana, Lima, 15008, Perú, (Ruta4507nueva era 23-10-23)</t>
  </si>
  <si>
    <t>Avenida Nicolás de Ayllón, C 32, Ate, Lima Metropolitana, Lima, 15008, Perú, (Ruta4507nueva era 23-10-23)</t>
  </si>
  <si>
    <t>Avenida Asturias, Ate, Lima Metropolitana, Lima, 00051, Perú, (Ruta4507nueva era 23-10-23)</t>
  </si>
  <si>
    <t>Avenida José Carlos Mariátegui, 5880, Ate, Lima Metropolitana, Lima, 15498, Perú, (S05Vitarte/ ALT. Hospital)</t>
  </si>
  <si>
    <t>Ate, Lima Metropolitana, Lima, 15498, Perú, (S05Vitarte/ ALT. Hospital)</t>
  </si>
  <si>
    <t>Pasaje Unión, 107, Ate, Lima Metropolitana, Lima, 15498, Perú, (Ruta4507nueva era 23-10-23)</t>
  </si>
  <si>
    <t>Calle El Trabajo, Ate, Lima Metropolitana, Lima, 15498, Perú, (Ruta4507nueva era 23-10-23)</t>
  </si>
  <si>
    <t>Carretera Central, Ate, Lima Metropolitana, Lima, 15474, Perú, (Horacio Zeballos, Ruta4507nueva era 23-10-23)</t>
  </si>
  <si>
    <t>Calle Los Cerezos, Chaclacayo, Lima Metropolitana, Lima, 15472, Perú</t>
  </si>
  <si>
    <t>Jirón Trujillo Sur, Chosica, Lima Metropolitana, Lima, 15468, Perú, (Ruta4507nueva era 23-10-23)</t>
  </si>
  <si>
    <t>Jirón Trujillo Sur, Chosica, Lima Metropolitana, Lima, 15468, Perú</t>
  </si>
  <si>
    <t>Calle Las Dacitas, Chosica, Lima Metropolitana, Lima, 15468, Perú, (Ruta4507nueva era 23-10-23)</t>
  </si>
  <si>
    <t>Carretera Central, Frnt G3, Lurigancho, Lima Metropolitana, Lima, 15472, Perú, (Ruta4507nueva era 23-10-23)</t>
  </si>
  <si>
    <t>Avenida Nicolás Ayllón, 2226, Chaclacayo, Lima Metropolitana, Lima, 15472, Perú, (Ruta4507nueva era 23-10-23)</t>
  </si>
  <si>
    <t>Avenida Nicolás Ayllón, Chaclacayo, Lima Metropolitana, Lima, 15472, Perú</t>
  </si>
  <si>
    <t>Avenida Nicolás de Ayllón, 816-818, Ate, Lima Metropolitana, Lima, 15487, Perú, (Ruta4507nueva era 23-10-23)</t>
  </si>
  <si>
    <t>Avenida Bernardino Rivadavia, Ate, Lima Metropolitana, Lima, 15498, Perú, (RUTA DESVIO TEM.  4507)</t>
  </si>
  <si>
    <t>Prolongación Javier Prado Este, Ate, Lima Metropolitana, Lima, 15498, Perú, (RUTA DESVIO TEM.  4507)</t>
  </si>
  <si>
    <t>Avenida Metropolitana, Ate, Lima Metropolitana, Lima, 15498, Perú, (RUTA DESVIO TEM.  4507)</t>
  </si>
  <si>
    <t>Avenida Metropolitana, Santa Anita, Lima Metropolitana, Lima, 15009, Perú, (RUTA DESVIO TEM.  4507)</t>
  </si>
  <si>
    <t>Avenida Metropolitana, Santa Anita, Lima Metropolitana, Lima, 15009, Perú</t>
  </si>
  <si>
    <t>69 km/h</t>
  </si>
  <si>
    <t>Avenida Huancaray, Santa Anita, Lima Metropolitana, Lima, 15009, Perú</t>
  </si>
  <si>
    <t>Avenida Huancaray, Santa Anita, Lima Metropolitana, Lima, 15007, Perú, (RUTA DESVIO TEM.  4507)</t>
  </si>
  <si>
    <t>Calle Chavín, Santa Anita, Lima Metropolitana, Lima, 15007, Perú, (RUTA DESVIO TEM.  4507)</t>
  </si>
  <si>
    <t>Avenida Francisco Bolognesi, Santa Anita, Lima Metropolitana, Lima, 15008, Perú, (RUTA DESVIO TEM.  4507)</t>
  </si>
  <si>
    <t>Avenida Los Cipreses, Santa Anita, Lima Metropolitana, Lima, 15002, Perú</t>
  </si>
  <si>
    <t>Los Petalos, Santa Anita, Lima Metropolitana, Lima, 15008, Perú, (RUTA DESVIO TEM.  4507)</t>
  </si>
  <si>
    <t>Avenida Los Cipreses, Santa Anita, Lima Metropolitana, Lima, 15002, Perú, (RUTA DESVIO TEM.  4507)</t>
  </si>
  <si>
    <t>Avenida Los Eucaliptos, Santa Anita, Lima Metropolitana, Lima, 15008, Perú, (RUTA DESVIO TEM.  4507)</t>
  </si>
  <si>
    <t>Avenida Los Ruiseñores, Santa Anita, Lima Metropolitana, Lima, 15008, Perú, (RUTA DESVIO TEM.  4507)</t>
  </si>
  <si>
    <t>Avenida Santa Rosa, Santa Anita, Lima Metropolitana, Lima, 15007, Perú, (RUTA DESVIO TEM.  4507)</t>
  </si>
  <si>
    <t>Avenida Huancaray, Santa Anita, Lima Metropolitana, Lima, 15007, Perú, (S04 AV. Metropolitana / Colectora Industrial, RUTA DESVIO TEM.  4507)</t>
  </si>
  <si>
    <t>Jirón Cornelio Borda, Lima, Lima Metropolitana, Lima, 15082, Perú</t>
  </si>
  <si>
    <t>Jirón Huarochirí, Lima, Lima Metropolitana, Lima, 15082, Perú, (Ruta4507nueva era 23-10-23)</t>
  </si>
  <si>
    <t>Jirón Sánchez Pinillos, Lima, Lima Metropolitana, Lima, 15082, Perú</t>
  </si>
  <si>
    <t>Pasaje Gould, Lima, Lima Metropolitana, Lima, 15082, Perú, (PARADERO DESTINO ASCOPE)</t>
  </si>
  <si>
    <t>Avenida 5 de Setiembre, Ricardo Palma, Huarochirí, Lima, 15468, Perú, (Ruta4507nueva era 23-10-23)</t>
  </si>
  <si>
    <t>Avenida Lima Norte, Santa Eulalia, Huarochirí, Lima, 15468, Perú</t>
  </si>
  <si>
    <t>Calle San Luis, Santa Anita, Lima Metropolitana, Lima, 15009, Perú</t>
  </si>
  <si>
    <t>Carretera Central, Ricardo Palma, Huarochirí, Lima, 15468, Perú</t>
  </si>
  <si>
    <t>Avenida Óscar Raimundo Benavides, 153, Lima, Lima Metropolitana, Lima, 15082, Perú</t>
  </si>
  <si>
    <t>Calle Nova, Ate, Lima Metropolitana, Lima, 15498, Perú</t>
  </si>
  <si>
    <t>Calle Beta, 234, Ate, Lima Metropolitana, Lima, 15498, Perú</t>
  </si>
  <si>
    <t>Avenida Alfonso Ugarte, 650, Lima, Lima Metropolitana, Lima, 15082, Perú, (Ruta4507nueva era 23-10-23)</t>
  </si>
  <si>
    <t>Avenida José Carlos Mariátegui, Ate, Lima Metropolitana, Lima, 15483, Perú</t>
  </si>
  <si>
    <t>Calle Atahualpa, Chaclacayo, Lima Metropolitana, Lima, 15474, Perú</t>
  </si>
  <si>
    <t>Carretera Central, Chaclacayo, Lima Metropolitana, Lima, 15474, Perú</t>
  </si>
  <si>
    <t>Chaclacayo, Lima Metropolitana, Lima, 15474, Perú</t>
  </si>
  <si>
    <t>Avenida Minería, 385, Santa Anita, Lima Metropolitana, Lima, 15008, Perú</t>
  </si>
  <si>
    <t>Avenida La Paz, G2, Santa Eulalia, Huarochirí, Lima, 15500, Perú</t>
  </si>
  <si>
    <t>Calle Los Gladiolos, Chosica, Lima Metropolitana, Lima, 15468, Perú</t>
  </si>
  <si>
    <t>Calle Bernardino Salguero, Chosica, Lima Metropolitana, Lima, 15468, Perú</t>
  </si>
  <si>
    <t>Santa Eulalia, Huarochirí, Lima, 15500, Perú</t>
  </si>
  <si>
    <t>Ricardo Palma, Huarochirí, Lima, 15468, Perú</t>
  </si>
  <si>
    <t>Jirón Cornelio Borda, Breña, Lima Metropolitana, Lima, 15082, Perú</t>
  </si>
  <si>
    <t>Jirón Huarochirí, Lima, Lima Metropolitana, Lima, 15082, Perú</t>
  </si>
  <si>
    <t>Calle Alhelíes, Chaclacayo, Lima Metropolitana, Lima, 15476, Perú</t>
  </si>
  <si>
    <t>Metropolitano, Lima, Lima Metropolitana, Lima, 15001, Perú, (Ruta4507nueva era 23-10-23)</t>
  </si>
  <si>
    <t>Avenida de La Cultura, Santa Anita, Lima Metropolitana, Lima, 15009, Perú</t>
  </si>
  <si>
    <t>Avenida Separadora Industrial, Santa Anita, Lima Metropolitana, Lima, 15498, Perú</t>
  </si>
  <si>
    <t>Avenida Lima Sur, 1471, Chosica, Lima Metropolitana, Lima, 15468, Perú, (Ruta4507nueva era 23-10-23)</t>
  </si>
  <si>
    <t>Calle Los Rosales, Lurigancho, Lima Metropolitana, Lima, 15468, Perú, (Ruta4507nueva era 23-10-23)</t>
  </si>
  <si>
    <t>Avenida Las Flores, Lurigancho, Lima Metropolitana, Lima, 15468, Perú, (Ruta4507nueva era 23-10-23)</t>
  </si>
  <si>
    <t>Avenida Central, 217, Ate, Lima Metropolitana, Lima, 15498, Perú, (RUTA DESVIO TEM.  4507)</t>
  </si>
  <si>
    <t>Avenida Central, 201, Ate, Lima Metropolitana, Lima, 15498, Perú, (RUTA DESVIO TEM.  4507)</t>
  </si>
  <si>
    <t>Avenida Central, Ate, Lima Metropolitana, Lima, 15498, Perú, (RUTA DESVIO TEM.  4507)</t>
  </si>
  <si>
    <t>Avenida Nicolás de Ayllón, El Agustino, Lima Metropolitana, Lima, 15002, Perú, (Ruta4507nueva era 23-10-23, RUTA DESVIO TEM.  4507)</t>
  </si>
  <si>
    <t>Calle Angel Cepollini, San Luis, Lima Metropolitana, Lima, 15019, Perú</t>
  </si>
  <si>
    <t>Avenida Almirante Miguel Grau, 1005, Lima, Lima Metropolitana, Lima, 15011, Perú, (Ruta4507nueva era 23-10-23)</t>
  </si>
  <si>
    <t>Jirón Argentina, Chosica, Lima Metropolitana, Lima, 15468, Perú</t>
  </si>
  <si>
    <t>Simón Bolívar, Ricardo Palma, Huarochirí, Lima, 15468, Perú, (Ruta4507nueva era 23-10-23)</t>
  </si>
  <si>
    <t>Calle Sauce Grande, Chosica, Lima Metropolitana, Lima, 15468, Perú</t>
  </si>
  <si>
    <t>Calle Huaraz, Chosica, Lima Metropolitana, Lima, 15468, Perú</t>
  </si>
  <si>
    <t>Calle 1, Ate, Lima Metropolitana, Lima, 15487, Perú</t>
  </si>
  <si>
    <t>Avenida Lima Sur, Chosica, Lima Metropolitana, Lima, 15468, Perú</t>
  </si>
  <si>
    <t>Avenida Almirante Miguel Grau, 243, Lima, Lima Metropolitana, Lima, 15001, Perú, (Ruta4507nueva era 23-10-23)</t>
  </si>
  <si>
    <t>Chaclacayo, Lima Metropolitana, Lima, 15474, Perú, (Ruta4507nueva era 23-10-23)</t>
  </si>
  <si>
    <t>Avenida San Martín, Santa Eulalia, Huarochirí, Lima, 15468, Perú</t>
  </si>
  <si>
    <t>90 km/h</t>
  </si>
  <si>
    <t>Carretera Central, Corcona, Huarochirí, Lima, Perú</t>
  </si>
  <si>
    <t>Vía de Evitamiento, San Martín de Porres, Lima Metropolitana, Lima, 15079, Perú</t>
  </si>
  <si>
    <t>Avenida Panamericana Norte, San Martín de Porres, Lima Metropolitana, Lima, 15079, Perú</t>
  </si>
  <si>
    <t>Jirón Macará, 418, San Martín de Porres, Lima Metropolitana, Lima, 15102, Perú</t>
  </si>
  <si>
    <t>Jirón Macará, 412, San Martín de Porres, Lima Metropolitana, Lima, 15102, Perú</t>
  </si>
  <si>
    <t>Calle Salaverry, 280, Chosica, Lima Metropolitana, Lima, 15468, Perú</t>
  </si>
  <si>
    <t>Avenida Colectora, Ate, Lima Metropolitana, Lima, 15483, Perú</t>
  </si>
  <si>
    <t>Calle 20 de Enero, Santa Eulalia, Huarochirí, Lima, 15468, Perú</t>
  </si>
  <si>
    <t>Jirón Trujillo Norte, Chosica, Lima Metropolitana, Lima, 15468, Perú</t>
  </si>
  <si>
    <t>Simón Bolívar, Ricardo Palma, Huarochirí, Lima, 15468, Perú, (TALLER TRASANDINO)</t>
  </si>
  <si>
    <t>Chaclacayo, Lima Metropolitana, Lima, 15472, Perú, (Ruta4507nueva era 23-10-23)</t>
  </si>
  <si>
    <t>Avenida 9 de Diciembre, 150, Lima, Lima Metropolitana, Lima, 15083, Perú, (Ruta4507nueva era 23-10-23)</t>
  </si>
  <si>
    <t>Pasaje José Balta, Ate, Lima Metropolitana, Lima, 15487, Perú</t>
  </si>
  <si>
    <t>Chaclacayo, Lima Metropolitana, Lima, 15476, Perú</t>
  </si>
  <si>
    <t>Calle Berlín, Ate, Lima Metropolitana, Lima, 15498, Perú</t>
  </si>
  <si>
    <t>Marcos Puente Llanos, Ate, Lima Metropolitana, Lima, 15498, Perú</t>
  </si>
  <si>
    <t>Jirón Sánchez Pinillos, Breña, Lima Metropolitana, Lima, 15082, Perú</t>
  </si>
  <si>
    <t>Avenida José Carlos Mariátegui, Ate, Lima Metropolitana, Lima, 15474, Perú</t>
  </si>
  <si>
    <t>117 km/h</t>
  </si>
  <si>
    <t>Calle 2, Ate, Lima Metropolitana, Lima, 15487, Perú</t>
  </si>
  <si>
    <t>Avenida Imperial, Santa Anita, Lima Metropolitana, Lima, 15007, Perú, (RUTA DESVIO TEM.  4507)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</si>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</sst>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432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3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3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3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3" s="1" customFormat="1" x14ac:dyDescent="0.2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462</v>
      </c>
      <c r="B8" s="3">
        <v>45707.179432870369</v>
      </c>
      <c r="C8" t="s">
        <v>18</v>
      </c>
      <c r="D8" s="3">
        <v>45707.854097222225</v>
      </c>
      <c r="E8" t="s">
        <v>18</v>
      </c>
      <c r="F8" s="4">
        <v>214.29300000000001</v>
      </c>
      <c r="G8" s="4">
        <v>515331.04800000001</v>
      </c>
      <c r="H8" s="4">
        <v>515545.34100000001</v>
      </c>
      <c r="I8" s="5">
        <f>15750 / 86400</f>
        <v>0.18229166666666666</v>
      </c>
      <c r="J8" t="s">
        <v>19</v>
      </c>
      <c r="K8" t="s">
        <v>20</v>
      </c>
      <c r="L8" s="5">
        <f>47200 / 86400</f>
        <v>0.54629629629629628</v>
      </c>
      <c r="M8" s="5">
        <f>39197 / 86400</f>
        <v>0.45366898148148149</v>
      </c>
    </row>
    <row r="9" spans="1:13" x14ac:dyDescent="0.25">
      <c r="A9" t="s">
        <v>463</v>
      </c>
      <c r="B9" s="3">
        <v>45707.09584490741</v>
      </c>
      <c r="C9" t="s">
        <v>21</v>
      </c>
      <c r="D9" s="3">
        <v>45707.924074074079</v>
      </c>
      <c r="E9" t="s">
        <v>22</v>
      </c>
      <c r="F9" s="4">
        <v>51.238999999999997</v>
      </c>
      <c r="G9" s="4">
        <v>20794.972000000002</v>
      </c>
      <c r="H9" s="4">
        <v>20846.210999999999</v>
      </c>
      <c r="I9" s="5">
        <f>56610 / 86400</f>
        <v>0.65520833333333328</v>
      </c>
      <c r="J9" t="s">
        <v>23</v>
      </c>
      <c r="K9" t="s">
        <v>24</v>
      </c>
      <c r="L9" s="5">
        <f>62538 / 86400</f>
        <v>0.72381944444444446</v>
      </c>
      <c r="M9" s="5">
        <f>23857 / 86400</f>
        <v>0.27612268518518518</v>
      </c>
    </row>
    <row r="10" spans="1:13" x14ac:dyDescent="0.25">
      <c r="A10" t="s">
        <v>464</v>
      </c>
      <c r="B10" s="3">
        <v>45707.223935185189</v>
      </c>
      <c r="C10" t="s">
        <v>25</v>
      </c>
      <c r="D10" s="3">
        <v>45707.811342592591</v>
      </c>
      <c r="E10" t="s">
        <v>25</v>
      </c>
      <c r="F10" s="4">
        <v>209.298</v>
      </c>
      <c r="G10" s="4">
        <v>329550.44900000002</v>
      </c>
      <c r="H10" s="4">
        <v>329759.74699999997</v>
      </c>
      <c r="I10" s="5">
        <f>13216 / 86400</f>
        <v>0.15296296296296297</v>
      </c>
      <c r="J10" t="s">
        <v>26</v>
      </c>
      <c r="K10" t="s">
        <v>27</v>
      </c>
      <c r="L10" s="5">
        <f>42513 / 86400</f>
        <v>0.49204861111111109</v>
      </c>
      <c r="M10" s="5">
        <f>43880 / 86400</f>
        <v>0.50787037037037042</v>
      </c>
    </row>
    <row r="11" spans="1:13" x14ac:dyDescent="0.25">
      <c r="A11" t="s">
        <v>465</v>
      </c>
      <c r="B11" s="3">
        <v>45707.289016203707</v>
      </c>
      <c r="C11" t="s">
        <v>28</v>
      </c>
      <c r="D11" s="3">
        <v>45707.891956018517</v>
      </c>
      <c r="E11" t="s">
        <v>28</v>
      </c>
      <c r="F11" s="4">
        <v>192.25800000000001</v>
      </c>
      <c r="G11" s="4">
        <v>21397.133999999998</v>
      </c>
      <c r="H11" s="4">
        <v>21589.392</v>
      </c>
      <c r="I11" s="5">
        <f>13768 / 86400</f>
        <v>0.15935185185185186</v>
      </c>
      <c r="J11" t="s">
        <v>29</v>
      </c>
      <c r="K11" t="s">
        <v>20</v>
      </c>
      <c r="L11" s="5">
        <f>43717 / 86400</f>
        <v>0.50598379629629631</v>
      </c>
      <c r="M11" s="5">
        <f>42676 / 86400</f>
        <v>0.4939351851851852</v>
      </c>
    </row>
    <row r="12" spans="1:13" x14ac:dyDescent="0.25">
      <c r="A12" t="s">
        <v>466</v>
      </c>
      <c r="B12" s="3">
        <v>45707.362685185188</v>
      </c>
      <c r="C12" t="s">
        <v>28</v>
      </c>
      <c r="D12" s="3">
        <v>45707.802129629628</v>
      </c>
      <c r="E12" t="s">
        <v>28</v>
      </c>
      <c r="F12" s="4">
        <v>2.8370000000000002</v>
      </c>
      <c r="G12" s="4">
        <v>93370.551999999996</v>
      </c>
      <c r="H12" s="4">
        <v>93373.388999999996</v>
      </c>
      <c r="I12" s="5">
        <f>478 / 86400</f>
        <v>5.5324074074074078E-3</v>
      </c>
      <c r="J12" t="s">
        <v>30</v>
      </c>
      <c r="K12" t="s">
        <v>31</v>
      </c>
      <c r="L12" s="5">
        <f>1285 / 86400</f>
        <v>1.4872685185185185E-2</v>
      </c>
      <c r="M12" s="5">
        <f>85112 / 86400</f>
        <v>0.98509259259259263</v>
      </c>
    </row>
    <row r="13" spans="1:13" x14ac:dyDescent="0.25">
      <c r="A13" t="s">
        <v>467</v>
      </c>
      <c r="B13" s="3">
        <v>45707.177627314813</v>
      </c>
      <c r="C13" t="s">
        <v>18</v>
      </c>
      <c r="D13" s="3">
        <v>45707.790358796294</v>
      </c>
      <c r="E13" t="s">
        <v>18</v>
      </c>
      <c r="F13" s="4">
        <v>220.648</v>
      </c>
      <c r="G13" s="4">
        <v>139422.86600000001</v>
      </c>
      <c r="H13" s="4">
        <v>139643.514</v>
      </c>
      <c r="I13" s="5">
        <f>12875 / 86400</f>
        <v>0.14901620370370369</v>
      </c>
      <c r="J13" t="s">
        <v>32</v>
      </c>
      <c r="K13" t="s">
        <v>33</v>
      </c>
      <c r="L13" s="5">
        <f>41409 / 86400</f>
        <v>0.47927083333333331</v>
      </c>
      <c r="M13" s="5">
        <f>44986 / 86400</f>
        <v>0.52067129629629627</v>
      </c>
    </row>
    <row r="14" spans="1:13" x14ac:dyDescent="0.25">
      <c r="A14" t="s">
        <v>468</v>
      </c>
      <c r="B14" s="3">
        <v>45707.207627314812</v>
      </c>
      <c r="C14" t="s">
        <v>28</v>
      </c>
      <c r="D14" s="3">
        <v>45707.99998842593</v>
      </c>
      <c r="E14" t="s">
        <v>34</v>
      </c>
      <c r="F14" s="4">
        <v>263.67135954123734</v>
      </c>
      <c r="G14" s="4">
        <v>348943.54774257494</v>
      </c>
      <c r="H14" s="4">
        <v>349225.17029937112</v>
      </c>
      <c r="I14" s="5">
        <f>0 / 86400</f>
        <v>0</v>
      </c>
      <c r="J14" t="s">
        <v>19</v>
      </c>
      <c r="K14" t="s">
        <v>35</v>
      </c>
      <c r="L14" s="5">
        <f>41643 / 86400</f>
        <v>0.48197916666666668</v>
      </c>
      <c r="M14" s="5">
        <f>44756 / 86400</f>
        <v>0.51800925925925922</v>
      </c>
    </row>
    <row r="15" spans="1:13" x14ac:dyDescent="0.25">
      <c r="A15" t="s">
        <v>469</v>
      </c>
      <c r="B15" s="3">
        <v>45707.17150462963</v>
      </c>
      <c r="C15" t="s">
        <v>36</v>
      </c>
      <c r="D15" s="3">
        <v>45707.630439814813</v>
      </c>
      <c r="E15" t="s">
        <v>36</v>
      </c>
      <c r="F15" s="4">
        <v>176.15699999999998</v>
      </c>
      <c r="G15" s="4">
        <v>484896.087</v>
      </c>
      <c r="H15" s="4">
        <v>485072.24400000001</v>
      </c>
      <c r="I15" s="5">
        <f>10760 / 86400</f>
        <v>0.12453703703703704</v>
      </c>
      <c r="J15" t="s">
        <v>29</v>
      </c>
      <c r="K15" t="s">
        <v>37</v>
      </c>
      <c r="L15" s="5">
        <f>37431 / 86400</f>
        <v>0.43322916666666667</v>
      </c>
      <c r="M15" s="5">
        <f>48967 / 86400</f>
        <v>0.56674768518518515</v>
      </c>
    </row>
    <row r="16" spans="1:13" x14ac:dyDescent="0.25">
      <c r="A16" t="s">
        <v>470</v>
      </c>
      <c r="B16" s="3">
        <v>45707.131423611107</v>
      </c>
      <c r="C16" t="s">
        <v>38</v>
      </c>
      <c r="D16" s="3">
        <v>45707.889687499999</v>
      </c>
      <c r="E16" t="s">
        <v>39</v>
      </c>
      <c r="F16" s="4">
        <v>212.78100000000001</v>
      </c>
      <c r="G16" s="4">
        <v>509134.89399999997</v>
      </c>
      <c r="H16" s="4">
        <v>509347.67499999999</v>
      </c>
      <c r="I16" s="5">
        <f>14217 / 86400</f>
        <v>0.1645486111111111</v>
      </c>
      <c r="J16" t="s">
        <v>40</v>
      </c>
      <c r="K16" t="s">
        <v>37</v>
      </c>
      <c r="L16" s="5">
        <f>46210 / 86400</f>
        <v>0.53483796296296293</v>
      </c>
      <c r="M16" s="5">
        <f>40185 / 86400</f>
        <v>0.46510416666666665</v>
      </c>
    </row>
    <row r="17" spans="1:13" x14ac:dyDescent="0.25">
      <c r="A17" t="s">
        <v>471</v>
      </c>
      <c r="B17" s="3">
        <v>45707.194456018522</v>
      </c>
      <c r="C17" t="s">
        <v>41</v>
      </c>
      <c r="D17" s="3">
        <v>45707.901030092587</v>
      </c>
      <c r="E17" t="s">
        <v>41</v>
      </c>
      <c r="F17" s="4">
        <v>204.01300000000001</v>
      </c>
      <c r="G17" s="4">
        <v>408374.95400000003</v>
      </c>
      <c r="H17" s="4">
        <v>408579.03200000001</v>
      </c>
      <c r="I17" s="5">
        <f>19296 / 86400</f>
        <v>0.22333333333333333</v>
      </c>
      <c r="J17" t="s">
        <v>42</v>
      </c>
      <c r="K17" t="s">
        <v>43</v>
      </c>
      <c r="L17" s="5">
        <f>51239 / 86400</f>
        <v>0.59304398148148152</v>
      </c>
      <c r="M17" s="5">
        <f>35149 / 86400</f>
        <v>0.40681712962962963</v>
      </c>
    </row>
    <row r="18" spans="1:13" x14ac:dyDescent="0.25">
      <c r="A18" t="s">
        <v>472</v>
      </c>
      <c r="B18" s="3">
        <v>45707.280659722222</v>
      </c>
      <c r="C18" t="s">
        <v>44</v>
      </c>
      <c r="D18" s="3">
        <v>45707.69568287037</v>
      </c>
      <c r="E18" t="s">
        <v>44</v>
      </c>
      <c r="F18" s="4">
        <v>103.435</v>
      </c>
      <c r="G18" s="4">
        <v>438498.93400000001</v>
      </c>
      <c r="H18" s="4">
        <v>438602.36900000001</v>
      </c>
      <c r="I18" s="5">
        <f>8695 / 86400</f>
        <v>0.10063657407407407</v>
      </c>
      <c r="J18" t="s">
        <v>45</v>
      </c>
      <c r="K18" t="s">
        <v>46</v>
      </c>
      <c r="L18" s="5">
        <f>24444 / 86400</f>
        <v>0.28291666666666665</v>
      </c>
      <c r="M18" s="5">
        <f>61951 / 86400</f>
        <v>0.71702546296296299</v>
      </c>
    </row>
    <row r="19" spans="1:13" x14ac:dyDescent="0.25">
      <c r="A19" t="s">
        <v>473</v>
      </c>
      <c r="B19" s="3">
        <v>45707.133506944447</v>
      </c>
      <c r="C19" t="s">
        <v>21</v>
      </c>
      <c r="D19" s="3">
        <v>45707.889363425929</v>
      </c>
      <c r="E19" t="s">
        <v>47</v>
      </c>
      <c r="F19" s="4">
        <v>307.69100000000003</v>
      </c>
      <c r="G19" s="4">
        <v>55397.663</v>
      </c>
      <c r="H19" s="4">
        <v>55705.353999999999</v>
      </c>
      <c r="I19" s="5">
        <f>19115 / 86400</f>
        <v>0.22123842592592594</v>
      </c>
      <c r="J19" t="s">
        <v>48</v>
      </c>
      <c r="K19" t="s">
        <v>27</v>
      </c>
      <c r="L19" s="5">
        <f>61164 / 86400</f>
        <v>0.70791666666666664</v>
      </c>
      <c r="M19" s="5">
        <f>25229 / 86400</f>
        <v>0.29200231481481481</v>
      </c>
    </row>
    <row r="20" spans="1:13" x14ac:dyDescent="0.25">
      <c r="A20" t="s">
        <v>474</v>
      </c>
      <c r="B20" s="3">
        <v>45707.25744212963</v>
      </c>
      <c r="C20" t="s">
        <v>49</v>
      </c>
      <c r="D20" s="3">
        <v>45707.852812500001</v>
      </c>
      <c r="E20" t="s">
        <v>49</v>
      </c>
      <c r="F20" s="4">
        <v>125.64700000000001</v>
      </c>
      <c r="G20" s="4">
        <v>217214.345</v>
      </c>
      <c r="H20" s="4">
        <v>217339.99299999999</v>
      </c>
      <c r="I20" s="5">
        <f>9019 / 86400</f>
        <v>0.10438657407407408</v>
      </c>
      <c r="J20" t="s">
        <v>50</v>
      </c>
      <c r="K20" t="s">
        <v>37</v>
      </c>
      <c r="L20" s="5">
        <f>26824 / 86400</f>
        <v>0.31046296296296294</v>
      </c>
      <c r="M20" s="5">
        <f>59565 / 86400</f>
        <v>0.68940972222222219</v>
      </c>
    </row>
    <row r="21" spans="1:13" x14ac:dyDescent="0.25">
      <c r="A21" t="s">
        <v>475</v>
      </c>
      <c r="B21" s="3">
        <v>45707.263090277775</v>
      </c>
      <c r="C21" t="s">
        <v>51</v>
      </c>
      <c r="D21" s="3">
        <v>45707.819907407407</v>
      </c>
      <c r="E21" t="s">
        <v>51</v>
      </c>
      <c r="F21" s="4">
        <v>172.26700000011922</v>
      </c>
      <c r="G21" s="4">
        <v>526224.89099999995</v>
      </c>
      <c r="H21" s="4">
        <v>526397.15800000005</v>
      </c>
      <c r="I21" s="5">
        <f>14658 / 86400</f>
        <v>0.16965277777777779</v>
      </c>
      <c r="J21" t="s">
        <v>52</v>
      </c>
      <c r="K21" t="s">
        <v>43</v>
      </c>
      <c r="L21" s="5">
        <f>43200 / 86400</f>
        <v>0.5</v>
      </c>
      <c r="M21" s="5">
        <f>43196 / 86400</f>
        <v>0.49995370370370368</v>
      </c>
    </row>
    <row r="22" spans="1:13" x14ac:dyDescent="0.25">
      <c r="A22" t="s">
        <v>476</v>
      </c>
      <c r="B22" s="3">
        <v>45707.249328703707</v>
      </c>
      <c r="C22" t="s">
        <v>53</v>
      </c>
      <c r="D22" s="3">
        <v>45707.867592592593</v>
      </c>
      <c r="E22" t="s">
        <v>54</v>
      </c>
      <c r="F22" s="4">
        <v>202.56300000000002</v>
      </c>
      <c r="G22" s="4">
        <v>345764.761</v>
      </c>
      <c r="H22" s="4">
        <v>345967.32400000002</v>
      </c>
      <c r="I22" s="5">
        <f>16435 / 86400</f>
        <v>0.19021990740740741</v>
      </c>
      <c r="J22" t="s">
        <v>55</v>
      </c>
      <c r="K22" t="s">
        <v>20</v>
      </c>
      <c r="L22" s="5">
        <f>46566 / 86400</f>
        <v>0.53895833333333332</v>
      </c>
      <c r="M22" s="5">
        <f>39829 / 86400</f>
        <v>0.46098379629629632</v>
      </c>
    </row>
    <row r="23" spans="1:13" x14ac:dyDescent="0.25">
      <c r="A23" t="s">
        <v>477</v>
      </c>
      <c r="B23" s="3">
        <v>45707.305474537032</v>
      </c>
      <c r="C23" t="s">
        <v>56</v>
      </c>
      <c r="D23" s="3">
        <v>45707.819351851853</v>
      </c>
      <c r="E23" t="s">
        <v>56</v>
      </c>
      <c r="F23" s="4">
        <v>3.2640000000000002</v>
      </c>
      <c r="G23" s="4">
        <v>426882.89299999998</v>
      </c>
      <c r="H23" s="4">
        <v>426886.15700000001</v>
      </c>
      <c r="I23" s="5">
        <f>1799 / 86400</f>
        <v>2.0821759259259259E-2</v>
      </c>
      <c r="J23" t="s">
        <v>57</v>
      </c>
      <c r="K23" t="s">
        <v>58</v>
      </c>
      <c r="L23" s="5">
        <f>2850 / 86400</f>
        <v>3.2986111111111112E-2</v>
      </c>
      <c r="M23" s="5">
        <f>83543 / 86400</f>
        <v>0.96693287037037035</v>
      </c>
    </row>
    <row r="24" spans="1:13" x14ac:dyDescent="0.25">
      <c r="A24" t="s">
        <v>478</v>
      </c>
      <c r="B24" s="3">
        <v>45707.233043981483</v>
      </c>
      <c r="C24" t="s">
        <v>28</v>
      </c>
      <c r="D24" s="3">
        <v>45707.796261574069</v>
      </c>
      <c r="E24" t="s">
        <v>28</v>
      </c>
      <c r="F24" s="4">
        <v>186.99700000000001</v>
      </c>
      <c r="G24" s="4">
        <v>13744.619000000001</v>
      </c>
      <c r="H24" s="4">
        <v>13931.616</v>
      </c>
      <c r="I24" s="5">
        <f>17339 / 86400</f>
        <v>0.20068287037037036</v>
      </c>
      <c r="J24" t="s">
        <v>23</v>
      </c>
      <c r="K24" t="s">
        <v>46</v>
      </c>
      <c r="L24" s="5">
        <f>44246 / 86400</f>
        <v>0.51210648148148152</v>
      </c>
      <c r="M24" s="5">
        <f>42145 / 86400</f>
        <v>0.48778935185185185</v>
      </c>
    </row>
    <row r="25" spans="1:13" x14ac:dyDescent="0.25">
      <c r="A25" t="s">
        <v>479</v>
      </c>
      <c r="B25" s="3">
        <v>45707.224606481483</v>
      </c>
      <c r="C25" t="s">
        <v>59</v>
      </c>
      <c r="D25" s="3">
        <v>45707.830763888887</v>
      </c>
      <c r="E25" t="s">
        <v>59</v>
      </c>
      <c r="F25" s="4">
        <v>211.298</v>
      </c>
      <c r="G25" s="4">
        <v>139363.95600000001</v>
      </c>
      <c r="H25" s="4">
        <v>139575.25399999999</v>
      </c>
      <c r="I25" s="5">
        <f>15016 / 86400</f>
        <v>0.17379629629629631</v>
      </c>
      <c r="J25" t="s">
        <v>60</v>
      </c>
      <c r="K25" t="s">
        <v>20</v>
      </c>
      <c r="L25" s="5">
        <f>46137 / 86400</f>
        <v>0.53399305555555554</v>
      </c>
      <c r="M25" s="5">
        <f>40260 / 86400</f>
        <v>0.46597222222222223</v>
      </c>
    </row>
    <row r="26" spans="1:13" x14ac:dyDescent="0.25">
      <c r="A26" t="s">
        <v>480</v>
      </c>
      <c r="B26" s="3">
        <v>45707.232766203699</v>
      </c>
      <c r="C26" t="s">
        <v>28</v>
      </c>
      <c r="D26" s="3">
        <v>45707.934976851851</v>
      </c>
      <c r="E26" t="s">
        <v>28</v>
      </c>
      <c r="F26" s="4">
        <v>178.84899999999999</v>
      </c>
      <c r="G26" s="4">
        <v>6314.1940000000004</v>
      </c>
      <c r="H26" s="4">
        <v>6493.0429999999997</v>
      </c>
      <c r="I26" s="5">
        <f>24898 / 86400</f>
        <v>0.28817129629629629</v>
      </c>
      <c r="J26" t="s">
        <v>61</v>
      </c>
      <c r="K26" t="s">
        <v>62</v>
      </c>
      <c r="L26" s="5">
        <f>50036 / 86400</f>
        <v>0.57912037037037034</v>
      </c>
      <c r="M26" s="5">
        <f>36359 / 86400</f>
        <v>0.42082175925925924</v>
      </c>
    </row>
    <row r="27" spans="1:13" x14ac:dyDescent="0.25">
      <c r="A27" t="s">
        <v>481</v>
      </c>
      <c r="B27" s="3">
        <v>45707.211550925931</v>
      </c>
      <c r="C27" t="s">
        <v>36</v>
      </c>
      <c r="D27" s="3">
        <v>45707.855439814812</v>
      </c>
      <c r="E27" t="s">
        <v>36</v>
      </c>
      <c r="F27" s="4">
        <v>239.45600000000002</v>
      </c>
      <c r="G27" s="4">
        <v>387947.92499999999</v>
      </c>
      <c r="H27" s="4">
        <v>388187.38099999999</v>
      </c>
      <c r="I27" s="5">
        <f>16882 / 86400</f>
        <v>0.19539351851851852</v>
      </c>
      <c r="J27" t="s">
        <v>63</v>
      </c>
      <c r="K27" t="s">
        <v>37</v>
      </c>
      <c r="L27" s="5">
        <f>50115 / 86400</f>
        <v>0.58003472222222219</v>
      </c>
      <c r="M27" s="5">
        <f>36278 / 86400</f>
        <v>0.41988425925925926</v>
      </c>
    </row>
    <row r="28" spans="1:13" x14ac:dyDescent="0.25">
      <c r="A28" t="s">
        <v>482</v>
      </c>
      <c r="B28" s="3">
        <v>45707.147766203707</v>
      </c>
      <c r="C28" t="s">
        <v>64</v>
      </c>
      <c r="D28" s="3">
        <v>45707.814351851848</v>
      </c>
      <c r="E28" t="s">
        <v>64</v>
      </c>
      <c r="F28" s="4">
        <v>257.81300000011919</v>
      </c>
      <c r="G28" s="4">
        <v>524486.82499999995</v>
      </c>
      <c r="H28" s="4">
        <v>524744.63800000004</v>
      </c>
      <c r="I28" s="5">
        <f>13649 / 86400</f>
        <v>0.15797453703703704</v>
      </c>
      <c r="J28" t="s">
        <v>65</v>
      </c>
      <c r="K28" t="s">
        <v>33</v>
      </c>
      <c r="L28" s="5">
        <f>48785 / 86400</f>
        <v>0.56464120370370374</v>
      </c>
      <c r="M28" s="5">
        <f>37609 / 86400</f>
        <v>0.43528935185185186</v>
      </c>
    </row>
    <row r="29" spans="1:13" x14ac:dyDescent="0.25">
      <c r="A29" t="s">
        <v>483</v>
      </c>
      <c r="B29" s="3">
        <v>45707</v>
      </c>
      <c r="C29" t="s">
        <v>66</v>
      </c>
      <c r="D29" s="3">
        <v>45707.946527777778</v>
      </c>
      <c r="E29" t="s">
        <v>67</v>
      </c>
      <c r="F29" s="4">
        <v>56.232999999999997</v>
      </c>
      <c r="G29" s="4">
        <v>412762.26299999998</v>
      </c>
      <c r="H29" s="4">
        <v>412818.49599999998</v>
      </c>
      <c r="I29" s="5">
        <f>5895 / 86400</f>
        <v>6.822916666666666E-2</v>
      </c>
      <c r="J29" t="s">
        <v>68</v>
      </c>
      <c r="K29" t="s">
        <v>62</v>
      </c>
      <c r="L29" s="5">
        <f>16095 / 86400</f>
        <v>0.18628472222222223</v>
      </c>
      <c r="M29" s="5">
        <f>70298 / 86400</f>
        <v>0.81363425925925925</v>
      </c>
    </row>
    <row r="30" spans="1:13" x14ac:dyDescent="0.25">
      <c r="A30" t="s">
        <v>484</v>
      </c>
      <c r="B30" s="3">
        <v>45707.238263888888</v>
      </c>
      <c r="C30" t="s">
        <v>69</v>
      </c>
      <c r="D30" s="3">
        <v>45707.887499999997</v>
      </c>
      <c r="E30" t="s">
        <v>69</v>
      </c>
      <c r="F30" s="4">
        <v>207.12099999999998</v>
      </c>
      <c r="G30" s="4">
        <v>403727.92800000001</v>
      </c>
      <c r="H30" s="4">
        <v>403935.049</v>
      </c>
      <c r="I30" s="5">
        <f>18235 / 86400</f>
        <v>0.21105324074074075</v>
      </c>
      <c r="J30" t="s">
        <v>61</v>
      </c>
      <c r="K30" t="s">
        <v>46</v>
      </c>
      <c r="L30" s="5">
        <f>49846 / 86400</f>
        <v>0.57692129629629629</v>
      </c>
      <c r="M30" s="5">
        <f>36541 / 86400</f>
        <v>0.42292824074074076</v>
      </c>
    </row>
    <row r="31" spans="1:13" x14ac:dyDescent="0.25">
      <c r="A31" t="s">
        <v>485</v>
      </c>
      <c r="B31" s="3">
        <v>45707.26662037037</v>
      </c>
      <c r="C31" t="s">
        <v>70</v>
      </c>
      <c r="D31" s="3">
        <v>45707.778692129628</v>
      </c>
      <c r="E31" t="s">
        <v>70</v>
      </c>
      <c r="F31" s="4">
        <v>174.07900000000001</v>
      </c>
      <c r="G31" s="4">
        <v>407982.48700000002</v>
      </c>
      <c r="H31" s="4">
        <v>408156.56599999999</v>
      </c>
      <c r="I31" s="5">
        <f>11083 / 86400</f>
        <v>0.12827546296296297</v>
      </c>
      <c r="J31" t="s">
        <v>60</v>
      </c>
      <c r="K31" t="s">
        <v>27</v>
      </c>
      <c r="L31" s="5">
        <f>34939 / 86400</f>
        <v>0.40438657407407408</v>
      </c>
      <c r="M31" s="5">
        <f>51455 / 86400</f>
        <v>0.59554398148148147</v>
      </c>
    </row>
    <row r="32" spans="1:13" x14ac:dyDescent="0.25">
      <c r="A32" t="s">
        <v>486</v>
      </c>
      <c r="B32" s="3">
        <v>45707.595138888893</v>
      </c>
      <c r="C32" t="s">
        <v>71</v>
      </c>
      <c r="D32" s="3">
        <v>45707.595520833333</v>
      </c>
      <c r="E32" t="s">
        <v>71</v>
      </c>
      <c r="F32" s="4">
        <v>1E-3</v>
      </c>
      <c r="G32" s="4">
        <v>348657.80200000003</v>
      </c>
      <c r="H32" s="4">
        <v>348657.80300000001</v>
      </c>
      <c r="I32" s="5">
        <f>19 / 86400</f>
        <v>2.199074074074074E-4</v>
      </c>
      <c r="J32" t="s">
        <v>72</v>
      </c>
      <c r="K32" t="s">
        <v>72</v>
      </c>
      <c r="L32" s="5">
        <f>32 / 86400</f>
        <v>3.7037037037037035E-4</v>
      </c>
      <c r="M32" s="5">
        <f>86366 / 86400</f>
        <v>0.99960648148148146</v>
      </c>
    </row>
    <row r="33" spans="1:13" x14ac:dyDescent="0.25">
      <c r="A33" t="s">
        <v>487</v>
      </c>
      <c r="B33" s="3">
        <v>45707.122210648144</v>
      </c>
      <c r="C33" t="s">
        <v>73</v>
      </c>
      <c r="D33" s="3">
        <v>45707.965231481481</v>
      </c>
      <c r="E33" t="s">
        <v>73</v>
      </c>
      <c r="F33" s="4">
        <v>376.94100000000003</v>
      </c>
      <c r="G33" s="4">
        <v>42016.976999999999</v>
      </c>
      <c r="H33" s="4">
        <v>42393.917999999998</v>
      </c>
      <c r="I33" s="5">
        <f>20439 / 86400</f>
        <v>0.23656250000000001</v>
      </c>
      <c r="J33" t="s">
        <v>42</v>
      </c>
      <c r="K33" t="s">
        <v>33</v>
      </c>
      <c r="L33" s="5">
        <f>69659 / 86400</f>
        <v>0.80623842592592587</v>
      </c>
      <c r="M33" s="5">
        <f>16738 / 86400</f>
        <v>0.19372685185185184</v>
      </c>
    </row>
    <row r="34" spans="1:13" x14ac:dyDescent="0.25">
      <c r="A34" t="s">
        <v>488</v>
      </c>
      <c r="B34" s="3">
        <v>45707.003159722226</v>
      </c>
      <c r="C34" t="s">
        <v>74</v>
      </c>
      <c r="D34" s="3">
        <v>45707.999131944445</v>
      </c>
      <c r="E34" t="s">
        <v>74</v>
      </c>
      <c r="F34" s="4">
        <v>299.06900000000002</v>
      </c>
      <c r="G34" s="4">
        <v>47937.601000000002</v>
      </c>
      <c r="H34" s="4">
        <v>48236.67</v>
      </c>
      <c r="I34" s="5">
        <f>21267 / 86400</f>
        <v>0.24614583333333334</v>
      </c>
      <c r="J34" t="s">
        <v>19</v>
      </c>
      <c r="K34" t="s">
        <v>37</v>
      </c>
      <c r="L34" s="5">
        <f>62863 / 86400</f>
        <v>0.72758101851851853</v>
      </c>
      <c r="M34" s="5">
        <f>23530 / 86400</f>
        <v>0.27233796296296298</v>
      </c>
    </row>
    <row r="35" spans="1:13" x14ac:dyDescent="0.25">
      <c r="A35" t="s">
        <v>489</v>
      </c>
      <c r="B35" s="3">
        <v>45707</v>
      </c>
      <c r="C35" t="s">
        <v>75</v>
      </c>
      <c r="D35" s="3">
        <v>45707.99998842593</v>
      </c>
      <c r="E35" t="s">
        <v>76</v>
      </c>
      <c r="F35" s="4">
        <v>299.75299999999999</v>
      </c>
      <c r="G35" s="4">
        <v>529309.75199999998</v>
      </c>
      <c r="H35" s="4">
        <v>529609.505</v>
      </c>
      <c r="I35" s="5">
        <f>20737 / 86400</f>
        <v>0.24001157407407409</v>
      </c>
      <c r="J35" t="s">
        <v>52</v>
      </c>
      <c r="K35" t="s">
        <v>27</v>
      </c>
      <c r="L35" s="5">
        <f>59960 / 86400</f>
        <v>0.69398148148148153</v>
      </c>
      <c r="M35" s="5">
        <f>26432 / 86400</f>
        <v>0.30592592592592593</v>
      </c>
    </row>
    <row r="36" spans="1:13" x14ac:dyDescent="0.25">
      <c r="A36" t="s">
        <v>490</v>
      </c>
      <c r="B36" s="3">
        <v>45707.34003472222</v>
      </c>
      <c r="C36" t="s">
        <v>36</v>
      </c>
      <c r="D36" s="3">
        <v>45707.729884259257</v>
      </c>
      <c r="E36" t="s">
        <v>36</v>
      </c>
      <c r="F36" s="4">
        <v>144.83699999999999</v>
      </c>
      <c r="G36" s="4">
        <v>569134.76699999999</v>
      </c>
      <c r="H36" s="4">
        <v>569279.60400000005</v>
      </c>
      <c r="I36" s="5">
        <f>8698 / 86400</f>
        <v>0.1006712962962963</v>
      </c>
      <c r="J36" t="s">
        <v>45</v>
      </c>
      <c r="K36" t="s">
        <v>33</v>
      </c>
      <c r="L36" s="5">
        <f>27805 / 86400</f>
        <v>0.32181712962962961</v>
      </c>
      <c r="M36" s="5">
        <f>58592 / 86400</f>
        <v>0.67814814814814817</v>
      </c>
    </row>
    <row r="37" spans="1:13" x14ac:dyDescent="0.25">
      <c r="A37" t="s">
        <v>491</v>
      </c>
      <c r="B37" s="3">
        <v>45707.254652777774</v>
      </c>
      <c r="C37" t="s">
        <v>77</v>
      </c>
      <c r="D37" s="3">
        <v>45707.920787037037</v>
      </c>
      <c r="E37" t="s">
        <v>77</v>
      </c>
      <c r="F37" s="4">
        <v>178.18899999999999</v>
      </c>
      <c r="G37" s="4">
        <v>435880.23100000003</v>
      </c>
      <c r="H37" s="4">
        <v>436058.42</v>
      </c>
      <c r="I37" s="5">
        <f>13875 / 86400</f>
        <v>0.16059027777777779</v>
      </c>
      <c r="J37" t="s">
        <v>78</v>
      </c>
      <c r="K37" t="s">
        <v>20</v>
      </c>
      <c r="L37" s="5">
        <f>39660 / 86400</f>
        <v>0.45902777777777776</v>
      </c>
      <c r="M37" s="5">
        <f>46734 / 86400</f>
        <v>0.54090277777777773</v>
      </c>
    </row>
    <row r="38" spans="1:13" x14ac:dyDescent="0.25">
      <c r="A38" t="s">
        <v>492</v>
      </c>
      <c r="B38" s="3">
        <v>45707.242430555554</v>
      </c>
      <c r="C38" t="s">
        <v>49</v>
      </c>
      <c r="D38" s="3">
        <v>45707.829502314809</v>
      </c>
      <c r="E38" t="s">
        <v>49</v>
      </c>
      <c r="F38" s="4">
        <v>194.964</v>
      </c>
      <c r="G38" s="4">
        <v>516650.89199999999</v>
      </c>
      <c r="H38" s="4">
        <v>516847.67599999998</v>
      </c>
      <c r="I38" s="5">
        <f>13562 / 86400</f>
        <v>0.1569675925925926</v>
      </c>
      <c r="J38" t="s">
        <v>61</v>
      </c>
      <c r="K38" t="s">
        <v>20</v>
      </c>
      <c r="L38" s="5">
        <f>44429 / 86400</f>
        <v>0.51422453703703708</v>
      </c>
      <c r="M38" s="5">
        <f>41970 / 86400</f>
        <v>0.48576388888888888</v>
      </c>
    </row>
    <row r="39" spans="1:13" x14ac:dyDescent="0.25">
      <c r="A39" t="s">
        <v>493</v>
      </c>
      <c r="B39" s="3">
        <v>45707.223796296297</v>
      </c>
      <c r="C39" t="s">
        <v>79</v>
      </c>
      <c r="D39" s="3">
        <v>45707.839849537035</v>
      </c>
      <c r="E39" t="s">
        <v>80</v>
      </c>
      <c r="F39" s="4">
        <v>204.31200000000001</v>
      </c>
      <c r="G39" s="4">
        <v>506271.777</v>
      </c>
      <c r="H39" s="4">
        <v>506476.08899999998</v>
      </c>
      <c r="I39" s="5">
        <f>23300 / 86400</f>
        <v>0.26967592592592593</v>
      </c>
      <c r="J39" t="s">
        <v>78</v>
      </c>
      <c r="K39" t="s">
        <v>43</v>
      </c>
      <c r="L39" s="5">
        <f>53227 / 86400</f>
        <v>0.61605324074074075</v>
      </c>
      <c r="M39" s="5">
        <f>33172 / 86400</f>
        <v>0.38393518518518521</v>
      </c>
    </row>
    <row r="40" spans="1:13" x14ac:dyDescent="0.25">
      <c r="A40" t="s">
        <v>494</v>
      </c>
      <c r="B40" s="3">
        <v>45707</v>
      </c>
      <c r="C40" t="s">
        <v>81</v>
      </c>
      <c r="D40" s="3">
        <v>45707.99998842593</v>
      </c>
      <c r="E40" t="s">
        <v>82</v>
      </c>
      <c r="F40" s="4">
        <v>237.78899999999999</v>
      </c>
      <c r="G40" s="4">
        <v>352664.18</v>
      </c>
      <c r="H40" s="4">
        <v>352901.96899999998</v>
      </c>
      <c r="I40" s="5">
        <f>14932 / 86400</f>
        <v>0.17282407407407407</v>
      </c>
      <c r="J40" t="s">
        <v>55</v>
      </c>
      <c r="K40" t="s">
        <v>37</v>
      </c>
      <c r="L40" s="5">
        <f>50189 / 86400</f>
        <v>0.58089120370370373</v>
      </c>
      <c r="M40" s="5">
        <f>36202 / 86400</f>
        <v>0.41900462962962964</v>
      </c>
    </row>
    <row r="41" spans="1:13" x14ac:dyDescent="0.25">
      <c r="A41" t="s">
        <v>495</v>
      </c>
      <c r="B41" s="3">
        <v>45707.3205787037</v>
      </c>
      <c r="C41" t="s">
        <v>83</v>
      </c>
      <c r="D41" s="3">
        <v>45707.865381944444</v>
      </c>
      <c r="E41" t="s">
        <v>83</v>
      </c>
      <c r="F41" s="4">
        <v>2.1110000000000002</v>
      </c>
      <c r="G41" s="4">
        <v>411871.136</v>
      </c>
      <c r="H41" s="4">
        <v>411873.24699999997</v>
      </c>
      <c r="I41" s="5">
        <f>416 / 86400</f>
        <v>4.8148148148148152E-3</v>
      </c>
      <c r="J41" t="s">
        <v>84</v>
      </c>
      <c r="K41" t="s">
        <v>85</v>
      </c>
      <c r="L41" s="5">
        <f>1060 / 86400</f>
        <v>1.2268518518518519E-2</v>
      </c>
      <c r="M41" s="5">
        <f>85337 / 86400</f>
        <v>0.98769675925925926</v>
      </c>
    </row>
    <row r="42" spans="1:13" x14ac:dyDescent="0.25">
      <c r="A42" t="s">
        <v>496</v>
      </c>
      <c r="B42" s="3">
        <v>45707.154050925921</v>
      </c>
      <c r="C42" t="s">
        <v>28</v>
      </c>
      <c r="D42" s="3">
        <v>45707.849479166667</v>
      </c>
      <c r="E42" t="s">
        <v>28</v>
      </c>
      <c r="F42" s="4">
        <v>228.417</v>
      </c>
      <c r="G42" s="4">
        <v>442611.83100000001</v>
      </c>
      <c r="H42" s="4">
        <v>442840.24800000002</v>
      </c>
      <c r="I42" s="5">
        <f>11694 / 86400</f>
        <v>0.13534722222222223</v>
      </c>
      <c r="J42" t="s">
        <v>61</v>
      </c>
      <c r="K42" t="s">
        <v>27</v>
      </c>
      <c r="L42" s="5">
        <f>45482 / 86400</f>
        <v>0.52641203703703698</v>
      </c>
      <c r="M42" s="5">
        <f>40914 / 86400</f>
        <v>0.47354166666666669</v>
      </c>
    </row>
    <row r="43" spans="1:13" x14ac:dyDescent="0.25">
      <c r="A43" t="s">
        <v>497</v>
      </c>
      <c r="B43" s="3">
        <v>45707.234328703707</v>
      </c>
      <c r="C43" t="s">
        <v>86</v>
      </c>
      <c r="D43" s="3">
        <v>45707.859872685185</v>
      </c>
      <c r="E43" t="s">
        <v>86</v>
      </c>
      <c r="F43" s="4">
        <v>192.04300000000001</v>
      </c>
      <c r="G43" s="4">
        <v>474937.47700000001</v>
      </c>
      <c r="H43" s="4">
        <v>475129.52</v>
      </c>
      <c r="I43" s="5">
        <f>15732 / 86400</f>
        <v>0.18208333333333335</v>
      </c>
      <c r="J43" t="s">
        <v>87</v>
      </c>
      <c r="K43" t="s">
        <v>20</v>
      </c>
      <c r="L43" s="5">
        <f>44557 / 86400</f>
        <v>0.51570601851851849</v>
      </c>
      <c r="M43" s="5">
        <f>41841 / 86400</f>
        <v>0.48427083333333332</v>
      </c>
    </row>
    <row r="44" spans="1:13" x14ac:dyDescent="0.25">
      <c r="A44" t="s">
        <v>498</v>
      </c>
      <c r="B44" s="3">
        <v>45707.00167824074</v>
      </c>
      <c r="C44" t="s">
        <v>79</v>
      </c>
      <c r="D44" s="3">
        <v>45707.991493055553</v>
      </c>
      <c r="E44" t="s">
        <v>88</v>
      </c>
      <c r="F44" s="4">
        <v>256.43200000000002</v>
      </c>
      <c r="G44" s="4">
        <v>415411.598</v>
      </c>
      <c r="H44" s="4">
        <v>415668.03</v>
      </c>
      <c r="I44" s="5">
        <f>17041 / 86400</f>
        <v>0.19723379629629631</v>
      </c>
      <c r="J44" t="s">
        <v>52</v>
      </c>
      <c r="K44" t="s">
        <v>27</v>
      </c>
      <c r="L44" s="5">
        <f>52624 / 86400</f>
        <v>0.6090740740740741</v>
      </c>
      <c r="M44" s="5">
        <f>33764 / 86400</f>
        <v>0.39078703703703704</v>
      </c>
    </row>
    <row r="45" spans="1:13" x14ac:dyDescent="0.25">
      <c r="A45" t="s">
        <v>499</v>
      </c>
      <c r="B45" s="3">
        <v>45707.007766203707</v>
      </c>
      <c r="C45" t="s">
        <v>89</v>
      </c>
      <c r="D45" s="3">
        <v>45707.91170138889</v>
      </c>
      <c r="E45" t="s">
        <v>28</v>
      </c>
      <c r="F45" s="4">
        <v>143.90799999999999</v>
      </c>
      <c r="G45" s="4">
        <v>329416.52399999998</v>
      </c>
      <c r="H45" s="4">
        <v>329560.43199999997</v>
      </c>
      <c r="I45" s="5">
        <f>16255 / 86400</f>
        <v>0.18813657407407408</v>
      </c>
      <c r="J45" t="s">
        <v>87</v>
      </c>
      <c r="K45" t="s">
        <v>43</v>
      </c>
      <c r="L45" s="5">
        <f>37986 / 86400</f>
        <v>0.43965277777777778</v>
      </c>
      <c r="M45" s="5">
        <f>48407 / 86400</f>
        <v>0.56026620370370372</v>
      </c>
    </row>
    <row r="46" spans="1:13" x14ac:dyDescent="0.25">
      <c r="A46" t="s">
        <v>500</v>
      </c>
      <c r="B46" s="3">
        <v>45707.256620370375</v>
      </c>
      <c r="C46" t="s">
        <v>28</v>
      </c>
      <c r="D46" s="3">
        <v>45707.862511574072</v>
      </c>
      <c r="E46" t="s">
        <v>28</v>
      </c>
      <c r="F46" s="4">
        <v>168.43899999999999</v>
      </c>
      <c r="G46" s="4">
        <v>361105.83299999998</v>
      </c>
      <c r="H46" s="4">
        <v>361274.272</v>
      </c>
      <c r="I46" s="5">
        <f>16459 / 86400</f>
        <v>0.19049768518518517</v>
      </c>
      <c r="J46" t="s">
        <v>32</v>
      </c>
      <c r="K46" t="s">
        <v>43</v>
      </c>
      <c r="L46" s="5">
        <f>44339 / 86400</f>
        <v>0.51318287037037036</v>
      </c>
      <c r="M46" s="5">
        <f>42059 / 86400</f>
        <v>0.48679398148148151</v>
      </c>
    </row>
    <row r="47" spans="1:13" x14ac:dyDescent="0.25">
      <c r="A47" t="s">
        <v>501</v>
      </c>
      <c r="B47" s="3">
        <v>45707.274363425924</v>
      </c>
      <c r="C47" t="s">
        <v>66</v>
      </c>
      <c r="D47" s="3">
        <v>45707.8825462963</v>
      </c>
      <c r="E47" t="s">
        <v>66</v>
      </c>
      <c r="F47" s="4">
        <v>203.80699999999999</v>
      </c>
      <c r="G47" s="4">
        <v>82193.788</v>
      </c>
      <c r="H47" s="4">
        <v>82397.595000000001</v>
      </c>
      <c r="I47" s="5">
        <f>15538 / 86400</f>
        <v>0.17983796296296295</v>
      </c>
      <c r="J47" t="s">
        <v>90</v>
      </c>
      <c r="K47" t="s">
        <v>20</v>
      </c>
      <c r="L47" s="5">
        <f>46286 / 86400</f>
        <v>0.53571759259259255</v>
      </c>
      <c r="M47" s="5">
        <f>40111 / 86400</f>
        <v>0.46424768518518517</v>
      </c>
    </row>
    <row r="48" spans="1:13" x14ac:dyDescent="0.25">
      <c r="A48" t="s">
        <v>502</v>
      </c>
      <c r="B48" s="3">
        <v>45707.214456018519</v>
      </c>
      <c r="C48" t="s">
        <v>39</v>
      </c>
      <c r="D48" s="3">
        <v>45707.972916666666</v>
      </c>
      <c r="E48" t="s">
        <v>39</v>
      </c>
      <c r="F48" s="4">
        <v>207.32999999999998</v>
      </c>
      <c r="G48" s="4">
        <v>470887.53899999999</v>
      </c>
      <c r="H48" s="4">
        <v>471094.86900000001</v>
      </c>
      <c r="I48" s="5">
        <f>16361 / 86400</f>
        <v>0.18936342592592592</v>
      </c>
      <c r="J48" t="s">
        <v>90</v>
      </c>
      <c r="K48" t="s">
        <v>20</v>
      </c>
      <c r="L48" s="5">
        <f>46413 / 86400</f>
        <v>0.53718750000000004</v>
      </c>
      <c r="M48" s="5">
        <f>39977 / 86400</f>
        <v>0.46269675925925924</v>
      </c>
    </row>
    <row r="49" spans="1:13" x14ac:dyDescent="0.25">
      <c r="A49" t="s">
        <v>503</v>
      </c>
      <c r="B49" s="3">
        <v>45707.536145833335</v>
      </c>
      <c r="C49" t="s">
        <v>91</v>
      </c>
      <c r="D49" s="3">
        <v>45707.756435185191</v>
      </c>
      <c r="E49" t="s">
        <v>91</v>
      </c>
      <c r="F49" s="4">
        <v>0</v>
      </c>
      <c r="G49" s="4">
        <v>428213.33600000001</v>
      </c>
      <c r="H49" s="4">
        <v>428213.33600000001</v>
      </c>
      <c r="I49" s="5">
        <f>2116 / 86400</f>
        <v>2.449074074074074E-2</v>
      </c>
      <c r="J49" t="s">
        <v>72</v>
      </c>
      <c r="K49" t="s">
        <v>72</v>
      </c>
      <c r="L49" s="5">
        <f>2259 / 86400</f>
        <v>2.6145833333333333E-2</v>
      </c>
      <c r="M49" s="5">
        <f>84135 / 86400</f>
        <v>0.97378472222222223</v>
      </c>
    </row>
    <row r="50" spans="1:13" x14ac:dyDescent="0.25">
      <c r="A50" t="s">
        <v>504</v>
      </c>
      <c r="B50" s="3">
        <v>45707.142453703702</v>
      </c>
      <c r="C50" t="s">
        <v>28</v>
      </c>
      <c r="D50" s="3">
        <v>45707.97038194444</v>
      </c>
      <c r="E50" t="s">
        <v>28</v>
      </c>
      <c r="F50" s="4">
        <v>245.30199999999999</v>
      </c>
      <c r="G50" s="4">
        <v>576354.696</v>
      </c>
      <c r="H50" s="4">
        <v>576599.99800000002</v>
      </c>
      <c r="I50" s="5">
        <f>20228 / 86400</f>
        <v>0.23412037037037037</v>
      </c>
      <c r="J50" t="s">
        <v>90</v>
      </c>
      <c r="K50" t="s">
        <v>46</v>
      </c>
      <c r="L50" s="5">
        <f>57369 / 86400</f>
        <v>0.66399305555555554</v>
      </c>
      <c r="M50" s="5">
        <f>29023 / 86400</f>
        <v>0.33591435185185187</v>
      </c>
    </row>
    <row r="51" spans="1:13" x14ac:dyDescent="0.25">
      <c r="A51" t="s">
        <v>505</v>
      </c>
      <c r="B51" s="3">
        <v>45707.246030092589</v>
      </c>
      <c r="C51" t="s">
        <v>92</v>
      </c>
      <c r="D51" s="3">
        <v>45707.858194444445</v>
      </c>
      <c r="E51" t="s">
        <v>92</v>
      </c>
      <c r="F51" s="4">
        <v>210.47399999999999</v>
      </c>
      <c r="G51" s="4">
        <v>417318.016</v>
      </c>
      <c r="H51" s="4">
        <v>417528.49</v>
      </c>
      <c r="I51" s="5">
        <f>16763 / 86400</f>
        <v>0.1940162037037037</v>
      </c>
      <c r="J51" t="s">
        <v>23</v>
      </c>
      <c r="K51" t="s">
        <v>20</v>
      </c>
      <c r="L51" s="5">
        <f>48465 / 86400</f>
        <v>0.56093749999999998</v>
      </c>
      <c r="M51" s="5">
        <f>37931 / 86400</f>
        <v>0.4390162037037037</v>
      </c>
    </row>
    <row r="52" spans="1:13" x14ac:dyDescent="0.25">
      <c r="A52" t="s">
        <v>506</v>
      </c>
      <c r="B52" s="3">
        <v>45707.284317129626</v>
      </c>
      <c r="C52" t="s">
        <v>93</v>
      </c>
      <c r="D52" s="3">
        <v>45707.90688657407</v>
      </c>
      <c r="E52" t="s">
        <v>94</v>
      </c>
      <c r="F52" s="4">
        <v>165.59100000000001</v>
      </c>
      <c r="G52" s="4">
        <v>401399.73300000001</v>
      </c>
      <c r="H52" s="4">
        <v>401565.326</v>
      </c>
      <c r="I52" s="5">
        <f>14163 / 86400</f>
        <v>0.16392361111111112</v>
      </c>
      <c r="J52" t="s">
        <v>61</v>
      </c>
      <c r="K52" t="s">
        <v>37</v>
      </c>
      <c r="L52" s="5">
        <f>35571 / 86400</f>
        <v>0.41170138888888891</v>
      </c>
      <c r="M52" s="5">
        <f>50821 / 86400</f>
        <v>0.5882060185185185</v>
      </c>
    </row>
    <row r="53" spans="1:13" x14ac:dyDescent="0.25">
      <c r="A53" t="s">
        <v>507</v>
      </c>
      <c r="B53" s="3">
        <v>45707.220555555556</v>
      </c>
      <c r="C53" t="s">
        <v>28</v>
      </c>
      <c r="D53" s="3">
        <v>45707.850844907407</v>
      </c>
      <c r="E53" t="s">
        <v>28</v>
      </c>
      <c r="F53" s="4">
        <v>219.155</v>
      </c>
      <c r="G53" s="4">
        <v>383111.22</v>
      </c>
      <c r="H53" s="4">
        <v>383330.375</v>
      </c>
      <c r="I53" s="5">
        <f>17555 / 86400</f>
        <v>0.20318287037037036</v>
      </c>
      <c r="J53" t="s">
        <v>23</v>
      </c>
      <c r="K53" t="s">
        <v>20</v>
      </c>
      <c r="L53" s="5">
        <f>50076 / 86400</f>
        <v>0.57958333333333334</v>
      </c>
      <c r="M53" s="5">
        <f>36319 / 86400</f>
        <v>0.4203587962962963</v>
      </c>
    </row>
    <row r="54" spans="1:13" x14ac:dyDescent="0.25">
      <c r="A54" t="s">
        <v>508</v>
      </c>
      <c r="B54" s="3">
        <v>45707.247881944444</v>
      </c>
      <c r="C54" t="s">
        <v>95</v>
      </c>
      <c r="D54" s="3">
        <v>45707.846388888887</v>
      </c>
      <c r="E54" t="s">
        <v>95</v>
      </c>
      <c r="F54" s="4">
        <v>197.048</v>
      </c>
      <c r="G54" s="4">
        <v>547096.88300000003</v>
      </c>
      <c r="H54" s="4">
        <v>547293.93099999998</v>
      </c>
      <c r="I54" s="5">
        <f>13417 / 86400</f>
        <v>0.15528935185185186</v>
      </c>
      <c r="J54" t="s">
        <v>96</v>
      </c>
      <c r="K54" t="s">
        <v>37</v>
      </c>
      <c r="L54" s="5">
        <f>42834 / 86400</f>
        <v>0.49576388888888889</v>
      </c>
      <c r="M54" s="5">
        <f>43561 / 86400</f>
        <v>0.50417824074074069</v>
      </c>
    </row>
    <row r="55" spans="1:13" x14ac:dyDescent="0.25">
      <c r="A55" t="s">
        <v>509</v>
      </c>
      <c r="B55" s="3">
        <v>45707</v>
      </c>
      <c r="C55" t="s">
        <v>97</v>
      </c>
      <c r="D55" s="3">
        <v>45707.994340277779</v>
      </c>
      <c r="E55" t="s">
        <v>98</v>
      </c>
      <c r="F55" s="4">
        <v>232.70399999999998</v>
      </c>
      <c r="G55" s="4">
        <v>105315.806</v>
      </c>
      <c r="H55" s="4">
        <v>105548.51</v>
      </c>
      <c r="I55" s="5">
        <f>17814 / 86400</f>
        <v>0.20618055555555556</v>
      </c>
      <c r="J55" t="s">
        <v>63</v>
      </c>
      <c r="K55" t="s">
        <v>27</v>
      </c>
      <c r="L55" s="5">
        <f>47018 / 86400</f>
        <v>0.54418981481481477</v>
      </c>
      <c r="M55" s="5">
        <f>39381 / 86400</f>
        <v>0.45579861111111108</v>
      </c>
    </row>
    <row r="56" spans="1:13" x14ac:dyDescent="0.25">
      <c r="A56" t="s">
        <v>510</v>
      </c>
      <c r="B56" s="3">
        <v>45707.462245370371</v>
      </c>
      <c r="C56" t="s">
        <v>99</v>
      </c>
      <c r="D56" s="3">
        <v>45707.808749999997</v>
      </c>
      <c r="E56" t="s">
        <v>99</v>
      </c>
      <c r="F56" s="4">
        <v>4.2430000000000003</v>
      </c>
      <c r="G56" s="4">
        <v>54574.33</v>
      </c>
      <c r="H56" s="4">
        <v>54578.572999999997</v>
      </c>
      <c r="I56" s="5">
        <f>1420 / 86400</f>
        <v>1.6435185185185185E-2</v>
      </c>
      <c r="J56" t="s">
        <v>100</v>
      </c>
      <c r="K56" t="s">
        <v>101</v>
      </c>
      <c r="L56" s="5">
        <f>2444 / 86400</f>
        <v>2.8287037037037038E-2</v>
      </c>
      <c r="M56" s="5">
        <f>83955 / 86400</f>
        <v>0.97170138888888891</v>
      </c>
    </row>
    <row r="57" spans="1:13" x14ac:dyDescent="0.25">
      <c r="A57" t="s">
        <v>511</v>
      </c>
      <c r="B57" s="3">
        <v>45707.231527777782</v>
      </c>
      <c r="C57" t="s">
        <v>102</v>
      </c>
      <c r="D57" s="3">
        <v>45707.725138888884</v>
      </c>
      <c r="E57" t="s">
        <v>102</v>
      </c>
      <c r="F57" s="4">
        <v>196.56100000000001</v>
      </c>
      <c r="G57" s="4">
        <v>46691.072999999997</v>
      </c>
      <c r="H57" s="4">
        <v>46887.633999999998</v>
      </c>
      <c r="I57" s="5">
        <f>12897 / 86400</f>
        <v>0.14927083333333332</v>
      </c>
      <c r="J57" t="s">
        <v>19</v>
      </c>
      <c r="K57" t="s">
        <v>27</v>
      </c>
      <c r="L57" s="5">
        <f>39335 / 86400</f>
        <v>0.45526620370370369</v>
      </c>
      <c r="M57" s="5">
        <f>47064 / 86400</f>
        <v>0.54472222222222222</v>
      </c>
    </row>
    <row r="58" spans="1:13" x14ac:dyDescent="0.25">
      <c r="A58" t="s">
        <v>512</v>
      </c>
      <c r="B58" s="3">
        <v>45707.154282407406</v>
      </c>
      <c r="C58" t="s">
        <v>103</v>
      </c>
      <c r="D58" s="3">
        <v>45707.876307870371</v>
      </c>
      <c r="E58" t="s">
        <v>103</v>
      </c>
      <c r="F58" s="4">
        <v>305</v>
      </c>
      <c r="G58" s="4">
        <v>80180.611999999994</v>
      </c>
      <c r="H58" s="4">
        <v>80485.611999999994</v>
      </c>
      <c r="I58" s="5">
        <f>18408 / 86400</f>
        <v>0.21305555555555555</v>
      </c>
      <c r="J58" t="s">
        <v>42</v>
      </c>
      <c r="K58" t="s">
        <v>27</v>
      </c>
      <c r="L58" s="5">
        <f>59501 / 86400</f>
        <v>0.68866898148148148</v>
      </c>
      <c r="M58" s="5">
        <f>26898 / 86400</f>
        <v>0.31131944444444443</v>
      </c>
    </row>
    <row r="59" spans="1:13" x14ac:dyDescent="0.25">
      <c r="A59" t="s">
        <v>513</v>
      </c>
      <c r="B59" s="3">
        <v>45707</v>
      </c>
      <c r="C59" t="s">
        <v>104</v>
      </c>
      <c r="D59" s="3">
        <v>45707.886666666665</v>
      </c>
      <c r="E59" t="s">
        <v>105</v>
      </c>
      <c r="F59" s="4">
        <v>15.846</v>
      </c>
      <c r="G59" s="4">
        <v>42295.639000000003</v>
      </c>
      <c r="H59" s="4">
        <v>42311.485000000001</v>
      </c>
      <c r="I59" s="5">
        <f>1469 / 86400</f>
        <v>1.7002314814814814E-2</v>
      </c>
      <c r="J59" t="s">
        <v>106</v>
      </c>
      <c r="K59" t="s">
        <v>20</v>
      </c>
      <c r="L59" s="5">
        <f>3585 / 86400</f>
        <v>4.1493055555555554E-2</v>
      </c>
      <c r="M59" s="5">
        <f>82814 / 86400</f>
        <v>0.95849537037037036</v>
      </c>
    </row>
    <row r="60" spans="1:13" x14ac:dyDescent="0.25">
      <c r="A60" t="s">
        <v>514</v>
      </c>
      <c r="B60" s="3">
        <v>45707.260300925926</v>
      </c>
      <c r="C60" t="s">
        <v>107</v>
      </c>
      <c r="D60" s="3">
        <v>45707.886990740742</v>
      </c>
      <c r="E60" t="s">
        <v>107</v>
      </c>
      <c r="F60" s="4">
        <v>72.552000000000007</v>
      </c>
      <c r="G60" s="4">
        <v>193200.22</v>
      </c>
      <c r="H60" s="4">
        <v>193272.772</v>
      </c>
      <c r="I60" s="5">
        <f>3654 / 86400</f>
        <v>4.2291666666666665E-2</v>
      </c>
      <c r="J60" t="s">
        <v>23</v>
      </c>
      <c r="K60" t="s">
        <v>33</v>
      </c>
      <c r="L60" s="5">
        <f>13453 / 86400</f>
        <v>0.15570601851851851</v>
      </c>
      <c r="M60" s="5">
        <f>72943 / 86400</f>
        <v>0.84424768518518523</v>
      </c>
    </row>
    <row r="61" spans="1:13" x14ac:dyDescent="0.25">
      <c r="A61" t="s">
        <v>515</v>
      </c>
      <c r="B61" s="3">
        <v>45707.201689814814</v>
      </c>
      <c r="C61" t="s">
        <v>66</v>
      </c>
      <c r="D61" s="3">
        <v>45707.99998842593</v>
      </c>
      <c r="E61" t="s">
        <v>108</v>
      </c>
      <c r="F61" s="4">
        <v>301.10599999994042</v>
      </c>
      <c r="G61" s="4">
        <v>524338.80700000003</v>
      </c>
      <c r="H61" s="4">
        <v>524639.91299999994</v>
      </c>
      <c r="I61" s="5">
        <f>22073 / 86400</f>
        <v>0.25547453703703704</v>
      </c>
      <c r="J61" t="s">
        <v>60</v>
      </c>
      <c r="K61" t="s">
        <v>37</v>
      </c>
      <c r="L61" s="5">
        <f>62963 / 86400</f>
        <v>0.72873842592592597</v>
      </c>
      <c r="M61" s="5">
        <f>23436 / 86400</f>
        <v>0.27124999999999999</v>
      </c>
    </row>
    <row r="62" spans="1:13" x14ac:dyDescent="0.25">
      <c r="A62" t="s">
        <v>516</v>
      </c>
      <c r="B62" s="3">
        <v>45707.266481481478</v>
      </c>
      <c r="C62" t="s">
        <v>109</v>
      </c>
      <c r="D62" s="3">
        <v>45707.8199537037</v>
      </c>
      <c r="E62" t="s">
        <v>109</v>
      </c>
      <c r="F62" s="4">
        <v>185.10300000000001</v>
      </c>
      <c r="G62" s="4">
        <v>24011.967000000001</v>
      </c>
      <c r="H62" s="4">
        <v>24197.07</v>
      </c>
      <c r="I62" s="5">
        <f>13558 / 86400</f>
        <v>0.15692129629629631</v>
      </c>
      <c r="J62" t="s">
        <v>50</v>
      </c>
      <c r="K62" t="s">
        <v>20</v>
      </c>
      <c r="L62" s="5">
        <f>42917 / 86400</f>
        <v>0.49672453703703706</v>
      </c>
      <c r="M62" s="5">
        <f>43478 / 86400</f>
        <v>0.50321759259259258</v>
      </c>
    </row>
    <row r="63" spans="1:13" x14ac:dyDescent="0.25">
      <c r="A63" t="s">
        <v>517</v>
      </c>
      <c r="B63" s="3">
        <v>45707.206365740742</v>
      </c>
      <c r="C63" t="s">
        <v>36</v>
      </c>
      <c r="D63" s="3">
        <v>45707.829745370371</v>
      </c>
      <c r="E63" t="s">
        <v>36</v>
      </c>
      <c r="F63" s="4">
        <v>228.15900000000002</v>
      </c>
      <c r="G63" s="4">
        <v>64960.722000000002</v>
      </c>
      <c r="H63" s="4">
        <v>65188.881000000001</v>
      </c>
      <c r="I63" s="5">
        <f>18138 / 86400</f>
        <v>0.20993055555555556</v>
      </c>
      <c r="J63" t="s">
        <v>65</v>
      </c>
      <c r="K63" t="s">
        <v>37</v>
      </c>
      <c r="L63" s="5">
        <f>49636 / 86400</f>
        <v>0.57449074074074069</v>
      </c>
      <c r="M63" s="5">
        <f>36757 / 86400</f>
        <v>0.42542824074074076</v>
      </c>
    </row>
    <row r="64" spans="1:13" x14ac:dyDescent="0.25">
      <c r="A64" t="s">
        <v>518</v>
      </c>
      <c r="B64" s="3">
        <v>45707.262488425928</v>
      </c>
      <c r="C64" t="s">
        <v>18</v>
      </c>
      <c r="D64" s="3">
        <v>45707.770185185189</v>
      </c>
      <c r="E64" t="s">
        <v>110</v>
      </c>
      <c r="F64" s="4">
        <v>36.497000000000007</v>
      </c>
      <c r="G64" s="4">
        <v>5810.8639999999996</v>
      </c>
      <c r="H64" s="4">
        <v>5847.3609999999999</v>
      </c>
      <c r="I64" s="5">
        <f>14201 / 86400</f>
        <v>0.16436342592592593</v>
      </c>
      <c r="J64" t="s">
        <v>111</v>
      </c>
      <c r="K64" t="s">
        <v>85</v>
      </c>
      <c r="L64" s="5">
        <f>19181 / 86400</f>
        <v>0.22200231481481481</v>
      </c>
      <c r="M64" s="5">
        <f>67213 / 86400</f>
        <v>0.77792824074074074</v>
      </c>
    </row>
    <row r="65" spans="1:13" x14ac:dyDescent="0.25">
      <c r="A65" t="s">
        <v>519</v>
      </c>
      <c r="B65" s="3">
        <v>45707.209872685184</v>
      </c>
      <c r="C65" t="s">
        <v>28</v>
      </c>
      <c r="D65" s="3">
        <v>45707.933981481481</v>
      </c>
      <c r="E65" t="s">
        <v>28</v>
      </c>
      <c r="F65" s="4">
        <v>117.164</v>
      </c>
      <c r="G65" s="4">
        <v>409160.60800000001</v>
      </c>
      <c r="H65" s="4">
        <v>409277.772</v>
      </c>
      <c r="I65" s="5">
        <f>8758 / 86400</f>
        <v>0.10136574074074074</v>
      </c>
      <c r="J65" t="s">
        <v>23</v>
      </c>
      <c r="K65" t="s">
        <v>20</v>
      </c>
      <c r="L65" s="5">
        <f>25957 / 86400</f>
        <v>0.30042824074074076</v>
      </c>
      <c r="M65" s="5">
        <f>60436 / 86400</f>
        <v>0.69949074074074069</v>
      </c>
    </row>
    <row r="66" spans="1:13" x14ac:dyDescent="0.25">
      <c r="A66" t="s">
        <v>520</v>
      </c>
      <c r="B66" s="3">
        <v>45707</v>
      </c>
      <c r="C66" t="s">
        <v>112</v>
      </c>
      <c r="D66" s="3">
        <v>45707.973668981482</v>
      </c>
      <c r="E66" t="s">
        <v>80</v>
      </c>
      <c r="F66" s="4">
        <v>245.58100000000002</v>
      </c>
      <c r="G66" s="4">
        <v>551670.66599999997</v>
      </c>
      <c r="H66" s="4">
        <v>551916.24699999997</v>
      </c>
      <c r="I66" s="5">
        <f>17850 / 86400</f>
        <v>0.20659722222222221</v>
      </c>
      <c r="J66" t="s">
        <v>113</v>
      </c>
      <c r="K66" t="s">
        <v>20</v>
      </c>
      <c r="L66" s="5">
        <f>54781 / 86400</f>
        <v>0.6340393518518519</v>
      </c>
      <c r="M66" s="5">
        <f>31616 / 86400</f>
        <v>0.36592592592592593</v>
      </c>
    </row>
    <row r="67" spans="1:13" x14ac:dyDescent="0.25">
      <c r="A67" t="s">
        <v>521</v>
      </c>
      <c r="B67" s="3">
        <v>45707</v>
      </c>
      <c r="C67" t="s">
        <v>114</v>
      </c>
      <c r="D67" s="3">
        <v>45707.99998842593</v>
      </c>
      <c r="E67" t="s">
        <v>115</v>
      </c>
      <c r="F67" s="4">
        <v>1548.71</v>
      </c>
      <c r="G67" s="4">
        <v>59040.76</v>
      </c>
      <c r="H67" s="4">
        <v>60589.47</v>
      </c>
      <c r="I67" s="5">
        <f>21133 / 86400</f>
        <v>0.24459490740740741</v>
      </c>
      <c r="J67" t="s">
        <v>116</v>
      </c>
      <c r="K67" t="s">
        <v>48</v>
      </c>
      <c r="L67" s="5">
        <f>63519 / 86400</f>
        <v>0.73517361111111112</v>
      </c>
      <c r="M67" s="5">
        <f>22878 / 86400</f>
        <v>0.26479166666666665</v>
      </c>
    </row>
    <row r="68" spans="1:13" x14ac:dyDescent="0.25">
      <c r="A68" t="s">
        <v>522</v>
      </c>
      <c r="B68" s="3">
        <v>45707.373969907407</v>
      </c>
      <c r="C68" t="s">
        <v>117</v>
      </c>
      <c r="D68" s="3">
        <v>45707.99998842593</v>
      </c>
      <c r="E68" t="s">
        <v>118</v>
      </c>
      <c r="F68" s="4">
        <v>130.059</v>
      </c>
      <c r="G68" s="4">
        <v>61042.631000000001</v>
      </c>
      <c r="H68" s="4">
        <v>61172.69</v>
      </c>
      <c r="I68" s="5">
        <f>10175 / 86400</f>
        <v>0.11776620370370371</v>
      </c>
      <c r="J68" t="s">
        <v>119</v>
      </c>
      <c r="K68" t="s">
        <v>37</v>
      </c>
      <c r="L68" s="5">
        <f>27925 / 86400</f>
        <v>0.32320601851851855</v>
      </c>
      <c r="M68" s="5">
        <f>58469 / 86400</f>
        <v>0.67672453703703705</v>
      </c>
    </row>
    <row r="69" spans="1:13" x14ac:dyDescent="0.25">
      <c r="A69" t="s">
        <v>523</v>
      </c>
      <c r="B69" s="3">
        <v>45707</v>
      </c>
      <c r="C69" t="s">
        <v>120</v>
      </c>
      <c r="D69" s="3">
        <v>45707.990613425922</v>
      </c>
      <c r="E69" t="s">
        <v>121</v>
      </c>
      <c r="F69" s="4">
        <v>362.43399999999997</v>
      </c>
      <c r="G69" s="4">
        <v>64880.25</v>
      </c>
      <c r="H69" s="4">
        <v>65242.684000000001</v>
      </c>
      <c r="I69" s="5">
        <f>21910 / 86400</f>
        <v>0.25358796296296299</v>
      </c>
      <c r="J69" t="s">
        <v>122</v>
      </c>
      <c r="K69" t="s">
        <v>33</v>
      </c>
      <c r="L69" s="5">
        <f>67842 / 86400</f>
        <v>0.78520833333333329</v>
      </c>
      <c r="M69" s="5">
        <f>18556 / 86400</f>
        <v>0.21476851851851853</v>
      </c>
    </row>
    <row r="70" spans="1:13" x14ac:dyDescent="0.25">
      <c r="A70" t="s">
        <v>524</v>
      </c>
      <c r="B70" s="3">
        <v>45707.039687500001</v>
      </c>
      <c r="C70" t="s">
        <v>121</v>
      </c>
      <c r="D70" s="3">
        <v>45707.922986111109</v>
      </c>
      <c r="E70" t="s">
        <v>121</v>
      </c>
      <c r="F70" s="4">
        <v>149.39600000000002</v>
      </c>
      <c r="G70" s="4">
        <v>292962.59899999999</v>
      </c>
      <c r="H70" s="4">
        <v>293111.995</v>
      </c>
      <c r="I70" s="5">
        <f>33100 / 86400</f>
        <v>0.38310185185185186</v>
      </c>
      <c r="J70" t="s">
        <v>42</v>
      </c>
      <c r="K70" t="s">
        <v>123</v>
      </c>
      <c r="L70" s="5">
        <f>54761 / 86400</f>
        <v>0.63380787037037034</v>
      </c>
      <c r="M70" s="5">
        <f>31636 / 86400</f>
        <v>0.36615740740740743</v>
      </c>
    </row>
    <row r="71" spans="1:13" x14ac:dyDescent="0.25">
      <c r="A71" s="6" t="s">
        <v>124</v>
      </c>
      <c r="B71" s="6" t="s">
        <v>125</v>
      </c>
      <c r="C71" s="6" t="s">
        <v>125</v>
      </c>
      <c r="D71" s="6" t="s">
        <v>125</v>
      </c>
      <c r="E71" s="6" t="s">
        <v>125</v>
      </c>
      <c r="F71" s="7">
        <v>12680.935359541416</v>
      </c>
      <c r="G71" s="6" t="s">
        <v>125</v>
      </c>
      <c r="H71" s="6" t="s">
        <v>125</v>
      </c>
      <c r="I71" s="8">
        <f>916813 / 86400</f>
        <v>10.611261574074074</v>
      </c>
      <c r="J71" s="6" t="s">
        <v>125</v>
      </c>
      <c r="K71" s="6" t="s">
        <v>125</v>
      </c>
      <c r="L71" s="8">
        <f>2558395 / 86400</f>
        <v>29.611053240740741</v>
      </c>
      <c r="M71" s="8">
        <f>2884489 / 86400</f>
        <v>33.385289351851853</v>
      </c>
    </row>
    <row r="72" spans="1:13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</row>
    <row r="73" spans="1:13" s="9" customFormat="1" x14ac:dyDescent="0.25">
      <c r="A73" s="14" t="s">
        <v>126</v>
      </c>
      <c r="B73" s="14"/>
      <c r="C73" s="14"/>
      <c r="D73" s="14"/>
      <c r="E73" s="14"/>
      <c r="F73" s="14"/>
      <c r="G73" s="14"/>
      <c r="H73" s="14"/>
      <c r="I73" s="14"/>
      <c r="J73" s="14"/>
    </row>
    <row r="74" spans="1:13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</row>
    <row r="75" spans="1:13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</row>
    <row r="76" spans="1:13" s="10" customFormat="1" ht="20.100000000000001" customHeight="1" x14ac:dyDescent="0.35">
      <c r="A76" s="15" t="s">
        <v>462</v>
      </c>
      <c r="B76" s="15"/>
      <c r="C76" s="15"/>
      <c r="D76" s="15"/>
      <c r="E76" s="15"/>
      <c r="F76" s="15"/>
      <c r="G76" s="15"/>
      <c r="H76" s="15"/>
      <c r="I76" s="15"/>
      <c r="J76" s="15"/>
    </row>
    <row r="77" spans="1:13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</row>
    <row r="78" spans="1:13" ht="30" x14ac:dyDescent="0.25">
      <c r="A78" s="2" t="s">
        <v>6</v>
      </c>
      <c r="B78" s="2" t="s">
        <v>7</v>
      </c>
      <c r="C78" s="2" t="s">
        <v>8</v>
      </c>
      <c r="D78" s="2" t="s">
        <v>9</v>
      </c>
      <c r="E78" s="2" t="s">
        <v>10</v>
      </c>
      <c r="F78" s="2" t="s">
        <v>11</v>
      </c>
      <c r="G78" s="2" t="s">
        <v>12</v>
      </c>
      <c r="H78" s="2" t="s">
        <v>13</v>
      </c>
      <c r="I78" s="2" t="s">
        <v>14</v>
      </c>
      <c r="J78" s="2" t="s">
        <v>15</v>
      </c>
      <c r="K78" s="2" t="s">
        <v>16</v>
      </c>
      <c r="L78" s="2" t="s">
        <v>17</v>
      </c>
    </row>
    <row r="79" spans="1:13" x14ac:dyDescent="0.25">
      <c r="A79" s="3">
        <v>45707.179432870369</v>
      </c>
      <c r="B79" t="s">
        <v>18</v>
      </c>
      <c r="C79" s="3">
        <v>45707.181747685187</v>
      </c>
      <c r="D79" t="s">
        <v>18</v>
      </c>
      <c r="E79" s="4">
        <v>2.7E-2</v>
      </c>
      <c r="F79" s="4">
        <v>515331.04800000001</v>
      </c>
      <c r="G79" s="4">
        <v>515331.07500000001</v>
      </c>
      <c r="H79" s="5">
        <f>139 / 86400</f>
        <v>1.6087962962962963E-3</v>
      </c>
      <c r="I79" t="s">
        <v>127</v>
      </c>
      <c r="J79" t="s">
        <v>72</v>
      </c>
      <c r="K79" s="5">
        <f>200 / 86400</f>
        <v>2.3148148148148147E-3</v>
      </c>
      <c r="L79" s="5">
        <f>20416 / 86400</f>
        <v>0.23629629629629631</v>
      </c>
    </row>
    <row r="80" spans="1:13" x14ac:dyDescent="0.25">
      <c r="A80" s="3">
        <v>45707.238611111112</v>
      </c>
      <c r="B80" t="s">
        <v>18</v>
      </c>
      <c r="C80" s="3">
        <v>45707.330555555556</v>
      </c>
      <c r="D80" t="s">
        <v>128</v>
      </c>
      <c r="E80" s="4">
        <v>48.155999999999999</v>
      </c>
      <c r="F80" s="4">
        <v>515331.07500000001</v>
      </c>
      <c r="G80" s="4">
        <v>515379.23100000003</v>
      </c>
      <c r="H80" s="5">
        <f>2219 / 86400</f>
        <v>2.568287037037037E-2</v>
      </c>
      <c r="I80" t="s">
        <v>50</v>
      </c>
      <c r="J80" t="s">
        <v>129</v>
      </c>
      <c r="K80" s="5">
        <f>7943 / 86400</f>
        <v>9.1932870370370373E-2</v>
      </c>
      <c r="L80" s="5">
        <f>489 / 86400</f>
        <v>5.6597222222222222E-3</v>
      </c>
    </row>
    <row r="81" spans="1:12" x14ac:dyDescent="0.25">
      <c r="A81" s="3">
        <v>45707.336215277777</v>
      </c>
      <c r="B81" t="s">
        <v>128</v>
      </c>
      <c r="C81" s="3">
        <v>45707.342245370368</v>
      </c>
      <c r="D81" t="s">
        <v>130</v>
      </c>
      <c r="E81" s="4">
        <v>1.2929999999999999</v>
      </c>
      <c r="F81" s="4">
        <v>515379.23100000003</v>
      </c>
      <c r="G81" s="4">
        <v>515380.52399999998</v>
      </c>
      <c r="H81" s="5">
        <f>180 / 86400</f>
        <v>2.0833333333333333E-3</v>
      </c>
      <c r="I81" t="s">
        <v>131</v>
      </c>
      <c r="J81" t="s">
        <v>132</v>
      </c>
      <c r="K81" s="5">
        <f>521 / 86400</f>
        <v>6.030092592592593E-3</v>
      </c>
      <c r="L81" s="5">
        <f>985 / 86400</f>
        <v>1.1400462962962963E-2</v>
      </c>
    </row>
    <row r="82" spans="1:12" x14ac:dyDescent="0.25">
      <c r="A82" s="3">
        <v>45707.353645833333</v>
      </c>
      <c r="B82" t="s">
        <v>130</v>
      </c>
      <c r="C82" s="3">
        <v>45707.486331018517</v>
      </c>
      <c r="D82" t="s">
        <v>133</v>
      </c>
      <c r="E82" s="4">
        <v>51.04</v>
      </c>
      <c r="F82" s="4">
        <v>515380.52399999998</v>
      </c>
      <c r="G82" s="4">
        <v>515431.56400000001</v>
      </c>
      <c r="H82" s="5">
        <f>3960 / 86400</f>
        <v>4.583333333333333E-2</v>
      </c>
      <c r="I82" t="s">
        <v>19</v>
      </c>
      <c r="J82" t="s">
        <v>20</v>
      </c>
      <c r="K82" s="5">
        <f>11464 / 86400</f>
        <v>0.13268518518518518</v>
      </c>
      <c r="L82" s="5">
        <f>1740 / 86400</f>
        <v>2.013888888888889E-2</v>
      </c>
    </row>
    <row r="83" spans="1:12" x14ac:dyDescent="0.25">
      <c r="A83" s="3">
        <v>45707.506469907406</v>
      </c>
      <c r="B83" t="s">
        <v>133</v>
      </c>
      <c r="C83" s="3">
        <v>45707.634629629625</v>
      </c>
      <c r="D83" t="s">
        <v>110</v>
      </c>
      <c r="E83" s="4">
        <v>50.509</v>
      </c>
      <c r="F83" s="4">
        <v>515431.56400000001</v>
      </c>
      <c r="G83" s="4">
        <v>515482.07299999997</v>
      </c>
      <c r="H83" s="5">
        <f>3458 / 86400</f>
        <v>4.0023148148148148E-2</v>
      </c>
      <c r="I83" t="s">
        <v>78</v>
      </c>
      <c r="J83" t="s">
        <v>20</v>
      </c>
      <c r="K83" s="5">
        <f>11073 / 86400</f>
        <v>0.12815972222222222</v>
      </c>
      <c r="L83" s="5">
        <f>418 / 86400</f>
        <v>4.8379629629629632E-3</v>
      </c>
    </row>
    <row r="84" spans="1:12" x14ac:dyDescent="0.25">
      <c r="A84" s="3">
        <v>45707.639467592591</v>
      </c>
      <c r="B84" t="s">
        <v>110</v>
      </c>
      <c r="C84" s="3">
        <v>45707.64126157407</v>
      </c>
      <c r="D84" t="s">
        <v>110</v>
      </c>
      <c r="E84" s="4">
        <v>4.1000000000000002E-2</v>
      </c>
      <c r="F84" s="4">
        <v>515482.07299999997</v>
      </c>
      <c r="G84" s="4">
        <v>515482.114</v>
      </c>
      <c r="H84" s="5">
        <f>59 / 86400</f>
        <v>6.8287037037037036E-4</v>
      </c>
      <c r="I84" t="s">
        <v>134</v>
      </c>
      <c r="J84" t="s">
        <v>127</v>
      </c>
      <c r="K84" s="5">
        <f>155 / 86400</f>
        <v>1.7939814814814815E-3</v>
      </c>
      <c r="L84" s="5">
        <f>2233 / 86400</f>
        <v>2.5844907407407407E-2</v>
      </c>
    </row>
    <row r="85" spans="1:12" x14ac:dyDescent="0.25">
      <c r="A85" s="3">
        <v>45707.66710648148</v>
      </c>
      <c r="B85" t="s">
        <v>110</v>
      </c>
      <c r="C85" s="3">
        <v>45707.841793981483</v>
      </c>
      <c r="D85" t="s">
        <v>135</v>
      </c>
      <c r="E85" s="4">
        <v>62.731999999999999</v>
      </c>
      <c r="F85" s="4">
        <v>515482.114</v>
      </c>
      <c r="G85" s="4">
        <v>515544.84600000002</v>
      </c>
      <c r="H85" s="5">
        <f>5196 / 86400</f>
        <v>6.0138888888888888E-2</v>
      </c>
      <c r="I85" t="s">
        <v>63</v>
      </c>
      <c r="J85" t="s">
        <v>46</v>
      </c>
      <c r="K85" s="5">
        <f>15092 / 86400</f>
        <v>0.17467592592592593</v>
      </c>
      <c r="L85" s="5">
        <f>311 / 86400</f>
        <v>3.5995370370370369E-3</v>
      </c>
    </row>
    <row r="86" spans="1:12" x14ac:dyDescent="0.25">
      <c r="A86" s="3">
        <v>45707.845393518517</v>
      </c>
      <c r="B86" t="s">
        <v>135</v>
      </c>
      <c r="C86" s="3">
        <v>45707.854097222225</v>
      </c>
      <c r="D86" t="s">
        <v>18</v>
      </c>
      <c r="E86" s="4">
        <v>0.495</v>
      </c>
      <c r="F86" s="4">
        <v>515544.84600000002</v>
      </c>
      <c r="G86" s="4">
        <v>515545.34100000001</v>
      </c>
      <c r="H86" s="5">
        <f>539 / 86400</f>
        <v>6.2384259259259259E-3</v>
      </c>
      <c r="I86" t="s">
        <v>33</v>
      </c>
      <c r="J86" t="s">
        <v>136</v>
      </c>
      <c r="K86" s="5">
        <f>752 / 86400</f>
        <v>8.7037037037037031E-3</v>
      </c>
      <c r="L86" s="5">
        <f>12605 / 86400</f>
        <v>0.1458912037037037</v>
      </c>
    </row>
    <row r="87" spans="1:12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</row>
    <row r="88" spans="1:12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</row>
    <row r="89" spans="1:12" s="10" customFormat="1" ht="20.100000000000001" customHeight="1" x14ac:dyDescent="0.35">
      <c r="A89" s="15" t="s">
        <v>463</v>
      </c>
      <c r="B89" s="15"/>
      <c r="C89" s="15"/>
      <c r="D89" s="15"/>
      <c r="E89" s="15"/>
      <c r="F89" s="15"/>
      <c r="G89" s="15"/>
      <c r="H89" s="15"/>
      <c r="I89" s="15"/>
      <c r="J89" s="15"/>
    </row>
    <row r="90" spans="1:12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</row>
    <row r="91" spans="1:12" ht="30" x14ac:dyDescent="0.25">
      <c r="A91" s="2" t="s">
        <v>6</v>
      </c>
      <c r="B91" s="2" t="s">
        <v>7</v>
      </c>
      <c r="C91" s="2" t="s">
        <v>8</v>
      </c>
      <c r="D91" s="2" t="s">
        <v>9</v>
      </c>
      <c r="E91" s="2" t="s">
        <v>10</v>
      </c>
      <c r="F91" s="2" t="s">
        <v>11</v>
      </c>
      <c r="G91" s="2" t="s">
        <v>12</v>
      </c>
      <c r="H91" s="2" t="s">
        <v>13</v>
      </c>
      <c r="I91" s="2" t="s">
        <v>14</v>
      </c>
      <c r="J91" s="2" t="s">
        <v>15</v>
      </c>
      <c r="K91" s="2" t="s">
        <v>16</v>
      </c>
      <c r="L91" s="2" t="s">
        <v>17</v>
      </c>
    </row>
    <row r="92" spans="1:12" x14ac:dyDescent="0.25">
      <c r="A92" s="3">
        <v>45707.09584490741</v>
      </c>
      <c r="B92" t="s">
        <v>21</v>
      </c>
      <c r="C92" s="3">
        <v>45707.287361111114</v>
      </c>
      <c r="D92" t="s">
        <v>22</v>
      </c>
      <c r="E92" s="4">
        <v>51.238999999999997</v>
      </c>
      <c r="F92" s="4">
        <v>20794.972000000002</v>
      </c>
      <c r="G92" s="4">
        <v>20846.210999999999</v>
      </c>
      <c r="H92" s="5">
        <f>10738 / 86400</f>
        <v>0.12428240740740741</v>
      </c>
      <c r="I92" t="s">
        <v>23</v>
      </c>
      <c r="J92" t="s">
        <v>137</v>
      </c>
      <c r="K92" s="5">
        <f>16547 / 86400</f>
        <v>0.1915162037037037</v>
      </c>
      <c r="L92" s="5">
        <f>9854 / 86400</f>
        <v>0.11405092592592593</v>
      </c>
    </row>
    <row r="93" spans="1:12" x14ac:dyDescent="0.25">
      <c r="A93" s="3">
        <v>45707.305567129632</v>
      </c>
      <c r="B93" t="s">
        <v>22</v>
      </c>
      <c r="C93" s="3">
        <v>45707.574548611112</v>
      </c>
      <c r="D93" t="s">
        <v>22</v>
      </c>
      <c r="E93" s="4">
        <v>0</v>
      </c>
      <c r="F93" s="4">
        <v>20846.210999999999</v>
      </c>
      <c r="G93" s="4">
        <v>20846.210999999999</v>
      </c>
      <c r="H93" s="5">
        <f>23219 / 86400</f>
        <v>0.26873842592592595</v>
      </c>
      <c r="I93" t="s">
        <v>72</v>
      </c>
      <c r="J93" t="s">
        <v>72</v>
      </c>
      <c r="K93" s="5">
        <f>23240 / 86400</f>
        <v>0.26898148148148149</v>
      </c>
      <c r="L93" s="5">
        <f>446 / 86400</f>
        <v>5.162037037037037E-3</v>
      </c>
    </row>
    <row r="94" spans="1:12" x14ac:dyDescent="0.25">
      <c r="A94" s="3">
        <v>45707.579710648148</v>
      </c>
      <c r="B94" t="s">
        <v>22</v>
      </c>
      <c r="C94" s="3">
        <v>45707.58084490741</v>
      </c>
      <c r="D94" t="s">
        <v>22</v>
      </c>
      <c r="E94" s="4">
        <v>0</v>
      </c>
      <c r="F94" s="4">
        <v>20846.210999999999</v>
      </c>
      <c r="G94" s="4">
        <v>20846.210999999999</v>
      </c>
      <c r="H94" s="5">
        <f>79 / 86400</f>
        <v>9.1435185185185185E-4</v>
      </c>
      <c r="I94" t="s">
        <v>72</v>
      </c>
      <c r="J94" t="s">
        <v>72</v>
      </c>
      <c r="K94" s="5">
        <f>97 / 86400</f>
        <v>1.1226851851851851E-3</v>
      </c>
      <c r="L94" s="5">
        <f>199 / 86400</f>
        <v>2.3032407407407407E-3</v>
      </c>
    </row>
    <row r="95" spans="1:12" x14ac:dyDescent="0.25">
      <c r="A95" s="3">
        <v>45707.583148148144</v>
      </c>
      <c r="B95" t="s">
        <v>22</v>
      </c>
      <c r="C95" s="3">
        <v>45707.587974537033</v>
      </c>
      <c r="D95" t="s">
        <v>22</v>
      </c>
      <c r="E95" s="4">
        <v>0</v>
      </c>
      <c r="F95" s="4">
        <v>20846.210999999999</v>
      </c>
      <c r="G95" s="4">
        <v>20846.210999999999</v>
      </c>
      <c r="H95" s="5">
        <f>399 / 86400</f>
        <v>4.6180555555555558E-3</v>
      </c>
      <c r="I95" t="s">
        <v>72</v>
      </c>
      <c r="J95" t="s">
        <v>72</v>
      </c>
      <c r="K95" s="5">
        <f>416 / 86400</f>
        <v>4.8148148148148152E-3</v>
      </c>
      <c r="L95" s="5">
        <f>419 / 86400</f>
        <v>4.8495370370370368E-3</v>
      </c>
    </row>
    <row r="96" spans="1:12" x14ac:dyDescent="0.25">
      <c r="A96" s="3">
        <v>45707.592824074076</v>
      </c>
      <c r="B96" t="s">
        <v>22</v>
      </c>
      <c r="C96" s="3">
        <v>45707.596053240741</v>
      </c>
      <c r="D96" t="s">
        <v>22</v>
      </c>
      <c r="E96" s="4">
        <v>0</v>
      </c>
      <c r="F96" s="4">
        <v>20846.210999999999</v>
      </c>
      <c r="G96" s="4">
        <v>20846.210999999999</v>
      </c>
      <c r="H96" s="5">
        <f>259 / 86400</f>
        <v>2.9976851851851853E-3</v>
      </c>
      <c r="I96" t="s">
        <v>72</v>
      </c>
      <c r="J96" t="s">
        <v>72</v>
      </c>
      <c r="K96" s="5">
        <f>278 / 86400</f>
        <v>3.2175925925925926E-3</v>
      </c>
      <c r="L96" s="5">
        <f>18 / 86400</f>
        <v>2.0833333333333335E-4</v>
      </c>
    </row>
    <row r="97" spans="1:12" x14ac:dyDescent="0.25">
      <c r="A97" s="3">
        <v>45707.596261574072</v>
      </c>
      <c r="B97" t="s">
        <v>22</v>
      </c>
      <c r="C97" s="3">
        <v>45707.596909722226</v>
      </c>
      <c r="D97" t="s">
        <v>22</v>
      </c>
      <c r="E97" s="4">
        <v>0</v>
      </c>
      <c r="F97" s="4">
        <v>20846.210999999999</v>
      </c>
      <c r="G97" s="4">
        <v>20846.210999999999</v>
      </c>
      <c r="H97" s="5">
        <f>39 / 86400</f>
        <v>4.5138888888888887E-4</v>
      </c>
      <c r="I97" t="s">
        <v>72</v>
      </c>
      <c r="J97" t="s">
        <v>72</v>
      </c>
      <c r="K97" s="5">
        <f>56 / 86400</f>
        <v>6.4814814814814813E-4</v>
      </c>
      <c r="L97" s="5">
        <f>3301 / 86400</f>
        <v>3.8206018518518521E-2</v>
      </c>
    </row>
    <row r="98" spans="1:12" x14ac:dyDescent="0.25">
      <c r="A98" s="3">
        <v>45707.635115740741</v>
      </c>
      <c r="B98" t="s">
        <v>22</v>
      </c>
      <c r="C98" s="3">
        <v>45707.885300925926</v>
      </c>
      <c r="D98" t="s">
        <v>22</v>
      </c>
      <c r="E98" s="4">
        <v>0</v>
      </c>
      <c r="F98" s="4">
        <v>20846.210999999999</v>
      </c>
      <c r="G98" s="4">
        <v>20846.210999999999</v>
      </c>
      <c r="H98" s="5">
        <f>21599 / 86400</f>
        <v>0.24998842592592593</v>
      </c>
      <c r="I98" t="s">
        <v>72</v>
      </c>
      <c r="J98" t="s">
        <v>72</v>
      </c>
      <c r="K98" s="5">
        <f>21616 / 86400</f>
        <v>0.25018518518518518</v>
      </c>
      <c r="L98" s="5">
        <f>582 / 86400</f>
        <v>6.7361111111111111E-3</v>
      </c>
    </row>
    <row r="99" spans="1:12" x14ac:dyDescent="0.25">
      <c r="A99" s="3">
        <v>45707.892037037032</v>
      </c>
      <c r="B99" t="s">
        <v>22</v>
      </c>
      <c r="C99" s="3">
        <v>45707.89444444445</v>
      </c>
      <c r="D99" t="s">
        <v>22</v>
      </c>
      <c r="E99" s="4">
        <v>0</v>
      </c>
      <c r="F99" s="4">
        <v>20846.210999999999</v>
      </c>
      <c r="G99" s="4">
        <v>20846.210999999999</v>
      </c>
      <c r="H99" s="5">
        <f>199 / 86400</f>
        <v>2.3032407407407407E-3</v>
      </c>
      <c r="I99" t="s">
        <v>72</v>
      </c>
      <c r="J99" t="s">
        <v>72</v>
      </c>
      <c r="K99" s="5">
        <f>207 / 86400</f>
        <v>2.3958333333333331E-3</v>
      </c>
      <c r="L99" s="5">
        <f>2479 / 86400</f>
        <v>2.869212962962963E-2</v>
      </c>
    </row>
    <row r="100" spans="1:12" x14ac:dyDescent="0.25">
      <c r="A100" s="3">
        <v>45707.923136574071</v>
      </c>
      <c r="B100" t="s">
        <v>22</v>
      </c>
      <c r="C100" s="3">
        <v>45707.924074074079</v>
      </c>
      <c r="D100" t="s">
        <v>22</v>
      </c>
      <c r="E100" s="4">
        <v>0</v>
      </c>
      <c r="F100" s="4">
        <v>20846.210999999999</v>
      </c>
      <c r="G100" s="4">
        <v>20846.210999999999</v>
      </c>
      <c r="H100" s="5">
        <f>79 / 86400</f>
        <v>9.1435185185185185E-4</v>
      </c>
      <c r="I100" t="s">
        <v>72</v>
      </c>
      <c r="J100" t="s">
        <v>72</v>
      </c>
      <c r="K100" s="5">
        <f>81 / 86400</f>
        <v>9.3749999999999997E-4</v>
      </c>
      <c r="L100" s="5">
        <f>6559 / 86400</f>
        <v>7.5914351851851858E-2</v>
      </c>
    </row>
    <row r="101" spans="1:12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1:12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1:12" s="10" customFormat="1" ht="20.100000000000001" customHeight="1" x14ac:dyDescent="0.35">
      <c r="A103" s="15" t="s">
        <v>464</v>
      </c>
      <c r="B103" s="15"/>
      <c r="C103" s="15"/>
      <c r="D103" s="15"/>
      <c r="E103" s="15"/>
      <c r="F103" s="15"/>
      <c r="G103" s="15"/>
      <c r="H103" s="15"/>
      <c r="I103" s="15"/>
      <c r="J103" s="15"/>
    </row>
    <row r="104" spans="1:12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1:12" ht="30" x14ac:dyDescent="0.25">
      <c r="A105" s="2" t="s">
        <v>6</v>
      </c>
      <c r="B105" s="2" t="s">
        <v>7</v>
      </c>
      <c r="C105" s="2" t="s">
        <v>8</v>
      </c>
      <c r="D105" s="2" t="s">
        <v>9</v>
      </c>
      <c r="E105" s="2" t="s">
        <v>10</v>
      </c>
      <c r="F105" s="2" t="s">
        <v>11</v>
      </c>
      <c r="G105" s="2" t="s">
        <v>12</v>
      </c>
      <c r="H105" s="2" t="s">
        <v>13</v>
      </c>
      <c r="I105" s="2" t="s">
        <v>14</v>
      </c>
      <c r="J105" s="2" t="s">
        <v>15</v>
      </c>
      <c r="K105" s="2" t="s">
        <v>16</v>
      </c>
      <c r="L105" s="2" t="s">
        <v>17</v>
      </c>
    </row>
    <row r="106" spans="1:12" x14ac:dyDescent="0.25">
      <c r="A106" s="3">
        <v>45707.223935185189</v>
      </c>
      <c r="B106" t="s">
        <v>25</v>
      </c>
      <c r="C106" s="3">
        <v>45707.22488425926</v>
      </c>
      <c r="D106" t="s">
        <v>89</v>
      </c>
      <c r="E106" s="4">
        <v>6.3E-2</v>
      </c>
      <c r="F106" s="4">
        <v>329550.44900000002</v>
      </c>
      <c r="G106" s="4">
        <v>329550.51199999999</v>
      </c>
      <c r="H106" s="5">
        <f>19 / 86400</f>
        <v>2.199074074074074E-4</v>
      </c>
      <c r="I106" t="s">
        <v>137</v>
      </c>
      <c r="J106" t="s">
        <v>24</v>
      </c>
      <c r="K106" s="5">
        <f>82 / 86400</f>
        <v>9.4907407407407408E-4</v>
      </c>
      <c r="L106" s="5">
        <f>19603 / 86400</f>
        <v>0.22688657407407409</v>
      </c>
    </row>
    <row r="107" spans="1:12" x14ac:dyDescent="0.25">
      <c r="A107" s="3">
        <v>45707.227835648147</v>
      </c>
      <c r="B107" t="s">
        <v>89</v>
      </c>
      <c r="C107" s="3">
        <v>45707.227939814809</v>
      </c>
      <c r="D107" t="s">
        <v>89</v>
      </c>
      <c r="E107" s="4">
        <v>0</v>
      </c>
      <c r="F107" s="4">
        <v>329550.51199999999</v>
      </c>
      <c r="G107" s="4">
        <v>329550.51199999999</v>
      </c>
      <c r="H107" s="5">
        <f>0 / 86400</f>
        <v>0</v>
      </c>
      <c r="I107" t="s">
        <v>72</v>
      </c>
      <c r="J107" t="s">
        <v>72</v>
      </c>
      <c r="K107" s="5">
        <f>8 / 86400</f>
        <v>9.2592592592592588E-5</v>
      </c>
      <c r="L107" s="5">
        <f>282 / 86400</f>
        <v>3.2638888888888891E-3</v>
      </c>
    </row>
    <row r="108" spans="1:12" x14ac:dyDescent="0.25">
      <c r="A108" s="3">
        <v>45707.231203703705</v>
      </c>
      <c r="B108" t="s">
        <v>89</v>
      </c>
      <c r="C108" s="3">
        <v>45707.237939814819</v>
      </c>
      <c r="D108" t="s">
        <v>82</v>
      </c>
      <c r="E108" s="4">
        <v>3.621</v>
      </c>
      <c r="F108" s="4">
        <v>329550.51199999999</v>
      </c>
      <c r="G108" s="4">
        <v>329554.13299999997</v>
      </c>
      <c r="H108" s="5">
        <f>140 / 86400</f>
        <v>1.6203703703703703E-3</v>
      </c>
      <c r="I108" t="s">
        <v>138</v>
      </c>
      <c r="J108" t="s">
        <v>129</v>
      </c>
      <c r="K108" s="5">
        <f>582 / 86400</f>
        <v>6.7361111111111111E-3</v>
      </c>
      <c r="L108" s="5">
        <f>30 / 86400</f>
        <v>3.4722222222222224E-4</v>
      </c>
    </row>
    <row r="109" spans="1:12" x14ac:dyDescent="0.25">
      <c r="A109" s="3">
        <v>45707.238287037035</v>
      </c>
      <c r="B109" t="s">
        <v>82</v>
      </c>
      <c r="C109" s="3">
        <v>45707.24496527778</v>
      </c>
      <c r="D109" t="s">
        <v>139</v>
      </c>
      <c r="E109" s="4">
        <v>0.26</v>
      </c>
      <c r="F109" s="4">
        <v>329554.13299999997</v>
      </c>
      <c r="G109" s="4">
        <v>329554.39299999998</v>
      </c>
      <c r="H109" s="5">
        <f>379 / 86400</f>
        <v>4.386574074074074E-3</v>
      </c>
      <c r="I109" t="s">
        <v>137</v>
      </c>
      <c r="J109" t="s">
        <v>136</v>
      </c>
      <c r="K109" s="5">
        <f>576 / 86400</f>
        <v>6.6666666666666671E-3</v>
      </c>
      <c r="L109" s="5">
        <f>105 / 86400</f>
        <v>1.2152777777777778E-3</v>
      </c>
    </row>
    <row r="110" spans="1:12" x14ac:dyDescent="0.25">
      <c r="A110" s="3">
        <v>45707.24618055555</v>
      </c>
      <c r="B110" t="s">
        <v>139</v>
      </c>
      <c r="C110" s="3">
        <v>45707.253391203703</v>
      </c>
      <c r="D110" t="s">
        <v>140</v>
      </c>
      <c r="E110" s="4">
        <v>5.5049999999999999</v>
      </c>
      <c r="F110" s="4">
        <v>329554.39299999998</v>
      </c>
      <c r="G110" s="4">
        <v>329559.89799999999</v>
      </c>
      <c r="H110" s="5">
        <f>80 / 86400</f>
        <v>9.2592592592592596E-4</v>
      </c>
      <c r="I110" t="s">
        <v>141</v>
      </c>
      <c r="J110" t="s">
        <v>142</v>
      </c>
      <c r="K110" s="5">
        <f>623 / 86400</f>
        <v>7.2106481481481483E-3</v>
      </c>
      <c r="L110" s="5">
        <f>556 / 86400</f>
        <v>6.4351851851851853E-3</v>
      </c>
    </row>
    <row r="111" spans="1:12" x14ac:dyDescent="0.25">
      <c r="A111" s="3">
        <v>45707.259826388894</v>
      </c>
      <c r="B111" t="s">
        <v>140</v>
      </c>
      <c r="C111" s="3">
        <v>45707.34438657407</v>
      </c>
      <c r="D111" t="s">
        <v>143</v>
      </c>
      <c r="E111" s="4">
        <v>35.588999999999999</v>
      </c>
      <c r="F111" s="4">
        <v>329559.89799999999</v>
      </c>
      <c r="G111" s="4">
        <v>329595.48700000002</v>
      </c>
      <c r="H111" s="5">
        <f>2299 / 86400</f>
        <v>2.6608796296296297E-2</v>
      </c>
      <c r="I111" t="s">
        <v>26</v>
      </c>
      <c r="J111" t="s">
        <v>27</v>
      </c>
      <c r="K111" s="5">
        <f>7305 / 86400</f>
        <v>8.4548611111111116E-2</v>
      </c>
      <c r="L111" s="5">
        <f>41 / 86400</f>
        <v>4.7453703703703704E-4</v>
      </c>
    </row>
    <row r="112" spans="1:12" x14ac:dyDescent="0.25">
      <c r="A112" s="3">
        <v>45707.344861111109</v>
      </c>
      <c r="B112" t="s">
        <v>143</v>
      </c>
      <c r="C112" s="3">
        <v>45707.449282407411</v>
      </c>
      <c r="D112" t="s">
        <v>110</v>
      </c>
      <c r="E112" s="4">
        <v>47.56</v>
      </c>
      <c r="F112" s="4">
        <v>329595.48700000002</v>
      </c>
      <c r="G112" s="4">
        <v>329643.04700000002</v>
      </c>
      <c r="H112" s="5">
        <f>2360 / 86400</f>
        <v>2.7314814814814816E-2</v>
      </c>
      <c r="I112" t="s">
        <v>78</v>
      </c>
      <c r="J112" t="s">
        <v>33</v>
      </c>
      <c r="K112" s="5">
        <f>9021 / 86400</f>
        <v>0.10440972222222222</v>
      </c>
      <c r="L112" s="5">
        <f>191 / 86400</f>
        <v>2.2106481481481482E-3</v>
      </c>
    </row>
    <row r="113" spans="1:12" x14ac:dyDescent="0.25">
      <c r="A113" s="3">
        <v>45707.45149305556</v>
      </c>
      <c r="B113" t="s">
        <v>110</v>
      </c>
      <c r="C113" s="3">
        <v>45707.451990740738</v>
      </c>
      <c r="D113" t="s">
        <v>110</v>
      </c>
      <c r="E113" s="4">
        <v>0.03</v>
      </c>
      <c r="F113" s="4">
        <v>329643.04700000002</v>
      </c>
      <c r="G113" s="4">
        <v>329643.07699999999</v>
      </c>
      <c r="H113" s="5">
        <f>19 / 86400</f>
        <v>2.199074074074074E-4</v>
      </c>
      <c r="I113" t="s">
        <v>31</v>
      </c>
      <c r="J113" t="s">
        <v>24</v>
      </c>
      <c r="K113" s="5">
        <f>43 / 86400</f>
        <v>4.9768518518518521E-4</v>
      </c>
      <c r="L113" s="5">
        <f>409 / 86400</f>
        <v>4.7337962962962967E-3</v>
      </c>
    </row>
    <row r="114" spans="1:12" x14ac:dyDescent="0.25">
      <c r="A114" s="3">
        <v>45707.456724537042</v>
      </c>
      <c r="B114" t="s">
        <v>110</v>
      </c>
      <c r="C114" s="3">
        <v>45707.458240740743</v>
      </c>
      <c r="D114" t="s">
        <v>120</v>
      </c>
      <c r="E114" s="4">
        <v>0.111</v>
      </c>
      <c r="F114" s="4">
        <v>329643.07699999999</v>
      </c>
      <c r="G114" s="4">
        <v>329643.18800000002</v>
      </c>
      <c r="H114" s="5">
        <f>80 / 86400</f>
        <v>9.2592592592592596E-4</v>
      </c>
      <c r="I114" t="s">
        <v>101</v>
      </c>
      <c r="J114" t="s">
        <v>24</v>
      </c>
      <c r="K114" s="5">
        <f>131 / 86400</f>
        <v>1.5162037037037036E-3</v>
      </c>
      <c r="L114" s="5">
        <f>2235 / 86400</f>
        <v>2.5868055555555554E-2</v>
      </c>
    </row>
    <row r="115" spans="1:12" x14ac:dyDescent="0.25">
      <c r="A115" s="3">
        <v>45707.4841087963</v>
      </c>
      <c r="B115" t="s">
        <v>120</v>
      </c>
      <c r="C115" s="3">
        <v>45707.487870370373</v>
      </c>
      <c r="D115" t="s">
        <v>121</v>
      </c>
      <c r="E115" s="4">
        <v>0.93200000000000005</v>
      </c>
      <c r="F115" s="4">
        <v>329643.18800000002</v>
      </c>
      <c r="G115" s="4">
        <v>329644.12</v>
      </c>
      <c r="H115" s="5">
        <f>100 / 86400</f>
        <v>1.1574074074074073E-3</v>
      </c>
      <c r="I115" t="s">
        <v>84</v>
      </c>
      <c r="J115" t="s">
        <v>123</v>
      </c>
      <c r="K115" s="5">
        <f>325 / 86400</f>
        <v>3.7615740740740739E-3</v>
      </c>
      <c r="L115" s="5">
        <f>26 / 86400</f>
        <v>3.0092592592592595E-4</v>
      </c>
    </row>
    <row r="116" spans="1:12" x14ac:dyDescent="0.25">
      <c r="A116" s="3">
        <v>45707.488171296296</v>
      </c>
      <c r="B116" t="s">
        <v>121</v>
      </c>
      <c r="C116" s="3">
        <v>45707.489398148144</v>
      </c>
      <c r="D116" t="s">
        <v>121</v>
      </c>
      <c r="E116" s="4">
        <v>0.16300000000000001</v>
      </c>
      <c r="F116" s="4">
        <v>329644.12</v>
      </c>
      <c r="G116" s="4">
        <v>329644.283</v>
      </c>
      <c r="H116" s="5">
        <f>20 / 86400</f>
        <v>2.3148148148148149E-4</v>
      </c>
      <c r="I116" t="s">
        <v>27</v>
      </c>
      <c r="J116" t="s">
        <v>101</v>
      </c>
      <c r="K116" s="5">
        <f>106 / 86400</f>
        <v>1.2268518518518518E-3</v>
      </c>
      <c r="L116" s="5">
        <f>438 / 86400</f>
        <v>5.0694444444444441E-3</v>
      </c>
    </row>
    <row r="117" spans="1:12" x14ac:dyDescent="0.25">
      <c r="A117" s="3">
        <v>45707.494467592594</v>
      </c>
      <c r="B117" t="s">
        <v>121</v>
      </c>
      <c r="C117" s="3">
        <v>45707.499143518522</v>
      </c>
      <c r="D117" t="s">
        <v>144</v>
      </c>
      <c r="E117" s="4">
        <v>1.2090000000000001</v>
      </c>
      <c r="F117" s="4">
        <v>329644.283</v>
      </c>
      <c r="G117" s="4">
        <v>329645.49200000003</v>
      </c>
      <c r="H117" s="5">
        <f>20 / 86400</f>
        <v>2.3148148148148149E-4</v>
      </c>
      <c r="I117" t="s">
        <v>37</v>
      </c>
      <c r="J117" t="s">
        <v>137</v>
      </c>
      <c r="K117" s="5">
        <f>404 / 86400</f>
        <v>4.6759259259259263E-3</v>
      </c>
      <c r="L117" s="5">
        <f>2896 / 86400</f>
        <v>3.3518518518518517E-2</v>
      </c>
    </row>
    <row r="118" spans="1:12" x14ac:dyDescent="0.25">
      <c r="A118" s="3">
        <v>45707.532662037032</v>
      </c>
      <c r="B118" t="s">
        <v>144</v>
      </c>
      <c r="C118" s="3">
        <v>45707.533275462964</v>
      </c>
      <c r="D118" t="s">
        <v>130</v>
      </c>
      <c r="E118" s="4">
        <v>6.9000000000000006E-2</v>
      </c>
      <c r="F118" s="4">
        <v>329645.49200000003</v>
      </c>
      <c r="G118" s="4">
        <v>329645.56099999999</v>
      </c>
      <c r="H118" s="5">
        <f>0 / 86400</f>
        <v>0</v>
      </c>
      <c r="I118" t="s">
        <v>137</v>
      </c>
      <c r="J118" t="s">
        <v>134</v>
      </c>
      <c r="K118" s="5">
        <f>52 / 86400</f>
        <v>6.018518518518519E-4</v>
      </c>
      <c r="L118" s="5">
        <f>168 / 86400</f>
        <v>1.9444444444444444E-3</v>
      </c>
    </row>
    <row r="119" spans="1:12" x14ac:dyDescent="0.25">
      <c r="A119" s="3">
        <v>45707.535219907411</v>
      </c>
      <c r="B119" t="s">
        <v>130</v>
      </c>
      <c r="C119" s="3">
        <v>45707.641458333332</v>
      </c>
      <c r="D119" t="s">
        <v>145</v>
      </c>
      <c r="E119" s="4">
        <v>49.081000000000003</v>
      </c>
      <c r="F119" s="4">
        <v>329645.56099999999</v>
      </c>
      <c r="G119" s="4">
        <v>329694.64199999999</v>
      </c>
      <c r="H119" s="5">
        <f>2479 / 86400</f>
        <v>2.869212962962963E-2</v>
      </c>
      <c r="I119" t="s">
        <v>26</v>
      </c>
      <c r="J119" t="s">
        <v>33</v>
      </c>
      <c r="K119" s="5">
        <f>9178 / 86400</f>
        <v>0.10622685185185185</v>
      </c>
      <c r="L119" s="5">
        <f>137 / 86400</f>
        <v>1.5856481481481481E-3</v>
      </c>
    </row>
    <row r="120" spans="1:12" x14ac:dyDescent="0.25">
      <c r="A120" s="3">
        <v>45707.643043981487</v>
      </c>
      <c r="B120" t="s">
        <v>146</v>
      </c>
      <c r="C120" s="3">
        <v>45707.719155092593</v>
      </c>
      <c r="D120" t="s">
        <v>91</v>
      </c>
      <c r="E120" s="4">
        <v>20.097999999999999</v>
      </c>
      <c r="F120" s="4">
        <v>329694.64199999999</v>
      </c>
      <c r="G120" s="4">
        <v>329714.74</v>
      </c>
      <c r="H120" s="5">
        <f>3000 / 86400</f>
        <v>3.4722222222222224E-2</v>
      </c>
      <c r="I120" t="s">
        <v>106</v>
      </c>
      <c r="J120" t="s">
        <v>137</v>
      </c>
      <c r="K120" s="5">
        <f>6576 / 86400</f>
        <v>7.6111111111111115E-2</v>
      </c>
      <c r="L120" s="5">
        <f>148 / 86400</f>
        <v>1.712962962962963E-3</v>
      </c>
    </row>
    <row r="121" spans="1:12" x14ac:dyDescent="0.25">
      <c r="A121" s="3">
        <v>45707.720868055556</v>
      </c>
      <c r="B121" t="s">
        <v>91</v>
      </c>
      <c r="C121" s="3">
        <v>45707.802731481483</v>
      </c>
      <c r="D121" t="s">
        <v>79</v>
      </c>
      <c r="E121" s="4">
        <v>43.637999999999998</v>
      </c>
      <c r="F121" s="4">
        <v>329714.74</v>
      </c>
      <c r="G121" s="4">
        <v>329758.37800000003</v>
      </c>
      <c r="H121" s="5">
        <f>2061 / 86400</f>
        <v>2.3854166666666666E-2</v>
      </c>
      <c r="I121" t="s">
        <v>50</v>
      </c>
      <c r="J121" t="s">
        <v>129</v>
      </c>
      <c r="K121" s="5">
        <f>7073 / 86400</f>
        <v>8.1863425925925923E-2</v>
      </c>
      <c r="L121" s="5">
        <f>316 / 86400</f>
        <v>3.6574074074074074E-3</v>
      </c>
    </row>
    <row r="122" spans="1:12" x14ac:dyDescent="0.25">
      <c r="A122" s="3">
        <v>45707.806388888886</v>
      </c>
      <c r="B122" t="s">
        <v>79</v>
      </c>
      <c r="C122" s="3">
        <v>45707.811342592591</v>
      </c>
      <c r="D122" t="s">
        <v>25</v>
      </c>
      <c r="E122" s="4">
        <v>1.369</v>
      </c>
      <c r="F122" s="4">
        <v>329758.37800000003</v>
      </c>
      <c r="G122" s="4">
        <v>329759.74699999997</v>
      </c>
      <c r="H122" s="5">
        <f>160 / 86400</f>
        <v>1.8518518518518519E-3</v>
      </c>
      <c r="I122" t="s">
        <v>147</v>
      </c>
      <c r="J122" t="s">
        <v>148</v>
      </c>
      <c r="K122" s="5">
        <f>428 / 86400</f>
        <v>4.9537037037037041E-3</v>
      </c>
      <c r="L122" s="5">
        <f>16299 / 86400</f>
        <v>0.18864583333333335</v>
      </c>
    </row>
    <row r="123" spans="1:12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</row>
    <row r="124" spans="1:12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1:12" s="10" customFormat="1" ht="20.100000000000001" customHeight="1" x14ac:dyDescent="0.35">
      <c r="A125" s="15" t="s">
        <v>465</v>
      </c>
      <c r="B125" s="15"/>
      <c r="C125" s="15"/>
      <c r="D125" s="15"/>
      <c r="E125" s="15"/>
      <c r="F125" s="15"/>
      <c r="G125" s="15"/>
      <c r="H125" s="15"/>
      <c r="I125" s="15"/>
      <c r="J125" s="15"/>
    </row>
    <row r="126" spans="1:12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</row>
    <row r="127" spans="1:12" ht="30" x14ac:dyDescent="0.25">
      <c r="A127" s="2" t="s">
        <v>6</v>
      </c>
      <c r="B127" s="2" t="s">
        <v>7</v>
      </c>
      <c r="C127" s="2" t="s">
        <v>8</v>
      </c>
      <c r="D127" s="2" t="s">
        <v>9</v>
      </c>
      <c r="E127" s="2" t="s">
        <v>10</v>
      </c>
      <c r="F127" s="2" t="s">
        <v>11</v>
      </c>
      <c r="G127" s="2" t="s">
        <v>12</v>
      </c>
      <c r="H127" s="2" t="s">
        <v>13</v>
      </c>
      <c r="I127" s="2" t="s">
        <v>14</v>
      </c>
      <c r="J127" s="2" t="s">
        <v>15</v>
      </c>
      <c r="K127" s="2" t="s">
        <v>16</v>
      </c>
      <c r="L127" s="2" t="s">
        <v>17</v>
      </c>
    </row>
    <row r="128" spans="1:12" x14ac:dyDescent="0.25">
      <c r="A128" s="3">
        <v>45707.289016203707</v>
      </c>
      <c r="B128" t="s">
        <v>28</v>
      </c>
      <c r="C128" s="3">
        <v>45707.350381944445</v>
      </c>
      <c r="D128" t="s">
        <v>110</v>
      </c>
      <c r="E128" s="4">
        <v>28.652000000000001</v>
      </c>
      <c r="F128" s="4">
        <v>21397.133999999998</v>
      </c>
      <c r="G128" s="4">
        <v>21425.786</v>
      </c>
      <c r="H128" s="5">
        <f>1158 / 86400</f>
        <v>1.3402777777777777E-2</v>
      </c>
      <c r="I128" t="s">
        <v>141</v>
      </c>
      <c r="J128" t="s">
        <v>33</v>
      </c>
      <c r="K128" s="5">
        <f>5301 / 86400</f>
        <v>6.1354166666666668E-2</v>
      </c>
      <c r="L128" s="5">
        <f>25426 / 86400</f>
        <v>0.29428240740740741</v>
      </c>
    </row>
    <row r="129" spans="1:12" x14ac:dyDescent="0.25">
      <c r="A129" s="3">
        <v>45707.35564814815</v>
      </c>
      <c r="B129" t="s">
        <v>110</v>
      </c>
      <c r="C129" s="3">
        <v>45707.356840277775</v>
      </c>
      <c r="D129" t="s">
        <v>108</v>
      </c>
      <c r="E129" s="4">
        <v>0.193</v>
      </c>
      <c r="F129" s="4">
        <v>21425.786</v>
      </c>
      <c r="G129" s="4">
        <v>21425.978999999999</v>
      </c>
      <c r="H129" s="5">
        <f>39 / 86400</f>
        <v>4.5138888888888887E-4</v>
      </c>
      <c r="I129" t="s">
        <v>149</v>
      </c>
      <c r="J129" t="s">
        <v>85</v>
      </c>
      <c r="K129" s="5">
        <f>103 / 86400</f>
        <v>1.1921296296296296E-3</v>
      </c>
      <c r="L129" s="5">
        <f>97 / 86400</f>
        <v>1.1226851851851851E-3</v>
      </c>
    </row>
    <row r="130" spans="1:12" x14ac:dyDescent="0.25">
      <c r="A130" s="3">
        <v>45707.357962962968</v>
      </c>
      <c r="B130" t="s">
        <v>108</v>
      </c>
      <c r="C130" s="3">
        <v>45707.360983796301</v>
      </c>
      <c r="D130" t="s">
        <v>150</v>
      </c>
      <c r="E130" s="4">
        <v>0.35199999999999998</v>
      </c>
      <c r="F130" s="4">
        <v>21425.978999999999</v>
      </c>
      <c r="G130" s="4">
        <v>21426.330999999998</v>
      </c>
      <c r="H130" s="5">
        <f>99 / 86400</f>
        <v>1.1458333333333333E-3</v>
      </c>
      <c r="I130" t="s">
        <v>151</v>
      </c>
      <c r="J130" t="s">
        <v>134</v>
      </c>
      <c r="K130" s="5">
        <f>261 / 86400</f>
        <v>3.0208333333333333E-3</v>
      </c>
      <c r="L130" s="5">
        <f>88 / 86400</f>
        <v>1.0185185185185184E-3</v>
      </c>
    </row>
    <row r="131" spans="1:12" x14ac:dyDescent="0.25">
      <c r="A131" s="3">
        <v>45707.362002314811</v>
      </c>
      <c r="B131" t="s">
        <v>150</v>
      </c>
      <c r="C131" s="3">
        <v>45707.362164351856</v>
      </c>
      <c r="D131" t="s">
        <v>152</v>
      </c>
      <c r="E131" s="4">
        <v>8.0000000000000002E-3</v>
      </c>
      <c r="F131" s="4">
        <v>21426.330999999998</v>
      </c>
      <c r="G131" s="4">
        <v>21426.339</v>
      </c>
      <c r="H131" s="5">
        <f>0 / 86400</f>
        <v>0</v>
      </c>
      <c r="I131" t="s">
        <v>72</v>
      </c>
      <c r="J131" t="s">
        <v>136</v>
      </c>
      <c r="K131" s="5">
        <f>14 / 86400</f>
        <v>1.6203703703703703E-4</v>
      </c>
      <c r="L131" s="5">
        <f>251 / 86400</f>
        <v>2.9050925925925928E-3</v>
      </c>
    </row>
    <row r="132" spans="1:12" x14ac:dyDescent="0.25">
      <c r="A132" s="3">
        <v>45707.365069444444</v>
      </c>
      <c r="B132" t="s">
        <v>150</v>
      </c>
      <c r="C132" s="3">
        <v>45707.499780092592</v>
      </c>
      <c r="D132" t="s">
        <v>133</v>
      </c>
      <c r="E132" s="4">
        <v>50.072000000000003</v>
      </c>
      <c r="F132" s="4">
        <v>21426.339</v>
      </c>
      <c r="G132" s="4">
        <v>21476.411</v>
      </c>
      <c r="H132" s="5">
        <f>4337 / 86400</f>
        <v>5.019675925925926E-2</v>
      </c>
      <c r="I132" t="s">
        <v>29</v>
      </c>
      <c r="J132" t="s">
        <v>46</v>
      </c>
      <c r="K132" s="5">
        <f>11639 / 86400</f>
        <v>0.13471064814814815</v>
      </c>
      <c r="L132" s="5">
        <f>5117 / 86400</f>
        <v>5.9224537037037034E-2</v>
      </c>
    </row>
    <row r="133" spans="1:12" x14ac:dyDescent="0.25">
      <c r="A133" s="3">
        <v>45707.559004629627</v>
      </c>
      <c r="B133" t="s">
        <v>133</v>
      </c>
      <c r="C133" s="3">
        <v>45707.701793981483</v>
      </c>
      <c r="D133" t="s">
        <v>110</v>
      </c>
      <c r="E133" s="4">
        <v>51.13</v>
      </c>
      <c r="F133" s="4">
        <v>21476.411</v>
      </c>
      <c r="G133" s="4">
        <v>21527.541000000001</v>
      </c>
      <c r="H133" s="5">
        <f>4200 / 86400</f>
        <v>4.8611111111111112E-2</v>
      </c>
      <c r="I133" t="s">
        <v>153</v>
      </c>
      <c r="J133" t="s">
        <v>46</v>
      </c>
      <c r="K133" s="5">
        <f>12336 / 86400</f>
        <v>0.14277777777777778</v>
      </c>
      <c r="L133" s="5">
        <f>647 / 86400</f>
        <v>7.4884259259259262E-3</v>
      </c>
    </row>
    <row r="134" spans="1:12" x14ac:dyDescent="0.25">
      <c r="A134" s="3">
        <v>45707.709282407406</v>
      </c>
      <c r="B134" t="s">
        <v>110</v>
      </c>
      <c r="C134" s="3">
        <v>45707.712523148148</v>
      </c>
      <c r="D134" t="s">
        <v>154</v>
      </c>
      <c r="E134" s="4">
        <v>0.82499999999999996</v>
      </c>
      <c r="F134" s="4">
        <v>21527.541000000001</v>
      </c>
      <c r="G134" s="4">
        <v>21528.366000000002</v>
      </c>
      <c r="H134" s="5">
        <f>40 / 86400</f>
        <v>4.6296296296296298E-4</v>
      </c>
      <c r="I134" t="s">
        <v>155</v>
      </c>
      <c r="J134" t="s">
        <v>137</v>
      </c>
      <c r="K134" s="5">
        <f>279 / 86400</f>
        <v>3.2291666666666666E-3</v>
      </c>
      <c r="L134" s="5">
        <f>150 / 86400</f>
        <v>1.736111111111111E-3</v>
      </c>
    </row>
    <row r="135" spans="1:12" x14ac:dyDescent="0.25">
      <c r="A135" s="3">
        <v>45707.714259259257</v>
      </c>
      <c r="B135" t="s">
        <v>154</v>
      </c>
      <c r="C135" s="3">
        <v>45707.714444444442</v>
      </c>
      <c r="D135" t="s">
        <v>150</v>
      </c>
      <c r="E135" s="4">
        <v>8.0000000000000002E-3</v>
      </c>
      <c r="F135" s="4">
        <v>21528.366000000002</v>
      </c>
      <c r="G135" s="4">
        <v>21528.374</v>
      </c>
      <c r="H135" s="5">
        <f>0 / 86400</f>
        <v>0</v>
      </c>
      <c r="I135" t="s">
        <v>72</v>
      </c>
      <c r="J135" t="s">
        <v>136</v>
      </c>
      <c r="K135" s="5">
        <f>16 / 86400</f>
        <v>1.8518518518518518E-4</v>
      </c>
      <c r="L135" s="5">
        <f>695 / 86400</f>
        <v>8.0439814814814818E-3</v>
      </c>
    </row>
    <row r="136" spans="1:12" x14ac:dyDescent="0.25">
      <c r="A136" s="3">
        <v>45707.722488425927</v>
      </c>
      <c r="B136" t="s">
        <v>150</v>
      </c>
      <c r="C136" s="3">
        <v>45707.722928240742</v>
      </c>
      <c r="D136" t="s">
        <v>150</v>
      </c>
      <c r="E136" s="4">
        <v>1.0999999999999999E-2</v>
      </c>
      <c r="F136" s="4">
        <v>21528.374</v>
      </c>
      <c r="G136" s="4">
        <v>21528.384999999998</v>
      </c>
      <c r="H136" s="5">
        <f>19 / 86400</f>
        <v>2.199074074074074E-4</v>
      </c>
      <c r="I136" t="s">
        <v>72</v>
      </c>
      <c r="J136" t="s">
        <v>127</v>
      </c>
      <c r="K136" s="5">
        <f>37 / 86400</f>
        <v>4.2824074074074075E-4</v>
      </c>
      <c r="L136" s="5">
        <f>199 / 86400</f>
        <v>2.3032407407407407E-3</v>
      </c>
    </row>
    <row r="137" spans="1:12" x14ac:dyDescent="0.25">
      <c r="A137" s="3">
        <v>45707.725231481483</v>
      </c>
      <c r="B137" t="s">
        <v>150</v>
      </c>
      <c r="C137" s="3">
        <v>45707.725462962961</v>
      </c>
      <c r="D137" t="s">
        <v>150</v>
      </c>
      <c r="E137" s="4">
        <v>8.0000000000000002E-3</v>
      </c>
      <c r="F137" s="4">
        <v>21528.384999999998</v>
      </c>
      <c r="G137" s="4">
        <v>21528.393</v>
      </c>
      <c r="H137" s="5">
        <f>19 / 86400</f>
        <v>2.199074074074074E-4</v>
      </c>
      <c r="I137" t="s">
        <v>72</v>
      </c>
      <c r="J137" t="s">
        <v>127</v>
      </c>
      <c r="K137" s="5">
        <f>20 / 86400</f>
        <v>2.3148148148148149E-4</v>
      </c>
      <c r="L137" s="5">
        <f>456 / 86400</f>
        <v>5.2777777777777779E-3</v>
      </c>
    </row>
    <row r="138" spans="1:12" x14ac:dyDescent="0.25">
      <c r="A138" s="3">
        <v>45707.730740740742</v>
      </c>
      <c r="B138" t="s">
        <v>150</v>
      </c>
      <c r="C138" s="3">
        <v>45707.731041666666</v>
      </c>
      <c r="D138" t="s">
        <v>150</v>
      </c>
      <c r="E138" s="4">
        <v>0.01</v>
      </c>
      <c r="F138" s="4">
        <v>21528.393</v>
      </c>
      <c r="G138" s="4">
        <v>21528.402999999998</v>
      </c>
      <c r="H138" s="5">
        <f>19 / 86400</f>
        <v>2.199074074074074E-4</v>
      </c>
      <c r="I138" t="s">
        <v>72</v>
      </c>
      <c r="J138" t="s">
        <v>127</v>
      </c>
      <c r="K138" s="5">
        <f>25 / 86400</f>
        <v>2.8935185185185184E-4</v>
      </c>
      <c r="L138" s="5">
        <f>216 / 86400</f>
        <v>2.5000000000000001E-3</v>
      </c>
    </row>
    <row r="139" spans="1:12" x14ac:dyDescent="0.25">
      <c r="A139" s="3">
        <v>45707.733541666668</v>
      </c>
      <c r="B139" t="s">
        <v>150</v>
      </c>
      <c r="C139" s="3">
        <v>45707.891956018517</v>
      </c>
      <c r="D139" t="s">
        <v>28</v>
      </c>
      <c r="E139" s="4">
        <v>60.988999999999997</v>
      </c>
      <c r="F139" s="4">
        <v>21528.402999999998</v>
      </c>
      <c r="G139" s="4">
        <v>21589.392</v>
      </c>
      <c r="H139" s="5">
        <f>3838 / 86400</f>
        <v>4.4421296296296299E-2</v>
      </c>
      <c r="I139" t="s">
        <v>141</v>
      </c>
      <c r="J139" t="s">
        <v>20</v>
      </c>
      <c r="K139" s="5">
        <f>13686 / 86400</f>
        <v>0.15840277777777778</v>
      </c>
      <c r="L139" s="5">
        <f>9334 / 86400</f>
        <v>0.10803240740740741</v>
      </c>
    </row>
    <row r="140" spans="1:12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</row>
    <row r="141" spans="1:12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</row>
    <row r="142" spans="1:12" s="10" customFormat="1" ht="20.100000000000001" customHeight="1" x14ac:dyDescent="0.35">
      <c r="A142" s="15" t="s">
        <v>466</v>
      </c>
      <c r="B142" s="15"/>
      <c r="C142" s="15"/>
      <c r="D142" s="15"/>
      <c r="E142" s="15"/>
      <c r="F142" s="15"/>
      <c r="G142" s="15"/>
      <c r="H142" s="15"/>
      <c r="I142" s="15"/>
      <c r="J142" s="15"/>
    </row>
    <row r="143" spans="1:12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</row>
    <row r="144" spans="1:12" ht="30" x14ac:dyDescent="0.25">
      <c r="A144" s="2" t="s">
        <v>6</v>
      </c>
      <c r="B144" s="2" t="s">
        <v>7</v>
      </c>
      <c r="C144" s="2" t="s">
        <v>8</v>
      </c>
      <c r="D144" s="2" t="s">
        <v>9</v>
      </c>
      <c r="E144" s="2" t="s">
        <v>10</v>
      </c>
      <c r="F144" s="2" t="s">
        <v>11</v>
      </c>
      <c r="G144" s="2" t="s">
        <v>12</v>
      </c>
      <c r="H144" s="2" t="s">
        <v>13</v>
      </c>
      <c r="I144" s="2" t="s">
        <v>14</v>
      </c>
      <c r="J144" s="2" t="s">
        <v>15</v>
      </c>
      <c r="K144" s="2" t="s">
        <v>16</v>
      </c>
      <c r="L144" s="2" t="s">
        <v>17</v>
      </c>
    </row>
    <row r="145" spans="1:12" x14ac:dyDescent="0.25">
      <c r="A145" s="3">
        <v>45707.362685185188</v>
      </c>
      <c r="B145" t="s">
        <v>28</v>
      </c>
      <c r="C145" s="3">
        <v>45707.370567129634</v>
      </c>
      <c r="D145" t="s">
        <v>156</v>
      </c>
      <c r="E145" s="4">
        <v>1.5920000000000001</v>
      </c>
      <c r="F145" s="4">
        <v>93370.551999999996</v>
      </c>
      <c r="G145" s="4">
        <v>93372.144</v>
      </c>
      <c r="H145" s="5">
        <f>259 / 86400</f>
        <v>2.9976851851851853E-3</v>
      </c>
      <c r="I145" t="s">
        <v>30</v>
      </c>
      <c r="J145" t="s">
        <v>31</v>
      </c>
      <c r="K145" s="5">
        <f>681 / 86400</f>
        <v>7.8819444444444449E-3</v>
      </c>
      <c r="L145" s="5">
        <f>31900 / 86400</f>
        <v>0.36921296296296297</v>
      </c>
    </row>
    <row r="146" spans="1:12" x14ac:dyDescent="0.25">
      <c r="A146" s="3">
        <v>45707.37709490741</v>
      </c>
      <c r="B146" t="s">
        <v>156</v>
      </c>
      <c r="C146" s="3">
        <v>45707.37809027778</v>
      </c>
      <c r="D146" t="s">
        <v>156</v>
      </c>
      <c r="E146" s="4">
        <v>2.8000000000000001E-2</v>
      </c>
      <c r="F146" s="4">
        <v>93372.144</v>
      </c>
      <c r="G146" s="4">
        <v>93372.172000000006</v>
      </c>
      <c r="H146" s="5">
        <f>40 / 86400</f>
        <v>4.6296296296296298E-4</v>
      </c>
      <c r="I146" t="s">
        <v>85</v>
      </c>
      <c r="J146" t="s">
        <v>127</v>
      </c>
      <c r="K146" s="5">
        <f>85 / 86400</f>
        <v>9.837962962962962E-4</v>
      </c>
      <c r="L146" s="5">
        <f>82 / 86400</f>
        <v>9.4907407407407408E-4</v>
      </c>
    </row>
    <row r="147" spans="1:12" x14ac:dyDescent="0.25">
      <c r="A147" s="3">
        <v>45707.37903935185</v>
      </c>
      <c r="B147" t="s">
        <v>156</v>
      </c>
      <c r="C147" s="3">
        <v>45707.379687499997</v>
      </c>
      <c r="D147" t="s">
        <v>156</v>
      </c>
      <c r="E147" s="4">
        <v>0</v>
      </c>
      <c r="F147" s="4">
        <v>93372.172000000006</v>
      </c>
      <c r="G147" s="4">
        <v>93372.172000000006</v>
      </c>
      <c r="H147" s="5">
        <f>39 / 86400</f>
        <v>4.5138888888888887E-4</v>
      </c>
      <c r="I147" t="s">
        <v>72</v>
      </c>
      <c r="J147" t="s">
        <v>72</v>
      </c>
      <c r="K147" s="5">
        <f>55 / 86400</f>
        <v>6.3657407407407413E-4</v>
      </c>
      <c r="L147" s="5">
        <f>36035 / 86400</f>
        <v>0.41707175925925927</v>
      </c>
    </row>
    <row r="148" spans="1:12" x14ac:dyDescent="0.25">
      <c r="A148" s="3">
        <v>45707.796759259261</v>
      </c>
      <c r="B148" t="s">
        <v>156</v>
      </c>
      <c r="C148" s="3">
        <v>45707.802129629628</v>
      </c>
      <c r="D148" t="s">
        <v>28</v>
      </c>
      <c r="E148" s="4">
        <v>1.2170000000000001</v>
      </c>
      <c r="F148" s="4">
        <v>93372.172000000006</v>
      </c>
      <c r="G148" s="4">
        <v>93373.388999999996</v>
      </c>
      <c r="H148" s="5">
        <f>140 / 86400</f>
        <v>1.6203703703703703E-3</v>
      </c>
      <c r="I148" t="s">
        <v>129</v>
      </c>
      <c r="J148" t="s">
        <v>132</v>
      </c>
      <c r="K148" s="5">
        <f>464 / 86400</f>
        <v>5.37037037037037E-3</v>
      </c>
      <c r="L148" s="5">
        <f>17095 / 86400</f>
        <v>0.1978587962962963</v>
      </c>
    </row>
    <row r="149" spans="1:12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</row>
    <row r="150" spans="1:12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1:12" s="10" customFormat="1" ht="20.100000000000001" customHeight="1" x14ac:dyDescent="0.35">
      <c r="A151" s="15" t="s">
        <v>467</v>
      </c>
      <c r="B151" s="15"/>
      <c r="C151" s="15"/>
      <c r="D151" s="15"/>
      <c r="E151" s="15"/>
      <c r="F151" s="15"/>
      <c r="G151" s="15"/>
      <c r="H151" s="15"/>
      <c r="I151" s="15"/>
      <c r="J151" s="15"/>
    </row>
    <row r="152" spans="1:12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</row>
    <row r="153" spans="1:12" ht="30" x14ac:dyDescent="0.25">
      <c r="A153" s="2" t="s">
        <v>6</v>
      </c>
      <c r="B153" s="2" t="s">
        <v>7</v>
      </c>
      <c r="C153" s="2" t="s">
        <v>8</v>
      </c>
      <c r="D153" s="2" t="s">
        <v>9</v>
      </c>
      <c r="E153" s="2" t="s">
        <v>10</v>
      </c>
      <c r="F153" s="2" t="s">
        <v>11</v>
      </c>
      <c r="G153" s="2" t="s">
        <v>12</v>
      </c>
      <c r="H153" s="2" t="s">
        <v>13</v>
      </c>
      <c r="I153" s="2" t="s">
        <v>14</v>
      </c>
      <c r="J153" s="2" t="s">
        <v>15</v>
      </c>
      <c r="K153" s="2" t="s">
        <v>16</v>
      </c>
      <c r="L153" s="2" t="s">
        <v>17</v>
      </c>
    </row>
    <row r="154" spans="1:12" x14ac:dyDescent="0.25">
      <c r="A154" s="3">
        <v>45707.177627314813</v>
      </c>
      <c r="B154" t="s">
        <v>18</v>
      </c>
      <c r="C154" s="3">
        <v>45707.180069444439</v>
      </c>
      <c r="D154" t="s">
        <v>18</v>
      </c>
      <c r="E154" s="4">
        <v>0</v>
      </c>
      <c r="F154" s="4">
        <v>139422.86600000001</v>
      </c>
      <c r="G154" s="4">
        <v>139422.86600000001</v>
      </c>
      <c r="H154" s="5">
        <f>199 / 86400</f>
        <v>2.3032407407407407E-3</v>
      </c>
      <c r="I154" t="s">
        <v>72</v>
      </c>
      <c r="J154" t="s">
        <v>72</v>
      </c>
      <c r="K154" s="5">
        <f>210 / 86400</f>
        <v>2.4305555555555556E-3</v>
      </c>
      <c r="L154" s="5">
        <f>15398 / 86400</f>
        <v>0.17821759259259259</v>
      </c>
    </row>
    <row r="155" spans="1:12" x14ac:dyDescent="0.25">
      <c r="A155" s="3">
        <v>45707.180659722224</v>
      </c>
      <c r="B155" t="s">
        <v>18</v>
      </c>
      <c r="C155" s="3">
        <v>45707.196342592593</v>
      </c>
      <c r="D155" t="s">
        <v>157</v>
      </c>
      <c r="E155" s="4">
        <v>8.6969999999999992</v>
      </c>
      <c r="F155" s="4">
        <v>139422.86600000001</v>
      </c>
      <c r="G155" s="4">
        <v>139431.56299999999</v>
      </c>
      <c r="H155" s="5">
        <f>359 / 86400</f>
        <v>4.1550925925925922E-3</v>
      </c>
      <c r="I155" t="s">
        <v>138</v>
      </c>
      <c r="J155" t="s">
        <v>35</v>
      </c>
      <c r="K155" s="5">
        <f>1354 / 86400</f>
        <v>1.5671296296296298E-2</v>
      </c>
      <c r="L155" s="5">
        <f>39 / 86400</f>
        <v>4.5138888888888887E-4</v>
      </c>
    </row>
    <row r="156" spans="1:12" x14ac:dyDescent="0.25">
      <c r="A156" s="3">
        <v>45707.196793981479</v>
      </c>
      <c r="B156" t="s">
        <v>158</v>
      </c>
      <c r="C156" s="3">
        <v>45707.271122685182</v>
      </c>
      <c r="D156" t="s">
        <v>159</v>
      </c>
      <c r="E156" s="4">
        <v>40.872</v>
      </c>
      <c r="F156" s="4">
        <v>139431.56299999999</v>
      </c>
      <c r="G156" s="4">
        <v>139472.435</v>
      </c>
      <c r="H156" s="5">
        <f>1220 / 86400</f>
        <v>1.412037037037037E-2</v>
      </c>
      <c r="I156" t="s">
        <v>160</v>
      </c>
      <c r="J156" t="s">
        <v>35</v>
      </c>
      <c r="K156" s="5">
        <f>6422 / 86400</f>
        <v>7.4328703703703702E-2</v>
      </c>
      <c r="L156" s="5">
        <f>700 / 86400</f>
        <v>8.1018518518518514E-3</v>
      </c>
    </row>
    <row r="157" spans="1:12" x14ac:dyDescent="0.25">
      <c r="A157" s="3">
        <v>45707.279224537036</v>
      </c>
      <c r="B157" t="s">
        <v>159</v>
      </c>
      <c r="C157" s="3">
        <v>45707.281909722224</v>
      </c>
      <c r="D157" t="s">
        <v>110</v>
      </c>
      <c r="E157" s="4">
        <v>0.96599999999999997</v>
      </c>
      <c r="F157" s="4">
        <v>139472.435</v>
      </c>
      <c r="G157" s="4">
        <v>139473.40100000001</v>
      </c>
      <c r="H157" s="5">
        <f>40 / 86400</f>
        <v>4.6296296296296298E-4</v>
      </c>
      <c r="I157" t="s">
        <v>161</v>
      </c>
      <c r="J157" t="s">
        <v>46</v>
      </c>
      <c r="K157" s="5">
        <f>231 / 86400</f>
        <v>2.673611111111111E-3</v>
      </c>
      <c r="L157" s="5">
        <f>1270 / 86400</f>
        <v>1.4699074074074074E-2</v>
      </c>
    </row>
    <row r="158" spans="1:12" x14ac:dyDescent="0.25">
      <c r="A158" s="3">
        <v>45707.2966087963</v>
      </c>
      <c r="B158" t="s">
        <v>110</v>
      </c>
      <c r="C158" s="3">
        <v>45707.296770833331</v>
      </c>
      <c r="D158" t="s">
        <v>110</v>
      </c>
      <c r="E158" s="4">
        <v>0</v>
      </c>
      <c r="F158" s="4">
        <v>139473.40100000001</v>
      </c>
      <c r="G158" s="4">
        <v>139473.40100000001</v>
      </c>
      <c r="H158" s="5">
        <f>0 / 86400</f>
        <v>0</v>
      </c>
      <c r="I158" t="s">
        <v>72</v>
      </c>
      <c r="J158" t="s">
        <v>72</v>
      </c>
      <c r="K158" s="5">
        <f>14 / 86400</f>
        <v>1.6203703703703703E-4</v>
      </c>
      <c r="L158" s="5">
        <f>336 / 86400</f>
        <v>3.8888888888888888E-3</v>
      </c>
    </row>
    <row r="159" spans="1:12" x14ac:dyDescent="0.25">
      <c r="A159" s="3">
        <v>45707.300659722227</v>
      </c>
      <c r="B159" t="s">
        <v>110</v>
      </c>
      <c r="C159" s="3">
        <v>45707.304814814815</v>
      </c>
      <c r="D159" t="s">
        <v>95</v>
      </c>
      <c r="E159" s="4">
        <v>0.56200000000000006</v>
      </c>
      <c r="F159" s="4">
        <v>139473.40100000001</v>
      </c>
      <c r="G159" s="4">
        <v>139473.96299999999</v>
      </c>
      <c r="H159" s="5">
        <f>200 / 86400</f>
        <v>2.3148148148148147E-3</v>
      </c>
      <c r="I159" t="s">
        <v>151</v>
      </c>
      <c r="J159" t="s">
        <v>101</v>
      </c>
      <c r="K159" s="5">
        <f>359 / 86400</f>
        <v>4.1550925925925922E-3</v>
      </c>
      <c r="L159" s="5">
        <f>3099 / 86400</f>
        <v>3.5868055555555556E-2</v>
      </c>
    </row>
    <row r="160" spans="1:12" x14ac:dyDescent="0.25">
      <c r="A160" s="3">
        <v>45707.340682870374</v>
      </c>
      <c r="B160" t="s">
        <v>95</v>
      </c>
      <c r="C160" s="3">
        <v>45707.342361111107</v>
      </c>
      <c r="D160" t="s">
        <v>21</v>
      </c>
      <c r="E160" s="4">
        <v>2.5000000000000001E-2</v>
      </c>
      <c r="F160" s="4">
        <v>139473.96299999999</v>
      </c>
      <c r="G160" s="4">
        <v>139473.98800000001</v>
      </c>
      <c r="H160" s="5">
        <f>120 / 86400</f>
        <v>1.3888888888888889E-3</v>
      </c>
      <c r="I160" t="s">
        <v>136</v>
      </c>
      <c r="J160" t="s">
        <v>127</v>
      </c>
      <c r="K160" s="5">
        <f>145 / 86400</f>
        <v>1.6782407407407408E-3</v>
      </c>
      <c r="L160" s="5">
        <f>2198 / 86400</f>
        <v>2.5439814814814814E-2</v>
      </c>
    </row>
    <row r="161" spans="1:12" x14ac:dyDescent="0.25">
      <c r="A161" s="3">
        <v>45707.367800925931</v>
      </c>
      <c r="B161" t="s">
        <v>21</v>
      </c>
      <c r="C161" s="3">
        <v>45707.440289351856</v>
      </c>
      <c r="D161" t="s">
        <v>158</v>
      </c>
      <c r="E161" s="4">
        <v>38.308</v>
      </c>
      <c r="F161" s="4">
        <v>139473.98800000001</v>
      </c>
      <c r="G161" s="4">
        <v>139512.296</v>
      </c>
      <c r="H161" s="5">
        <f>1799 / 86400</f>
        <v>2.0821759259259259E-2</v>
      </c>
      <c r="I161" t="s">
        <v>32</v>
      </c>
      <c r="J161" t="s">
        <v>129</v>
      </c>
      <c r="K161" s="5">
        <f>6263 / 86400</f>
        <v>7.2488425925925928E-2</v>
      </c>
      <c r="L161" s="5">
        <f>725 / 86400</f>
        <v>8.3912037037037045E-3</v>
      </c>
    </row>
    <row r="162" spans="1:12" x14ac:dyDescent="0.25">
      <c r="A162" s="3">
        <v>45707.448680555557</v>
      </c>
      <c r="B162" t="s">
        <v>162</v>
      </c>
      <c r="C162" s="3">
        <v>45707.525243055556</v>
      </c>
      <c r="D162" t="s">
        <v>163</v>
      </c>
      <c r="E162" s="4">
        <v>35.005000000000003</v>
      </c>
      <c r="F162" s="4">
        <v>139512.296</v>
      </c>
      <c r="G162" s="4">
        <v>139547.30100000001</v>
      </c>
      <c r="H162" s="5">
        <f>2021 / 86400</f>
        <v>2.3391203703703702E-2</v>
      </c>
      <c r="I162" t="s">
        <v>68</v>
      </c>
      <c r="J162" t="s">
        <v>33</v>
      </c>
      <c r="K162" s="5">
        <f>6615 / 86400</f>
        <v>7.6562500000000006E-2</v>
      </c>
      <c r="L162" s="5">
        <f>1272 / 86400</f>
        <v>1.4722222222222222E-2</v>
      </c>
    </row>
    <row r="163" spans="1:12" x14ac:dyDescent="0.25">
      <c r="A163" s="3">
        <v>45707.539965277778</v>
      </c>
      <c r="B163" t="s">
        <v>163</v>
      </c>
      <c r="C163" s="3">
        <v>45707.600474537037</v>
      </c>
      <c r="D163" t="s">
        <v>164</v>
      </c>
      <c r="E163" s="4">
        <v>30.428000000000001</v>
      </c>
      <c r="F163" s="4">
        <v>139547.30100000001</v>
      </c>
      <c r="G163" s="4">
        <v>139577.72899999999</v>
      </c>
      <c r="H163" s="5">
        <f>1819 / 86400</f>
        <v>2.105324074074074E-2</v>
      </c>
      <c r="I163" t="s">
        <v>165</v>
      </c>
      <c r="J163" t="s">
        <v>166</v>
      </c>
      <c r="K163" s="5">
        <f>5228 / 86400</f>
        <v>6.0509259259259263E-2</v>
      </c>
      <c r="L163" s="5">
        <f>1313 / 86400</f>
        <v>1.5196759259259259E-2</v>
      </c>
    </row>
    <row r="164" spans="1:12" x14ac:dyDescent="0.25">
      <c r="A164" s="3">
        <v>45707.615671296298</v>
      </c>
      <c r="B164" t="s">
        <v>164</v>
      </c>
      <c r="C164" s="3">
        <v>45707.77915509259</v>
      </c>
      <c r="D164" t="s">
        <v>167</v>
      </c>
      <c r="E164" s="4">
        <v>65.144999999999996</v>
      </c>
      <c r="F164" s="4">
        <v>139577.72899999999</v>
      </c>
      <c r="G164" s="4">
        <v>139642.87400000001</v>
      </c>
      <c r="H164" s="5">
        <f>4859 / 86400</f>
        <v>5.6238425925925928E-2</v>
      </c>
      <c r="I164" t="s">
        <v>111</v>
      </c>
      <c r="J164" t="s">
        <v>37</v>
      </c>
      <c r="K164" s="5">
        <f>14125 / 86400</f>
        <v>0.16348379629629631</v>
      </c>
      <c r="L164" s="5">
        <f>524 / 86400</f>
        <v>6.0648148148148145E-3</v>
      </c>
    </row>
    <row r="165" spans="1:12" x14ac:dyDescent="0.25">
      <c r="A165" s="3">
        <v>45707.785219907411</v>
      </c>
      <c r="B165" t="s">
        <v>167</v>
      </c>
      <c r="C165" s="3">
        <v>45707.790358796294</v>
      </c>
      <c r="D165" t="s">
        <v>18</v>
      </c>
      <c r="E165" s="4">
        <v>0.64</v>
      </c>
      <c r="F165" s="4">
        <v>139642.87400000001</v>
      </c>
      <c r="G165" s="4">
        <v>139643.514</v>
      </c>
      <c r="H165" s="5">
        <f>239 / 86400</f>
        <v>2.7662037037037039E-3</v>
      </c>
      <c r="I165" t="s">
        <v>129</v>
      </c>
      <c r="J165" t="s">
        <v>134</v>
      </c>
      <c r="K165" s="5">
        <f>443 / 86400</f>
        <v>5.1273148148148146E-3</v>
      </c>
      <c r="L165" s="5">
        <f>18112 / 86400</f>
        <v>0.20962962962962964</v>
      </c>
    </row>
    <row r="166" spans="1:12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1:12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1:12" s="10" customFormat="1" ht="20.100000000000001" customHeight="1" x14ac:dyDescent="0.35">
      <c r="A168" s="15" t="s">
        <v>468</v>
      </c>
      <c r="B168" s="15"/>
      <c r="C168" s="15"/>
      <c r="D168" s="15"/>
      <c r="E168" s="15"/>
      <c r="F168" s="15"/>
      <c r="G168" s="15"/>
      <c r="H168" s="15"/>
      <c r="I168" s="15"/>
      <c r="J168" s="15"/>
    </row>
    <row r="169" spans="1:12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1:12" ht="30" x14ac:dyDescent="0.25">
      <c r="A170" s="2" t="s">
        <v>6</v>
      </c>
      <c r="B170" s="2" t="s">
        <v>7</v>
      </c>
      <c r="C170" s="2" t="s">
        <v>8</v>
      </c>
      <c r="D170" s="2" t="s">
        <v>9</v>
      </c>
      <c r="E170" s="2" t="s">
        <v>10</v>
      </c>
      <c r="F170" s="2" t="s">
        <v>11</v>
      </c>
      <c r="G170" s="2" t="s">
        <v>12</v>
      </c>
      <c r="H170" s="2" t="s">
        <v>13</v>
      </c>
      <c r="I170" s="2" t="s">
        <v>14</v>
      </c>
      <c r="J170" s="2" t="s">
        <v>15</v>
      </c>
      <c r="K170" s="2" t="s">
        <v>16</v>
      </c>
      <c r="L170" s="2" t="s">
        <v>17</v>
      </c>
    </row>
    <row r="171" spans="1:12" x14ac:dyDescent="0.25">
      <c r="A171" s="3">
        <v>45707.207627314812</v>
      </c>
      <c r="B171" t="s">
        <v>28</v>
      </c>
      <c r="C171" s="3">
        <v>45707.209560185191</v>
      </c>
      <c r="D171" t="s">
        <v>28</v>
      </c>
      <c r="E171" s="4">
        <v>1.2451170742511749E-2</v>
      </c>
      <c r="F171" s="4">
        <v>348943.54774257494</v>
      </c>
      <c r="G171" s="4">
        <v>348943.56019374565</v>
      </c>
      <c r="H171" s="5">
        <f t="shared" ref="H171:H234" si="0">0 / 86400</f>
        <v>0</v>
      </c>
      <c r="I171" t="s">
        <v>85</v>
      </c>
      <c r="J171" t="s">
        <v>72</v>
      </c>
      <c r="K171" s="5">
        <f>167 / 86400</f>
        <v>1.9328703703703704E-3</v>
      </c>
      <c r="L171" s="5">
        <f>18051 / 86400</f>
        <v>0.2089236111111111</v>
      </c>
    </row>
    <row r="172" spans="1:12" x14ac:dyDescent="0.25">
      <c r="A172" s="3">
        <v>45707.210856481484</v>
      </c>
      <c r="B172" t="s">
        <v>28</v>
      </c>
      <c r="C172" s="3">
        <v>45707.211087962962</v>
      </c>
      <c r="D172" t="s">
        <v>28</v>
      </c>
      <c r="E172" s="4">
        <v>3.9175479412078855E-3</v>
      </c>
      <c r="F172" s="4">
        <v>348943.57618759072</v>
      </c>
      <c r="G172" s="4">
        <v>348943.58010513865</v>
      </c>
      <c r="H172" s="5">
        <f t="shared" si="0"/>
        <v>0</v>
      </c>
      <c r="I172" t="s">
        <v>134</v>
      </c>
      <c r="J172" t="s">
        <v>127</v>
      </c>
      <c r="K172" s="5">
        <f>20 / 86400</f>
        <v>2.3148148148148149E-4</v>
      </c>
      <c r="L172" s="5">
        <f>3 / 86400</f>
        <v>3.4722222222222222E-5</v>
      </c>
    </row>
    <row r="173" spans="1:12" x14ac:dyDescent="0.25">
      <c r="A173" s="3">
        <v>45707.211122685185</v>
      </c>
      <c r="B173" t="s">
        <v>28</v>
      </c>
      <c r="C173" s="3">
        <v>45707.213645833333</v>
      </c>
      <c r="D173" t="s">
        <v>168</v>
      </c>
      <c r="E173" s="4">
        <v>0.89366535818576809</v>
      </c>
      <c r="F173" s="4">
        <v>348943.58306168707</v>
      </c>
      <c r="G173" s="4">
        <v>348944.47672704526</v>
      </c>
      <c r="H173" s="5">
        <f t="shared" si="0"/>
        <v>0</v>
      </c>
      <c r="I173" t="s">
        <v>169</v>
      </c>
      <c r="J173" t="s">
        <v>46</v>
      </c>
      <c r="K173" s="5">
        <f>218 / 86400</f>
        <v>2.5231481481481481E-3</v>
      </c>
      <c r="L173" s="5">
        <f>163 / 86400</f>
        <v>1.8865740740740742E-3</v>
      </c>
    </row>
    <row r="174" spans="1:12" x14ac:dyDescent="0.25">
      <c r="A174" s="3">
        <v>45707.215532407412</v>
      </c>
      <c r="B174" t="s">
        <v>168</v>
      </c>
      <c r="C174" s="3">
        <v>45707.223611111112</v>
      </c>
      <c r="D174" t="s">
        <v>82</v>
      </c>
      <c r="E174" s="4">
        <v>8.1399495662450789</v>
      </c>
      <c r="F174" s="4">
        <v>348944.49385309825</v>
      </c>
      <c r="G174" s="4">
        <v>348952.63380266452</v>
      </c>
      <c r="H174" s="5">
        <f t="shared" si="0"/>
        <v>0</v>
      </c>
      <c r="I174" t="s">
        <v>170</v>
      </c>
      <c r="J174" t="s">
        <v>171</v>
      </c>
      <c r="K174" s="5">
        <f>698 / 86400</f>
        <v>8.0787037037037043E-3</v>
      </c>
      <c r="L174" s="5">
        <f>20 / 86400</f>
        <v>2.3148148148148149E-4</v>
      </c>
    </row>
    <row r="175" spans="1:12" x14ac:dyDescent="0.25">
      <c r="A175" s="3">
        <v>45707.22384259259</v>
      </c>
      <c r="B175" t="s">
        <v>82</v>
      </c>
      <c r="C175" s="3">
        <v>45707.224305555559</v>
      </c>
      <c r="D175" t="s">
        <v>36</v>
      </c>
      <c r="E175" s="4">
        <v>0.24109437716007232</v>
      </c>
      <c r="F175" s="4">
        <v>348952.66552714165</v>
      </c>
      <c r="G175" s="4">
        <v>348952.90662151878</v>
      </c>
      <c r="H175" s="5">
        <f t="shared" si="0"/>
        <v>0</v>
      </c>
      <c r="I175" t="s">
        <v>172</v>
      </c>
      <c r="J175" t="s">
        <v>129</v>
      </c>
      <c r="K175" s="5">
        <f>40 / 86400</f>
        <v>4.6296296296296298E-4</v>
      </c>
      <c r="L175" s="5">
        <f>43 / 86400</f>
        <v>4.9768518518518521E-4</v>
      </c>
    </row>
    <row r="176" spans="1:12" x14ac:dyDescent="0.25">
      <c r="A176" s="3">
        <v>45707.224803240737</v>
      </c>
      <c r="B176" t="s">
        <v>36</v>
      </c>
      <c r="C176" s="3">
        <v>45707.225138888884</v>
      </c>
      <c r="D176" t="s">
        <v>36</v>
      </c>
      <c r="E176" s="4">
        <v>9.080382168292999E-3</v>
      </c>
      <c r="F176" s="4">
        <v>348952.92832623434</v>
      </c>
      <c r="G176" s="4">
        <v>348952.93740661652</v>
      </c>
      <c r="H176" s="5">
        <f t="shared" si="0"/>
        <v>0</v>
      </c>
      <c r="I176" t="s">
        <v>134</v>
      </c>
      <c r="J176" t="s">
        <v>127</v>
      </c>
      <c r="K176" s="5">
        <f>29 / 86400</f>
        <v>3.3564814814814812E-4</v>
      </c>
      <c r="L176" s="5">
        <f>117 / 86400</f>
        <v>1.3541666666666667E-3</v>
      </c>
    </row>
    <row r="177" spans="1:12" x14ac:dyDescent="0.25">
      <c r="A177" s="3">
        <v>45707.226493055554</v>
      </c>
      <c r="B177" t="s">
        <v>36</v>
      </c>
      <c r="C177" s="3">
        <v>45707.227349537032</v>
      </c>
      <c r="D177" t="s">
        <v>173</v>
      </c>
      <c r="E177" s="4">
        <v>0.28516883224248885</v>
      </c>
      <c r="F177" s="4">
        <v>348952.94918242533</v>
      </c>
      <c r="G177" s="4">
        <v>348953.23435125756</v>
      </c>
      <c r="H177" s="5">
        <f t="shared" si="0"/>
        <v>0</v>
      </c>
      <c r="I177" t="s">
        <v>30</v>
      </c>
      <c r="J177" t="s">
        <v>43</v>
      </c>
      <c r="K177" s="5">
        <f>74 / 86400</f>
        <v>8.564814814814815E-4</v>
      </c>
      <c r="L177" s="5">
        <f>20 / 86400</f>
        <v>2.3148148148148149E-4</v>
      </c>
    </row>
    <row r="178" spans="1:12" x14ac:dyDescent="0.25">
      <c r="A178" s="3">
        <v>45707.227581018524</v>
      </c>
      <c r="B178" t="s">
        <v>82</v>
      </c>
      <c r="C178" s="3">
        <v>45707.231064814812</v>
      </c>
      <c r="D178" t="s">
        <v>82</v>
      </c>
      <c r="E178" s="4">
        <v>3.5693677394390106</v>
      </c>
      <c r="F178" s="4">
        <v>348953.33208923083</v>
      </c>
      <c r="G178" s="4">
        <v>348956.90145697026</v>
      </c>
      <c r="H178" s="5">
        <f t="shared" si="0"/>
        <v>0</v>
      </c>
      <c r="I178" t="s">
        <v>63</v>
      </c>
      <c r="J178" t="s">
        <v>174</v>
      </c>
      <c r="K178" s="5">
        <f>301 / 86400</f>
        <v>3.4837962962962965E-3</v>
      </c>
      <c r="L178" s="5">
        <f>439 / 86400</f>
        <v>5.0810185185185186E-3</v>
      </c>
    </row>
    <row r="179" spans="1:12" x14ac:dyDescent="0.25">
      <c r="A179" s="3">
        <v>45707.236145833333</v>
      </c>
      <c r="B179" t="s">
        <v>82</v>
      </c>
      <c r="C179" s="3">
        <v>45707.23637731481</v>
      </c>
      <c r="D179" t="s">
        <v>82</v>
      </c>
      <c r="E179" s="4">
        <v>2.0116941928863524E-3</v>
      </c>
      <c r="F179" s="4">
        <v>348956.98007562902</v>
      </c>
      <c r="G179" s="4">
        <v>348956.98208732321</v>
      </c>
      <c r="H179" s="5">
        <f t="shared" si="0"/>
        <v>0</v>
      </c>
      <c r="I179" t="s">
        <v>58</v>
      </c>
      <c r="J179" t="s">
        <v>72</v>
      </c>
      <c r="K179" s="5">
        <f>20 / 86400</f>
        <v>2.3148148148148149E-4</v>
      </c>
      <c r="L179" s="5">
        <f>25 / 86400</f>
        <v>2.8935185185185184E-4</v>
      </c>
    </row>
    <row r="180" spans="1:12" x14ac:dyDescent="0.25">
      <c r="A180" s="3">
        <v>45707.236666666664</v>
      </c>
      <c r="B180" t="s">
        <v>82</v>
      </c>
      <c r="C180" s="3">
        <v>45707.237361111111</v>
      </c>
      <c r="D180" t="s">
        <v>175</v>
      </c>
      <c r="E180" s="4">
        <v>0.10172052139043808</v>
      </c>
      <c r="F180" s="4">
        <v>348956.98702872108</v>
      </c>
      <c r="G180" s="4">
        <v>348957.08874924248</v>
      </c>
      <c r="H180" s="5">
        <f t="shared" si="0"/>
        <v>0</v>
      </c>
      <c r="I180" t="s">
        <v>134</v>
      </c>
      <c r="J180" t="s">
        <v>101</v>
      </c>
      <c r="K180" s="5">
        <f>60 / 86400</f>
        <v>6.9444444444444447E-4</v>
      </c>
      <c r="L180" s="5">
        <f>80 / 86400</f>
        <v>9.2592592592592596E-4</v>
      </c>
    </row>
    <row r="181" spans="1:12" x14ac:dyDescent="0.25">
      <c r="A181" s="3">
        <v>45707.238287037035</v>
      </c>
      <c r="B181" t="s">
        <v>175</v>
      </c>
      <c r="C181" s="3">
        <v>45707.238750000004</v>
      </c>
      <c r="D181" t="s">
        <v>175</v>
      </c>
      <c r="E181" s="4">
        <v>2.8440226852893831E-2</v>
      </c>
      <c r="F181" s="4">
        <v>348957.11252952996</v>
      </c>
      <c r="G181" s="4">
        <v>348957.14096975676</v>
      </c>
      <c r="H181" s="5">
        <f t="shared" si="0"/>
        <v>0</v>
      </c>
      <c r="I181" t="s">
        <v>136</v>
      </c>
      <c r="J181" t="s">
        <v>24</v>
      </c>
      <c r="K181" s="5">
        <f>40 / 86400</f>
        <v>4.6296296296296298E-4</v>
      </c>
      <c r="L181" s="5">
        <f>40 / 86400</f>
        <v>4.6296296296296298E-4</v>
      </c>
    </row>
    <row r="182" spans="1:12" x14ac:dyDescent="0.25">
      <c r="A182" s="3">
        <v>45707.239212962959</v>
      </c>
      <c r="B182" t="s">
        <v>139</v>
      </c>
      <c r="C182" s="3">
        <v>45707.239675925928</v>
      </c>
      <c r="D182" t="s">
        <v>139</v>
      </c>
      <c r="E182" s="4">
        <v>5.1220082342624665E-2</v>
      </c>
      <c r="F182" s="4">
        <v>348957.14611179766</v>
      </c>
      <c r="G182" s="4">
        <v>348957.19733187999</v>
      </c>
      <c r="H182" s="5">
        <f t="shared" si="0"/>
        <v>0</v>
      </c>
      <c r="I182" t="s">
        <v>137</v>
      </c>
      <c r="J182" t="s">
        <v>134</v>
      </c>
      <c r="K182" s="5">
        <f>40 / 86400</f>
        <v>4.6296296296296298E-4</v>
      </c>
      <c r="L182" s="5">
        <f>20 / 86400</f>
        <v>2.3148148148148149E-4</v>
      </c>
    </row>
    <row r="183" spans="1:12" x14ac:dyDescent="0.25">
      <c r="A183" s="3">
        <v>45707.239907407406</v>
      </c>
      <c r="B183" t="s">
        <v>139</v>
      </c>
      <c r="C183" s="3">
        <v>45707.240601851852</v>
      </c>
      <c r="D183" t="s">
        <v>175</v>
      </c>
      <c r="E183" s="4">
        <v>0.38424791049957274</v>
      </c>
      <c r="F183" s="4">
        <v>348957.22894344572</v>
      </c>
      <c r="G183" s="4">
        <v>348957.61319135624</v>
      </c>
      <c r="H183" s="5">
        <f t="shared" si="0"/>
        <v>0</v>
      </c>
      <c r="I183" t="s">
        <v>171</v>
      </c>
      <c r="J183" t="s">
        <v>35</v>
      </c>
      <c r="K183" s="5">
        <f>60 / 86400</f>
        <v>6.9444444444444447E-4</v>
      </c>
      <c r="L183" s="5">
        <f>20 / 86400</f>
        <v>2.3148148148148149E-4</v>
      </c>
    </row>
    <row r="184" spans="1:12" x14ac:dyDescent="0.25">
      <c r="A184" s="3">
        <v>45707.24083333333</v>
      </c>
      <c r="B184" t="s">
        <v>175</v>
      </c>
      <c r="C184" s="3">
        <v>45707.241990740746</v>
      </c>
      <c r="D184" t="s">
        <v>176</v>
      </c>
      <c r="E184" s="4">
        <v>1.5292071362733841</v>
      </c>
      <c r="F184" s="4">
        <v>348957.63038701878</v>
      </c>
      <c r="G184" s="4">
        <v>348959.15959415509</v>
      </c>
      <c r="H184" s="5">
        <f t="shared" si="0"/>
        <v>0</v>
      </c>
      <c r="I184" t="s">
        <v>78</v>
      </c>
      <c r="J184" t="s">
        <v>177</v>
      </c>
      <c r="K184" s="5">
        <f>100 / 86400</f>
        <v>1.1574074074074073E-3</v>
      </c>
      <c r="L184" s="5">
        <f>40 / 86400</f>
        <v>4.6296296296296298E-4</v>
      </c>
    </row>
    <row r="185" spans="1:12" x14ac:dyDescent="0.25">
      <c r="A185" s="3">
        <v>45707.2424537037</v>
      </c>
      <c r="B185" t="s">
        <v>176</v>
      </c>
      <c r="C185" s="3">
        <v>45707.244074074071</v>
      </c>
      <c r="D185" t="s">
        <v>176</v>
      </c>
      <c r="E185" s="4">
        <v>1.0929728825688363</v>
      </c>
      <c r="F185" s="4">
        <v>348959.32798251312</v>
      </c>
      <c r="G185" s="4">
        <v>348960.42095539568</v>
      </c>
      <c r="H185" s="5">
        <f t="shared" si="0"/>
        <v>0</v>
      </c>
      <c r="I185" t="s">
        <v>170</v>
      </c>
      <c r="J185" t="s">
        <v>178</v>
      </c>
      <c r="K185" s="5">
        <f>140 / 86400</f>
        <v>1.6203703703703703E-3</v>
      </c>
      <c r="L185" s="5">
        <f>60 / 86400</f>
        <v>6.9444444444444447E-4</v>
      </c>
    </row>
    <row r="186" spans="1:12" x14ac:dyDescent="0.25">
      <c r="A186" s="3">
        <v>45707.244768518518</v>
      </c>
      <c r="B186" t="s">
        <v>176</v>
      </c>
      <c r="C186" s="3">
        <v>45707.24523148148</v>
      </c>
      <c r="D186" t="s">
        <v>176</v>
      </c>
      <c r="E186" s="4">
        <v>1.7349113881587983E-2</v>
      </c>
      <c r="F186" s="4">
        <v>348960.44197395304</v>
      </c>
      <c r="G186" s="4">
        <v>348960.45932306693</v>
      </c>
      <c r="H186" s="5">
        <f t="shared" si="0"/>
        <v>0</v>
      </c>
      <c r="I186" t="s">
        <v>134</v>
      </c>
      <c r="J186" t="s">
        <v>136</v>
      </c>
      <c r="K186" s="5">
        <f>40 / 86400</f>
        <v>4.6296296296296298E-4</v>
      </c>
      <c r="L186" s="5">
        <f>40 / 86400</f>
        <v>4.6296296296296298E-4</v>
      </c>
    </row>
    <row r="187" spans="1:12" x14ac:dyDescent="0.25">
      <c r="A187" s="3">
        <v>45707.245694444442</v>
      </c>
      <c r="B187" t="s">
        <v>176</v>
      </c>
      <c r="C187" s="3">
        <v>45707.245995370366</v>
      </c>
      <c r="D187" t="s">
        <v>176</v>
      </c>
      <c r="E187" s="4">
        <v>4.0716648280620577E-2</v>
      </c>
      <c r="F187" s="4">
        <v>348960.47880459297</v>
      </c>
      <c r="G187" s="4">
        <v>348960.51952124125</v>
      </c>
      <c r="H187" s="5">
        <f t="shared" si="0"/>
        <v>0</v>
      </c>
      <c r="I187" t="s">
        <v>31</v>
      </c>
      <c r="J187" t="s">
        <v>101</v>
      </c>
      <c r="K187" s="5">
        <f>26 / 86400</f>
        <v>3.0092592592592595E-4</v>
      </c>
      <c r="L187" s="5">
        <f>20 / 86400</f>
        <v>2.3148148148148149E-4</v>
      </c>
    </row>
    <row r="188" spans="1:12" x14ac:dyDescent="0.25">
      <c r="A188" s="3">
        <v>45707.24622685185</v>
      </c>
      <c r="B188" t="s">
        <v>179</v>
      </c>
      <c r="C188" s="3">
        <v>45707.246689814812</v>
      </c>
      <c r="D188" t="s">
        <v>176</v>
      </c>
      <c r="E188" s="4">
        <v>0.43831732565164566</v>
      </c>
      <c r="F188" s="4">
        <v>348960.71184798324</v>
      </c>
      <c r="G188" s="4">
        <v>348961.15016530891</v>
      </c>
      <c r="H188" s="5">
        <f t="shared" si="0"/>
        <v>0</v>
      </c>
      <c r="I188" t="s">
        <v>180</v>
      </c>
      <c r="J188" t="s">
        <v>181</v>
      </c>
      <c r="K188" s="5">
        <f>40 / 86400</f>
        <v>4.6296296296296298E-4</v>
      </c>
      <c r="L188" s="5">
        <f>20 / 86400</f>
        <v>2.3148148148148149E-4</v>
      </c>
    </row>
    <row r="189" spans="1:12" x14ac:dyDescent="0.25">
      <c r="A189" s="3">
        <v>45707.246921296297</v>
      </c>
      <c r="B189" t="s">
        <v>182</v>
      </c>
      <c r="C189" s="3">
        <v>45707.247152777782</v>
      </c>
      <c r="D189" t="s">
        <v>176</v>
      </c>
      <c r="E189" s="4">
        <v>9.3251045823097234E-2</v>
      </c>
      <c r="F189" s="4">
        <v>348961.35934641387</v>
      </c>
      <c r="G189" s="4">
        <v>348961.45259745966</v>
      </c>
      <c r="H189" s="5">
        <f t="shared" si="0"/>
        <v>0</v>
      </c>
      <c r="I189" t="s">
        <v>183</v>
      </c>
      <c r="J189" t="s">
        <v>37</v>
      </c>
      <c r="K189" s="5">
        <f>20 / 86400</f>
        <v>2.3148148148148149E-4</v>
      </c>
      <c r="L189" s="5">
        <f>20 / 86400</f>
        <v>2.3148148148148149E-4</v>
      </c>
    </row>
    <row r="190" spans="1:12" x14ac:dyDescent="0.25">
      <c r="A190" s="3">
        <v>45707.247384259259</v>
      </c>
      <c r="B190" t="s">
        <v>176</v>
      </c>
      <c r="C190" s="3">
        <v>45707.250393518523</v>
      </c>
      <c r="D190" t="s">
        <v>118</v>
      </c>
      <c r="E190" s="4">
        <v>3.1251832982897758</v>
      </c>
      <c r="F190" s="4">
        <v>348961.45675061404</v>
      </c>
      <c r="G190" s="4">
        <v>348964.58193391236</v>
      </c>
      <c r="H190" s="5">
        <f t="shared" si="0"/>
        <v>0</v>
      </c>
      <c r="I190" t="s">
        <v>19</v>
      </c>
      <c r="J190" t="s">
        <v>174</v>
      </c>
      <c r="K190" s="5">
        <f>260 / 86400</f>
        <v>3.0092592592592593E-3</v>
      </c>
      <c r="L190" s="5">
        <f>40 / 86400</f>
        <v>4.6296296296296298E-4</v>
      </c>
    </row>
    <row r="191" spans="1:12" x14ac:dyDescent="0.25">
      <c r="A191" s="3">
        <v>45707.250856481478</v>
      </c>
      <c r="B191" t="s">
        <v>118</v>
      </c>
      <c r="C191" s="3">
        <v>45707.251782407402</v>
      </c>
      <c r="D191" t="s">
        <v>118</v>
      </c>
      <c r="E191" s="4">
        <v>0.22472229504585267</v>
      </c>
      <c r="F191" s="4">
        <v>348964.7534849107</v>
      </c>
      <c r="G191" s="4">
        <v>348964.97820720577</v>
      </c>
      <c r="H191" s="5">
        <f t="shared" si="0"/>
        <v>0</v>
      </c>
      <c r="I191" t="s">
        <v>169</v>
      </c>
      <c r="J191" t="s">
        <v>123</v>
      </c>
      <c r="K191" s="5">
        <f>80 / 86400</f>
        <v>9.2592592592592596E-4</v>
      </c>
      <c r="L191" s="5">
        <f>20 / 86400</f>
        <v>2.3148148148148149E-4</v>
      </c>
    </row>
    <row r="192" spans="1:12" x14ac:dyDescent="0.25">
      <c r="A192" s="3">
        <v>45707.252013888894</v>
      </c>
      <c r="B192" t="s">
        <v>184</v>
      </c>
      <c r="C192" s="3">
        <v>45707.254583333328</v>
      </c>
      <c r="D192" t="s">
        <v>91</v>
      </c>
      <c r="E192" s="4">
        <v>1.813063296020031</v>
      </c>
      <c r="F192" s="4">
        <v>348965.05650160869</v>
      </c>
      <c r="G192" s="4">
        <v>348966.86956490471</v>
      </c>
      <c r="H192" s="5">
        <f t="shared" si="0"/>
        <v>0</v>
      </c>
      <c r="I192" t="s">
        <v>153</v>
      </c>
      <c r="J192" t="s">
        <v>185</v>
      </c>
      <c r="K192" s="5">
        <f>222 / 86400</f>
        <v>2.5694444444444445E-3</v>
      </c>
      <c r="L192" s="5">
        <f>20 / 86400</f>
        <v>2.3148148148148149E-4</v>
      </c>
    </row>
    <row r="193" spans="1:12" x14ac:dyDescent="0.25">
      <c r="A193" s="3">
        <v>45707.25481481482</v>
      </c>
      <c r="B193" t="s">
        <v>91</v>
      </c>
      <c r="C193" s="3">
        <v>45707.256643518514</v>
      </c>
      <c r="D193" t="s">
        <v>91</v>
      </c>
      <c r="E193" s="4">
        <v>1.4355665232539176</v>
      </c>
      <c r="F193" s="4">
        <v>348966.87655689829</v>
      </c>
      <c r="G193" s="4">
        <v>348968.31212342152</v>
      </c>
      <c r="H193" s="5">
        <f t="shared" si="0"/>
        <v>0</v>
      </c>
      <c r="I193" t="s">
        <v>29</v>
      </c>
      <c r="J193" t="s">
        <v>169</v>
      </c>
      <c r="K193" s="5">
        <f>158 / 86400</f>
        <v>1.8287037037037037E-3</v>
      </c>
      <c r="L193" s="5">
        <f>20 / 86400</f>
        <v>2.3148148148148149E-4</v>
      </c>
    </row>
    <row r="194" spans="1:12" x14ac:dyDescent="0.25">
      <c r="A194" s="3">
        <v>45707.256874999999</v>
      </c>
      <c r="B194" t="s">
        <v>91</v>
      </c>
      <c r="C194" s="3">
        <v>45707.257337962961</v>
      </c>
      <c r="D194" t="s">
        <v>186</v>
      </c>
      <c r="E194" s="4">
        <v>0.16893192774057389</v>
      </c>
      <c r="F194" s="4">
        <v>348968.31485223782</v>
      </c>
      <c r="G194" s="4">
        <v>348968.48378416558</v>
      </c>
      <c r="H194" s="5">
        <f t="shared" si="0"/>
        <v>0</v>
      </c>
      <c r="I194" t="s">
        <v>142</v>
      </c>
      <c r="J194" t="s">
        <v>46</v>
      </c>
      <c r="K194" s="5">
        <f>40 / 86400</f>
        <v>4.6296296296296298E-4</v>
      </c>
      <c r="L194" s="5">
        <f>20 / 86400</f>
        <v>2.3148148148148149E-4</v>
      </c>
    </row>
    <row r="195" spans="1:12" x14ac:dyDescent="0.25">
      <c r="A195" s="3">
        <v>45707.257569444446</v>
      </c>
      <c r="B195" t="s">
        <v>186</v>
      </c>
      <c r="C195" s="3">
        <v>45707.258958333332</v>
      </c>
      <c r="D195" t="s">
        <v>187</v>
      </c>
      <c r="E195" s="4">
        <v>0.59614962279796602</v>
      </c>
      <c r="F195" s="4">
        <v>348968.49665046303</v>
      </c>
      <c r="G195" s="4">
        <v>348969.09280008584</v>
      </c>
      <c r="H195" s="5">
        <f t="shared" si="0"/>
        <v>0</v>
      </c>
      <c r="I195" t="s">
        <v>138</v>
      </c>
      <c r="J195" t="s">
        <v>27</v>
      </c>
      <c r="K195" s="5">
        <f>120 / 86400</f>
        <v>1.3888888888888889E-3</v>
      </c>
      <c r="L195" s="5">
        <f>2 / 86400</f>
        <v>2.3148148148148147E-5</v>
      </c>
    </row>
    <row r="196" spans="1:12" x14ac:dyDescent="0.25">
      <c r="A196" s="3">
        <v>45707.258981481486</v>
      </c>
      <c r="B196" t="s">
        <v>187</v>
      </c>
      <c r="C196" s="3">
        <v>45707.25990740741</v>
      </c>
      <c r="D196" t="s">
        <v>186</v>
      </c>
      <c r="E196" s="4">
        <v>0.22368436634540559</v>
      </c>
      <c r="F196" s="4">
        <v>348969.09746759559</v>
      </c>
      <c r="G196" s="4">
        <v>348969.32115196192</v>
      </c>
      <c r="H196" s="5">
        <f t="shared" si="0"/>
        <v>0</v>
      </c>
      <c r="I196" t="s">
        <v>84</v>
      </c>
      <c r="J196" t="s">
        <v>123</v>
      </c>
      <c r="K196" s="5">
        <f>80 / 86400</f>
        <v>9.2592592592592596E-4</v>
      </c>
      <c r="L196" s="5">
        <f>20 / 86400</f>
        <v>2.3148148148148149E-4</v>
      </c>
    </row>
    <row r="197" spans="1:12" x14ac:dyDescent="0.25">
      <c r="A197" s="3">
        <v>45707.260138888887</v>
      </c>
      <c r="B197" t="s">
        <v>186</v>
      </c>
      <c r="C197" s="3">
        <v>45707.261597222227</v>
      </c>
      <c r="D197" t="s">
        <v>188</v>
      </c>
      <c r="E197" s="4">
        <v>0.16513523310422898</v>
      </c>
      <c r="F197" s="4">
        <v>348969.33493275003</v>
      </c>
      <c r="G197" s="4">
        <v>348969.50006798317</v>
      </c>
      <c r="H197" s="5">
        <f t="shared" si="0"/>
        <v>0</v>
      </c>
      <c r="I197" t="s">
        <v>123</v>
      </c>
      <c r="J197" t="s">
        <v>134</v>
      </c>
      <c r="K197" s="5">
        <f>126 / 86400</f>
        <v>1.4583333333333334E-3</v>
      </c>
      <c r="L197" s="5">
        <f>20 / 86400</f>
        <v>2.3148148148148149E-4</v>
      </c>
    </row>
    <row r="198" spans="1:12" x14ac:dyDescent="0.25">
      <c r="A198" s="3">
        <v>45707.261828703704</v>
      </c>
      <c r="B198" t="s">
        <v>188</v>
      </c>
      <c r="C198" s="3">
        <v>45707.262060185181</v>
      </c>
      <c r="D198" t="s">
        <v>188</v>
      </c>
      <c r="E198" s="4">
        <v>1.0831615269184112E-2</v>
      </c>
      <c r="F198" s="4">
        <v>348969.50473827909</v>
      </c>
      <c r="G198" s="4">
        <v>348969.5155698944</v>
      </c>
      <c r="H198" s="5">
        <f t="shared" si="0"/>
        <v>0</v>
      </c>
      <c r="I198" t="s">
        <v>101</v>
      </c>
      <c r="J198" t="s">
        <v>136</v>
      </c>
      <c r="K198" s="5">
        <f>20 / 86400</f>
        <v>2.3148148148148149E-4</v>
      </c>
      <c r="L198" s="5">
        <f>19 / 86400</f>
        <v>2.199074074074074E-4</v>
      </c>
    </row>
    <row r="199" spans="1:12" x14ac:dyDescent="0.25">
      <c r="A199" s="3">
        <v>45707.262280092589</v>
      </c>
      <c r="B199" t="s">
        <v>186</v>
      </c>
      <c r="C199" s="3">
        <v>45707.262511574074</v>
      </c>
      <c r="D199" t="s">
        <v>189</v>
      </c>
      <c r="E199" s="4">
        <v>6.3797662854194637E-2</v>
      </c>
      <c r="F199" s="4">
        <v>348969.556050846</v>
      </c>
      <c r="G199" s="4">
        <v>348969.61984850885</v>
      </c>
      <c r="H199" s="5">
        <f t="shared" si="0"/>
        <v>0</v>
      </c>
      <c r="I199" t="s">
        <v>132</v>
      </c>
      <c r="J199" t="s">
        <v>137</v>
      </c>
      <c r="K199" s="5">
        <f>20 / 86400</f>
        <v>2.3148148148148149E-4</v>
      </c>
      <c r="L199" s="5">
        <f>20 / 86400</f>
        <v>2.3148148148148149E-4</v>
      </c>
    </row>
    <row r="200" spans="1:12" x14ac:dyDescent="0.25">
      <c r="A200" s="3">
        <v>45707.262743055559</v>
      </c>
      <c r="B200" t="s">
        <v>186</v>
      </c>
      <c r="C200" s="3">
        <v>45707.264560185184</v>
      </c>
      <c r="D200" t="s">
        <v>104</v>
      </c>
      <c r="E200" s="4">
        <v>1.2705137491822243</v>
      </c>
      <c r="F200" s="4">
        <v>348969.64434188145</v>
      </c>
      <c r="G200" s="4">
        <v>348970.91485563066</v>
      </c>
      <c r="H200" s="5">
        <f t="shared" si="0"/>
        <v>0</v>
      </c>
      <c r="I200" t="s">
        <v>160</v>
      </c>
      <c r="J200" t="s">
        <v>185</v>
      </c>
      <c r="K200" s="5">
        <f>157 / 86400</f>
        <v>1.8171296296296297E-3</v>
      </c>
      <c r="L200" s="5">
        <f>60 / 86400</f>
        <v>6.9444444444444447E-4</v>
      </c>
    </row>
    <row r="201" spans="1:12" x14ac:dyDescent="0.25">
      <c r="A201" s="3">
        <v>45707.26525462963</v>
      </c>
      <c r="B201" t="s">
        <v>190</v>
      </c>
      <c r="C201" s="3">
        <v>45707.265486111108</v>
      </c>
      <c r="D201" t="s">
        <v>104</v>
      </c>
      <c r="E201" s="4">
        <v>4.3222659826278688E-2</v>
      </c>
      <c r="F201" s="4">
        <v>348971.05444675829</v>
      </c>
      <c r="G201" s="4">
        <v>348971.09766941809</v>
      </c>
      <c r="H201" s="5">
        <f t="shared" si="0"/>
        <v>0</v>
      </c>
      <c r="I201" t="s">
        <v>181</v>
      </c>
      <c r="J201" t="s">
        <v>31</v>
      </c>
      <c r="K201" s="5">
        <f>20 / 86400</f>
        <v>2.3148148148148149E-4</v>
      </c>
      <c r="L201" s="5">
        <f>20 / 86400</f>
        <v>2.3148148148148149E-4</v>
      </c>
    </row>
    <row r="202" spans="1:12" x14ac:dyDescent="0.25">
      <c r="A202" s="3">
        <v>45707.265717592592</v>
      </c>
      <c r="B202" t="s">
        <v>104</v>
      </c>
      <c r="C202" s="3">
        <v>45707.266643518524</v>
      </c>
      <c r="D202" t="s">
        <v>104</v>
      </c>
      <c r="E202" s="4">
        <v>0.76291878247261047</v>
      </c>
      <c r="F202" s="4">
        <v>348971.11421297031</v>
      </c>
      <c r="G202" s="4">
        <v>348971.87713175279</v>
      </c>
      <c r="H202" s="5">
        <f t="shared" si="0"/>
        <v>0</v>
      </c>
      <c r="I202" t="s">
        <v>100</v>
      </c>
      <c r="J202" t="s">
        <v>191</v>
      </c>
      <c r="K202" s="5">
        <f>80 / 86400</f>
        <v>9.2592592592592596E-4</v>
      </c>
      <c r="L202" s="5">
        <f>20 / 86400</f>
        <v>2.3148148148148149E-4</v>
      </c>
    </row>
    <row r="203" spans="1:12" x14ac:dyDescent="0.25">
      <c r="A203" s="3">
        <v>45707.266875000001</v>
      </c>
      <c r="B203" t="s">
        <v>104</v>
      </c>
      <c r="C203" s="3">
        <v>45707.267106481479</v>
      </c>
      <c r="D203" t="s">
        <v>164</v>
      </c>
      <c r="E203" s="4">
        <v>0.11954177039861678</v>
      </c>
      <c r="F203" s="4">
        <v>348971.87786128314</v>
      </c>
      <c r="G203" s="4">
        <v>348971.99740305351</v>
      </c>
      <c r="H203" s="5">
        <f t="shared" si="0"/>
        <v>0</v>
      </c>
      <c r="I203" t="s">
        <v>127</v>
      </c>
      <c r="J203" t="s">
        <v>129</v>
      </c>
      <c r="K203" s="5">
        <f>20 / 86400</f>
        <v>2.3148148148148149E-4</v>
      </c>
      <c r="L203" s="5">
        <f>20 / 86400</f>
        <v>2.3148148148148149E-4</v>
      </c>
    </row>
    <row r="204" spans="1:12" x14ac:dyDescent="0.25">
      <c r="A204" s="3">
        <v>45707.267337962963</v>
      </c>
      <c r="B204" t="s">
        <v>164</v>
      </c>
      <c r="C204" s="3">
        <v>45707.267939814818</v>
      </c>
      <c r="D204" t="s">
        <v>164</v>
      </c>
      <c r="E204" s="4">
        <v>0.4559297707080841</v>
      </c>
      <c r="F204" s="4">
        <v>348972.14499959367</v>
      </c>
      <c r="G204" s="4">
        <v>348972.60092936439</v>
      </c>
      <c r="H204" s="5">
        <f t="shared" si="0"/>
        <v>0</v>
      </c>
      <c r="I204" t="s">
        <v>153</v>
      </c>
      <c r="J204" t="s">
        <v>142</v>
      </c>
      <c r="K204" s="5">
        <f>52 / 86400</f>
        <v>6.018518518518519E-4</v>
      </c>
      <c r="L204" s="5">
        <f>4 / 86400</f>
        <v>4.6296296296296294E-5</v>
      </c>
    </row>
    <row r="205" spans="1:12" x14ac:dyDescent="0.25">
      <c r="A205" s="3">
        <v>45707.26798611111</v>
      </c>
      <c r="B205" t="s">
        <v>164</v>
      </c>
      <c r="C205" s="3">
        <v>45707.269375000003</v>
      </c>
      <c r="D205" t="s">
        <v>192</v>
      </c>
      <c r="E205" s="4">
        <v>0.8666320295929909</v>
      </c>
      <c r="F205" s="4">
        <v>348972.60565602675</v>
      </c>
      <c r="G205" s="4">
        <v>348973.47228805633</v>
      </c>
      <c r="H205" s="5">
        <f t="shared" si="0"/>
        <v>0</v>
      </c>
      <c r="I205" t="s">
        <v>193</v>
      </c>
      <c r="J205" t="s">
        <v>155</v>
      </c>
      <c r="K205" s="5">
        <f>120 / 86400</f>
        <v>1.3888888888888889E-3</v>
      </c>
      <c r="L205" s="5">
        <f>20 / 86400</f>
        <v>2.3148148148148149E-4</v>
      </c>
    </row>
    <row r="206" spans="1:12" x14ac:dyDescent="0.25">
      <c r="A206" s="3">
        <v>45707.269606481481</v>
      </c>
      <c r="B206" t="s">
        <v>192</v>
      </c>
      <c r="C206" s="3">
        <v>45707.270069444443</v>
      </c>
      <c r="D206" t="s">
        <v>192</v>
      </c>
      <c r="E206" s="4">
        <v>0.22017843908071519</v>
      </c>
      <c r="F206" s="4">
        <v>348973.47810298781</v>
      </c>
      <c r="G206" s="4">
        <v>348973.69828142691</v>
      </c>
      <c r="H206" s="5">
        <f t="shared" si="0"/>
        <v>0</v>
      </c>
      <c r="I206" t="s">
        <v>194</v>
      </c>
      <c r="J206" t="s">
        <v>149</v>
      </c>
      <c r="K206" s="5">
        <f>40 / 86400</f>
        <v>4.6296296296296298E-4</v>
      </c>
      <c r="L206" s="5">
        <f>20 / 86400</f>
        <v>2.3148148148148149E-4</v>
      </c>
    </row>
    <row r="207" spans="1:12" x14ac:dyDescent="0.25">
      <c r="A207" s="3">
        <v>45707.270300925928</v>
      </c>
      <c r="B207" t="s">
        <v>192</v>
      </c>
      <c r="C207" s="3">
        <v>45707.274004629631</v>
      </c>
      <c r="D207" t="s">
        <v>195</v>
      </c>
      <c r="E207" s="4">
        <v>2.3478585106730461</v>
      </c>
      <c r="F207" s="4">
        <v>348973.71171716036</v>
      </c>
      <c r="G207" s="4">
        <v>348976.05957567104</v>
      </c>
      <c r="H207" s="5">
        <f t="shared" si="0"/>
        <v>0</v>
      </c>
      <c r="I207" t="s">
        <v>193</v>
      </c>
      <c r="J207" t="s">
        <v>155</v>
      </c>
      <c r="K207" s="5">
        <f>320 / 86400</f>
        <v>3.7037037037037038E-3</v>
      </c>
      <c r="L207" s="5">
        <f>20 / 86400</f>
        <v>2.3148148148148149E-4</v>
      </c>
    </row>
    <row r="208" spans="1:12" x14ac:dyDescent="0.25">
      <c r="A208" s="3">
        <v>45707.274236111116</v>
      </c>
      <c r="B208" t="s">
        <v>196</v>
      </c>
      <c r="C208" s="3">
        <v>45707.274733796294</v>
      </c>
      <c r="D208" t="s">
        <v>196</v>
      </c>
      <c r="E208" s="4">
        <v>1.7649619340896608E-2</v>
      </c>
      <c r="F208" s="4">
        <v>348976.15142712282</v>
      </c>
      <c r="G208" s="4">
        <v>348976.1690767422</v>
      </c>
      <c r="H208" s="5">
        <f t="shared" si="0"/>
        <v>0</v>
      </c>
      <c r="I208" t="s">
        <v>134</v>
      </c>
      <c r="J208" t="s">
        <v>127</v>
      </c>
      <c r="K208" s="5">
        <f>43 / 86400</f>
        <v>4.9768518518518521E-4</v>
      </c>
      <c r="L208" s="5">
        <f>40 / 86400</f>
        <v>4.6296296296296298E-4</v>
      </c>
    </row>
    <row r="209" spans="1:12" x14ac:dyDescent="0.25">
      <c r="A209" s="3">
        <v>45707.275196759263</v>
      </c>
      <c r="B209" t="s">
        <v>197</v>
      </c>
      <c r="C209" s="3">
        <v>45707.27542824074</v>
      </c>
      <c r="D209" t="s">
        <v>198</v>
      </c>
      <c r="E209" s="4">
        <v>5.3759323358535767E-3</v>
      </c>
      <c r="F209" s="4">
        <v>348976.1756478778</v>
      </c>
      <c r="G209" s="4">
        <v>348976.18102381018</v>
      </c>
      <c r="H209" s="5">
        <f t="shared" si="0"/>
        <v>0</v>
      </c>
      <c r="I209" t="s">
        <v>127</v>
      </c>
      <c r="J209" t="s">
        <v>127</v>
      </c>
      <c r="K209" s="5">
        <f>20 / 86400</f>
        <v>2.3148148148148149E-4</v>
      </c>
      <c r="L209" s="5">
        <f>20 / 86400</f>
        <v>2.3148148148148149E-4</v>
      </c>
    </row>
    <row r="210" spans="1:12" x14ac:dyDescent="0.25">
      <c r="A210" s="3">
        <v>45707.275659722218</v>
      </c>
      <c r="B210" t="s">
        <v>196</v>
      </c>
      <c r="C210" s="3">
        <v>45707.276203703703</v>
      </c>
      <c r="D210" t="s">
        <v>196</v>
      </c>
      <c r="E210" s="4">
        <v>2.0895207107067108E-2</v>
      </c>
      <c r="F210" s="4">
        <v>348976.1903444145</v>
      </c>
      <c r="G210" s="4">
        <v>348976.21123962157</v>
      </c>
      <c r="H210" s="5">
        <f t="shared" si="0"/>
        <v>0</v>
      </c>
      <c r="I210" t="s">
        <v>101</v>
      </c>
      <c r="J210" t="s">
        <v>136</v>
      </c>
      <c r="K210" s="5">
        <f>47 / 86400</f>
        <v>5.4398148148148144E-4</v>
      </c>
      <c r="L210" s="5">
        <f>40 / 86400</f>
        <v>4.6296296296296298E-4</v>
      </c>
    </row>
    <row r="211" spans="1:12" x14ac:dyDescent="0.25">
      <c r="A211" s="3">
        <v>45707.276666666672</v>
      </c>
      <c r="B211" t="s">
        <v>198</v>
      </c>
      <c r="C211" s="3">
        <v>45707.276898148149</v>
      </c>
      <c r="D211" t="s">
        <v>198</v>
      </c>
      <c r="E211" s="4">
        <v>8.6222682595252995E-3</v>
      </c>
      <c r="F211" s="4">
        <v>348976.21655975928</v>
      </c>
      <c r="G211" s="4">
        <v>348976.2251820275</v>
      </c>
      <c r="H211" s="5">
        <f t="shared" si="0"/>
        <v>0</v>
      </c>
      <c r="I211" t="s">
        <v>127</v>
      </c>
      <c r="J211" t="s">
        <v>136</v>
      </c>
      <c r="K211" s="5">
        <f>20 / 86400</f>
        <v>2.3148148148148149E-4</v>
      </c>
      <c r="L211" s="5">
        <f>18 / 86400</f>
        <v>2.0833333333333335E-4</v>
      </c>
    </row>
    <row r="212" spans="1:12" x14ac:dyDescent="0.25">
      <c r="A212" s="3">
        <v>45707.277106481481</v>
      </c>
      <c r="B212" t="s">
        <v>198</v>
      </c>
      <c r="C212" s="3">
        <v>45707.277407407411</v>
      </c>
      <c r="D212" t="s">
        <v>198</v>
      </c>
      <c r="E212" s="4">
        <v>9.7361264824867254E-3</v>
      </c>
      <c r="F212" s="4">
        <v>348976.23677354091</v>
      </c>
      <c r="G212" s="4">
        <v>348976.24650966737</v>
      </c>
      <c r="H212" s="5">
        <f t="shared" si="0"/>
        <v>0</v>
      </c>
      <c r="I212" t="s">
        <v>101</v>
      </c>
      <c r="J212" t="s">
        <v>127</v>
      </c>
      <c r="K212" s="5">
        <f>26 / 86400</f>
        <v>3.0092592592592595E-4</v>
      </c>
      <c r="L212" s="5">
        <f>42 / 86400</f>
        <v>4.861111111111111E-4</v>
      </c>
    </row>
    <row r="213" spans="1:12" x14ac:dyDescent="0.25">
      <c r="A213" s="3">
        <v>45707.27789351852</v>
      </c>
      <c r="B213" t="s">
        <v>198</v>
      </c>
      <c r="C213" s="3">
        <v>45707.281585648147</v>
      </c>
      <c r="D213" t="s">
        <v>199</v>
      </c>
      <c r="E213" s="4">
        <v>2.0677169024944306</v>
      </c>
      <c r="F213" s="4">
        <v>348976.27110806905</v>
      </c>
      <c r="G213" s="4">
        <v>348978.33882497158</v>
      </c>
      <c r="H213" s="5">
        <f t="shared" si="0"/>
        <v>0</v>
      </c>
      <c r="I213" t="s">
        <v>100</v>
      </c>
      <c r="J213" t="s">
        <v>35</v>
      </c>
      <c r="K213" s="5">
        <f>319 / 86400</f>
        <v>3.6921296296296298E-3</v>
      </c>
      <c r="L213" s="5">
        <f>4 / 86400</f>
        <v>4.6296296296296294E-5</v>
      </c>
    </row>
    <row r="214" spans="1:12" x14ac:dyDescent="0.25">
      <c r="A214" s="3">
        <v>45707.281631944439</v>
      </c>
      <c r="B214" t="s">
        <v>200</v>
      </c>
      <c r="C214" s="3">
        <v>45707.282141203701</v>
      </c>
      <c r="D214" t="s">
        <v>201</v>
      </c>
      <c r="E214" s="4">
        <v>0.25790678119659421</v>
      </c>
      <c r="F214" s="4">
        <v>348978.34409632056</v>
      </c>
      <c r="G214" s="4">
        <v>348978.60200310178</v>
      </c>
      <c r="H214" s="5">
        <f t="shared" si="0"/>
        <v>0</v>
      </c>
      <c r="I214" t="s">
        <v>202</v>
      </c>
      <c r="J214" t="s">
        <v>166</v>
      </c>
      <c r="K214" s="5">
        <f>44 / 86400</f>
        <v>5.0925925925925921E-4</v>
      </c>
      <c r="L214" s="5">
        <f>60 / 86400</f>
        <v>6.9444444444444447E-4</v>
      </c>
    </row>
    <row r="215" spans="1:12" x14ac:dyDescent="0.25">
      <c r="A215" s="3">
        <v>45707.282835648148</v>
      </c>
      <c r="B215" t="s">
        <v>201</v>
      </c>
      <c r="C215" s="3">
        <v>45707.284409722226</v>
      </c>
      <c r="D215" t="s">
        <v>203</v>
      </c>
      <c r="E215" s="4">
        <v>0.71163318181037905</v>
      </c>
      <c r="F215" s="4">
        <v>348978.616151558</v>
      </c>
      <c r="G215" s="4">
        <v>348979.32778473978</v>
      </c>
      <c r="H215" s="5">
        <f t="shared" si="0"/>
        <v>0</v>
      </c>
      <c r="I215" t="s">
        <v>142</v>
      </c>
      <c r="J215" t="s">
        <v>33</v>
      </c>
      <c r="K215" s="5">
        <f>136 / 86400</f>
        <v>1.5740740740740741E-3</v>
      </c>
      <c r="L215" s="5">
        <f>3 / 86400</f>
        <v>3.4722222222222222E-5</v>
      </c>
    </row>
    <row r="216" spans="1:12" x14ac:dyDescent="0.25">
      <c r="A216" s="3">
        <v>45707.284444444449</v>
      </c>
      <c r="B216" t="s">
        <v>203</v>
      </c>
      <c r="C216" s="3">
        <v>45707.290925925925</v>
      </c>
      <c r="D216" t="s">
        <v>204</v>
      </c>
      <c r="E216" s="4">
        <v>2.3048891522884367</v>
      </c>
      <c r="F216" s="4">
        <v>348979.33161397174</v>
      </c>
      <c r="G216" s="4">
        <v>348981.63650312403</v>
      </c>
      <c r="H216" s="5">
        <f t="shared" si="0"/>
        <v>0</v>
      </c>
      <c r="I216" t="s">
        <v>181</v>
      </c>
      <c r="J216" t="s">
        <v>46</v>
      </c>
      <c r="K216" s="5">
        <f>560 / 86400</f>
        <v>6.4814814814814813E-3</v>
      </c>
      <c r="L216" s="5">
        <f>18 / 86400</f>
        <v>2.0833333333333335E-4</v>
      </c>
    </row>
    <row r="217" spans="1:12" x14ac:dyDescent="0.25">
      <c r="A217" s="3">
        <v>45707.291134259256</v>
      </c>
      <c r="B217" t="s">
        <v>205</v>
      </c>
      <c r="C217" s="3">
        <v>45707.292951388888</v>
      </c>
      <c r="D217" t="s">
        <v>114</v>
      </c>
      <c r="E217" s="4">
        <v>0.57676119452714925</v>
      </c>
      <c r="F217" s="4">
        <v>348981.6552773366</v>
      </c>
      <c r="G217" s="4">
        <v>348982.2320385311</v>
      </c>
      <c r="H217" s="5">
        <f t="shared" si="0"/>
        <v>0</v>
      </c>
      <c r="I217" t="s">
        <v>185</v>
      </c>
      <c r="J217" t="s">
        <v>62</v>
      </c>
      <c r="K217" s="5">
        <f>157 / 86400</f>
        <v>1.8171296296296297E-3</v>
      </c>
      <c r="L217" s="5">
        <f>20 / 86400</f>
        <v>2.3148148148148149E-4</v>
      </c>
    </row>
    <row r="218" spans="1:12" x14ac:dyDescent="0.25">
      <c r="A218" s="3">
        <v>45707.293182870373</v>
      </c>
      <c r="B218" t="s">
        <v>114</v>
      </c>
      <c r="C218" s="3">
        <v>45707.294108796297</v>
      </c>
      <c r="D218" t="s">
        <v>206</v>
      </c>
      <c r="E218" s="4">
        <v>0.42305934256315231</v>
      </c>
      <c r="F218" s="4">
        <v>348982.3914044557</v>
      </c>
      <c r="G218" s="4">
        <v>348982.81446379831</v>
      </c>
      <c r="H218" s="5">
        <f t="shared" si="0"/>
        <v>0</v>
      </c>
      <c r="I218" t="s">
        <v>147</v>
      </c>
      <c r="J218" t="s">
        <v>33</v>
      </c>
      <c r="K218" s="5">
        <f>80 / 86400</f>
        <v>9.2592592592592596E-4</v>
      </c>
      <c r="L218" s="5">
        <f>238 / 86400</f>
        <v>2.7546296296296294E-3</v>
      </c>
    </row>
    <row r="219" spans="1:12" x14ac:dyDescent="0.25">
      <c r="A219" s="3">
        <v>45707.29686342593</v>
      </c>
      <c r="B219" t="s">
        <v>206</v>
      </c>
      <c r="C219" s="3">
        <v>45707.297395833331</v>
      </c>
      <c r="D219" t="s">
        <v>207</v>
      </c>
      <c r="E219" s="4">
        <v>0.20032696712017059</v>
      </c>
      <c r="F219" s="4">
        <v>348982.90253671742</v>
      </c>
      <c r="G219" s="4">
        <v>348983.10286368453</v>
      </c>
      <c r="H219" s="5">
        <f t="shared" si="0"/>
        <v>0</v>
      </c>
      <c r="I219" t="s">
        <v>151</v>
      </c>
      <c r="J219" t="s">
        <v>20</v>
      </c>
      <c r="K219" s="5">
        <f>46 / 86400</f>
        <v>5.3240740740740744E-4</v>
      </c>
      <c r="L219" s="5">
        <f>53 / 86400</f>
        <v>6.134259259259259E-4</v>
      </c>
    </row>
    <row r="220" spans="1:12" x14ac:dyDescent="0.25">
      <c r="A220" s="3">
        <v>45707.298009259262</v>
      </c>
      <c r="B220" t="s">
        <v>208</v>
      </c>
      <c r="C220" s="3">
        <v>45707.298935185187</v>
      </c>
      <c r="D220" t="s">
        <v>209</v>
      </c>
      <c r="E220" s="4">
        <v>0.90294495910406114</v>
      </c>
      <c r="F220" s="4">
        <v>348983.1329429365</v>
      </c>
      <c r="G220" s="4">
        <v>348984.03588789556</v>
      </c>
      <c r="H220" s="5">
        <f t="shared" si="0"/>
        <v>0</v>
      </c>
      <c r="I220" t="s">
        <v>180</v>
      </c>
      <c r="J220" t="s">
        <v>202</v>
      </c>
      <c r="K220" s="5">
        <f>80 / 86400</f>
        <v>9.2592592592592596E-4</v>
      </c>
      <c r="L220" s="5">
        <f>9 / 86400</f>
        <v>1.0416666666666667E-4</v>
      </c>
    </row>
    <row r="221" spans="1:12" x14ac:dyDescent="0.25">
      <c r="A221" s="3">
        <v>45707.299039351856</v>
      </c>
      <c r="B221" t="s">
        <v>210</v>
      </c>
      <c r="C221" s="3">
        <v>45707.29996527778</v>
      </c>
      <c r="D221" t="s">
        <v>211</v>
      </c>
      <c r="E221" s="4">
        <v>0.82385102003812793</v>
      </c>
      <c r="F221" s="4">
        <v>348984.05705022538</v>
      </c>
      <c r="G221" s="4">
        <v>348984.8809012454</v>
      </c>
      <c r="H221" s="5">
        <f t="shared" si="0"/>
        <v>0</v>
      </c>
      <c r="I221" t="s">
        <v>165</v>
      </c>
      <c r="J221" t="s">
        <v>194</v>
      </c>
      <c r="K221" s="5">
        <f>80 / 86400</f>
        <v>9.2592592592592596E-4</v>
      </c>
      <c r="L221" s="5">
        <f>20 / 86400</f>
        <v>2.3148148148148149E-4</v>
      </c>
    </row>
    <row r="222" spans="1:12" x14ac:dyDescent="0.25">
      <c r="A222" s="3">
        <v>45707.300196759257</v>
      </c>
      <c r="B222" t="s">
        <v>212</v>
      </c>
      <c r="C222" s="3">
        <v>45707.300659722227</v>
      </c>
      <c r="D222" t="s">
        <v>212</v>
      </c>
      <c r="E222" s="4">
        <v>0.35783746612071993</v>
      </c>
      <c r="F222" s="4">
        <v>348985.01636648981</v>
      </c>
      <c r="G222" s="4">
        <v>348985.37420395593</v>
      </c>
      <c r="H222" s="5">
        <f t="shared" si="0"/>
        <v>0</v>
      </c>
      <c r="I222" t="s">
        <v>213</v>
      </c>
      <c r="J222" t="s">
        <v>142</v>
      </c>
      <c r="K222" s="5">
        <f>40 / 86400</f>
        <v>4.6296296296296298E-4</v>
      </c>
      <c r="L222" s="5">
        <f>3 / 86400</f>
        <v>3.4722222222222222E-5</v>
      </c>
    </row>
    <row r="223" spans="1:12" x14ac:dyDescent="0.25">
      <c r="A223" s="3">
        <v>45707.30069444445</v>
      </c>
      <c r="B223" t="s">
        <v>145</v>
      </c>
      <c r="C223" s="3">
        <v>45707.302187499998</v>
      </c>
      <c r="D223" t="s">
        <v>214</v>
      </c>
      <c r="E223" s="4">
        <v>0.84550971752405168</v>
      </c>
      <c r="F223" s="4">
        <v>348985.37920189335</v>
      </c>
      <c r="G223" s="4">
        <v>348986.22471161088</v>
      </c>
      <c r="H223" s="5">
        <f t="shared" si="0"/>
        <v>0</v>
      </c>
      <c r="I223" t="s">
        <v>147</v>
      </c>
      <c r="J223" t="s">
        <v>151</v>
      </c>
      <c r="K223" s="5">
        <f>129 / 86400</f>
        <v>1.4930555555555556E-3</v>
      </c>
      <c r="L223" s="5">
        <f>20 / 86400</f>
        <v>2.3148148148148149E-4</v>
      </c>
    </row>
    <row r="224" spans="1:12" x14ac:dyDescent="0.25">
      <c r="A224" s="3">
        <v>45707.302418981482</v>
      </c>
      <c r="B224" t="s">
        <v>214</v>
      </c>
      <c r="C224" s="3">
        <v>45707.303113425922</v>
      </c>
      <c r="D224" t="s">
        <v>215</v>
      </c>
      <c r="E224" s="4">
        <v>0.26435626858472822</v>
      </c>
      <c r="F224" s="4">
        <v>348986.23285746889</v>
      </c>
      <c r="G224" s="4">
        <v>348986.49721373752</v>
      </c>
      <c r="H224" s="5">
        <f t="shared" si="0"/>
        <v>0</v>
      </c>
      <c r="I224" t="s">
        <v>161</v>
      </c>
      <c r="J224" t="s">
        <v>20</v>
      </c>
      <c r="K224" s="5">
        <f>60 / 86400</f>
        <v>6.9444444444444447E-4</v>
      </c>
      <c r="L224" s="5">
        <f>60 / 86400</f>
        <v>6.9444444444444447E-4</v>
      </c>
    </row>
    <row r="225" spans="1:12" x14ac:dyDescent="0.25">
      <c r="A225" s="3">
        <v>45707.303807870368</v>
      </c>
      <c r="B225" t="s">
        <v>216</v>
      </c>
      <c r="C225" s="3">
        <v>45707.304363425923</v>
      </c>
      <c r="D225" t="s">
        <v>217</v>
      </c>
      <c r="E225" s="4">
        <v>0.22276606512069702</v>
      </c>
      <c r="F225" s="4">
        <v>348986.55275552435</v>
      </c>
      <c r="G225" s="4">
        <v>348986.77552158944</v>
      </c>
      <c r="H225" s="5">
        <f t="shared" si="0"/>
        <v>0</v>
      </c>
      <c r="I225" t="s">
        <v>166</v>
      </c>
      <c r="J225" t="s">
        <v>37</v>
      </c>
      <c r="K225" s="5">
        <f>48 / 86400</f>
        <v>5.5555555555555556E-4</v>
      </c>
      <c r="L225" s="5">
        <f>19 / 86400</f>
        <v>2.199074074074074E-4</v>
      </c>
    </row>
    <row r="226" spans="1:12" x14ac:dyDescent="0.25">
      <c r="A226" s="3">
        <v>45707.304583333331</v>
      </c>
      <c r="B226" t="s">
        <v>217</v>
      </c>
      <c r="C226" s="3">
        <v>45707.3050462963</v>
      </c>
      <c r="D226" t="s">
        <v>218</v>
      </c>
      <c r="E226" s="4">
        <v>0.24987630414962769</v>
      </c>
      <c r="F226" s="4">
        <v>348986.7804839575</v>
      </c>
      <c r="G226" s="4">
        <v>348987.03036026162</v>
      </c>
      <c r="H226" s="5">
        <f t="shared" si="0"/>
        <v>0</v>
      </c>
      <c r="I226" t="s">
        <v>202</v>
      </c>
      <c r="J226" t="s">
        <v>129</v>
      </c>
      <c r="K226" s="5">
        <f>40 / 86400</f>
        <v>4.6296296296296298E-4</v>
      </c>
      <c r="L226" s="5">
        <f>9 / 86400</f>
        <v>1.0416666666666667E-4</v>
      </c>
    </row>
    <row r="227" spans="1:12" x14ac:dyDescent="0.25">
      <c r="A227" s="3">
        <v>45707.305150462962</v>
      </c>
      <c r="B227" t="s">
        <v>218</v>
      </c>
      <c r="C227" s="3">
        <v>45707.305613425924</v>
      </c>
      <c r="D227" t="s">
        <v>219</v>
      </c>
      <c r="E227" s="4">
        <v>0.18764305728673936</v>
      </c>
      <c r="F227" s="4">
        <v>348987.03573100304</v>
      </c>
      <c r="G227" s="4">
        <v>348987.22337406036</v>
      </c>
      <c r="H227" s="5">
        <f t="shared" si="0"/>
        <v>0</v>
      </c>
      <c r="I227" t="s">
        <v>129</v>
      </c>
      <c r="J227" t="s">
        <v>37</v>
      </c>
      <c r="K227" s="5">
        <f>40 / 86400</f>
        <v>4.6296296296296298E-4</v>
      </c>
      <c r="L227" s="5">
        <f>40 / 86400</f>
        <v>4.6296296296296298E-4</v>
      </c>
    </row>
    <row r="228" spans="1:12" x14ac:dyDescent="0.25">
      <c r="A228" s="3">
        <v>45707.306076388893</v>
      </c>
      <c r="B228" t="s">
        <v>220</v>
      </c>
      <c r="C228" s="3">
        <v>45707.308356481481</v>
      </c>
      <c r="D228" t="s">
        <v>221</v>
      </c>
      <c r="E228" s="4">
        <v>0.4150312021970749</v>
      </c>
      <c r="F228" s="4">
        <v>348987.28791362006</v>
      </c>
      <c r="G228" s="4">
        <v>348987.70294482226</v>
      </c>
      <c r="H228" s="5">
        <f t="shared" si="0"/>
        <v>0</v>
      </c>
      <c r="I228" t="s">
        <v>166</v>
      </c>
      <c r="J228" t="s">
        <v>31</v>
      </c>
      <c r="K228" s="5">
        <f>197 / 86400</f>
        <v>2.2800925925925927E-3</v>
      </c>
      <c r="L228" s="5">
        <f>7 / 86400</f>
        <v>8.1018518518518516E-5</v>
      </c>
    </row>
    <row r="229" spans="1:12" x14ac:dyDescent="0.25">
      <c r="A229" s="3">
        <v>45707.308437500003</v>
      </c>
      <c r="B229" t="s">
        <v>221</v>
      </c>
      <c r="C229" s="3">
        <v>45707.310439814813</v>
      </c>
      <c r="D229" t="s">
        <v>222</v>
      </c>
      <c r="E229" s="4">
        <v>0.78063399004936218</v>
      </c>
      <c r="F229" s="4">
        <v>348987.70770852693</v>
      </c>
      <c r="G229" s="4">
        <v>348988.48834251694</v>
      </c>
      <c r="H229" s="5">
        <f t="shared" si="0"/>
        <v>0</v>
      </c>
      <c r="I229" t="s">
        <v>174</v>
      </c>
      <c r="J229" t="s">
        <v>20</v>
      </c>
      <c r="K229" s="5">
        <f>173 / 86400</f>
        <v>2.0023148148148148E-3</v>
      </c>
      <c r="L229" s="5">
        <f>40 / 86400</f>
        <v>4.6296296296296298E-4</v>
      </c>
    </row>
    <row r="230" spans="1:12" x14ac:dyDescent="0.25">
      <c r="A230" s="3">
        <v>45707.310902777783</v>
      </c>
      <c r="B230" t="s">
        <v>223</v>
      </c>
      <c r="C230" s="3">
        <v>45707.311574074076</v>
      </c>
      <c r="D230" t="s">
        <v>22</v>
      </c>
      <c r="E230" s="4">
        <v>0.23848889583349228</v>
      </c>
      <c r="F230" s="4">
        <v>348988.52017047507</v>
      </c>
      <c r="G230" s="4">
        <v>348988.75865937088</v>
      </c>
      <c r="H230" s="5">
        <f t="shared" si="0"/>
        <v>0</v>
      </c>
      <c r="I230" t="s">
        <v>20</v>
      </c>
      <c r="J230" t="s">
        <v>46</v>
      </c>
      <c r="K230" s="5">
        <f>58 / 86400</f>
        <v>6.7129629629629625E-4</v>
      </c>
      <c r="L230" s="5">
        <f>100 / 86400</f>
        <v>1.1574074074074073E-3</v>
      </c>
    </row>
    <row r="231" spans="1:12" x14ac:dyDescent="0.25">
      <c r="A231" s="3">
        <v>45707.312731481477</v>
      </c>
      <c r="B231" t="s">
        <v>22</v>
      </c>
      <c r="C231" s="3">
        <v>45707.312962962962</v>
      </c>
      <c r="D231" t="s">
        <v>22</v>
      </c>
      <c r="E231" s="4">
        <v>5.1493275284767152E-2</v>
      </c>
      <c r="F231" s="4">
        <v>348988.79861946305</v>
      </c>
      <c r="G231" s="4">
        <v>348988.85011273832</v>
      </c>
      <c r="H231" s="5">
        <f t="shared" si="0"/>
        <v>0</v>
      </c>
      <c r="I231" t="s">
        <v>20</v>
      </c>
      <c r="J231" t="s">
        <v>132</v>
      </c>
      <c r="K231" s="5">
        <f>20 / 86400</f>
        <v>2.3148148148148149E-4</v>
      </c>
      <c r="L231" s="5">
        <f>32 / 86400</f>
        <v>3.7037037037037035E-4</v>
      </c>
    </row>
    <row r="232" spans="1:12" x14ac:dyDescent="0.25">
      <c r="A232" s="3">
        <v>45707.313333333332</v>
      </c>
      <c r="B232" t="s">
        <v>224</v>
      </c>
      <c r="C232" s="3">
        <v>45707.313796296294</v>
      </c>
      <c r="D232" t="s">
        <v>225</v>
      </c>
      <c r="E232" s="4">
        <v>4.3329639732837676E-2</v>
      </c>
      <c r="F232" s="4">
        <v>348988.86493602954</v>
      </c>
      <c r="G232" s="4">
        <v>348988.90826566931</v>
      </c>
      <c r="H232" s="5">
        <f t="shared" si="0"/>
        <v>0</v>
      </c>
      <c r="I232" t="s">
        <v>134</v>
      </c>
      <c r="J232" t="s">
        <v>58</v>
      </c>
      <c r="K232" s="5">
        <f>40 / 86400</f>
        <v>4.6296296296296298E-4</v>
      </c>
      <c r="L232" s="5">
        <f>120 / 86400</f>
        <v>1.3888888888888889E-3</v>
      </c>
    </row>
    <row r="233" spans="1:12" x14ac:dyDescent="0.25">
      <c r="A233" s="3">
        <v>45707.315185185187</v>
      </c>
      <c r="B233" t="s">
        <v>225</v>
      </c>
      <c r="C233" s="3">
        <v>45707.317418981482</v>
      </c>
      <c r="D233" t="s">
        <v>226</v>
      </c>
      <c r="E233" s="4">
        <v>0.3832684522867203</v>
      </c>
      <c r="F233" s="4">
        <v>348988.94414811855</v>
      </c>
      <c r="G233" s="4">
        <v>348989.32741657086</v>
      </c>
      <c r="H233" s="5">
        <f t="shared" si="0"/>
        <v>0</v>
      </c>
      <c r="I233" t="s">
        <v>37</v>
      </c>
      <c r="J233" t="s">
        <v>85</v>
      </c>
      <c r="K233" s="5">
        <f>193 / 86400</f>
        <v>2.2337962962962962E-3</v>
      </c>
      <c r="L233" s="5">
        <f>12 / 86400</f>
        <v>1.3888888888888889E-4</v>
      </c>
    </row>
    <row r="234" spans="1:12" x14ac:dyDescent="0.25">
      <c r="A234" s="3">
        <v>45707.317557870367</v>
      </c>
      <c r="B234" t="s">
        <v>227</v>
      </c>
      <c r="C234" s="3">
        <v>45707.318368055552</v>
      </c>
      <c r="D234" t="s">
        <v>228</v>
      </c>
      <c r="E234" s="4">
        <v>3.846730464696884E-2</v>
      </c>
      <c r="F234" s="4">
        <v>348989.33598972368</v>
      </c>
      <c r="G234" s="4">
        <v>348989.37445702835</v>
      </c>
      <c r="H234" s="5">
        <f t="shared" si="0"/>
        <v>0</v>
      </c>
      <c r="I234" t="s">
        <v>134</v>
      </c>
      <c r="J234" t="s">
        <v>136</v>
      </c>
      <c r="K234" s="5">
        <f>70 / 86400</f>
        <v>8.1018518518518516E-4</v>
      </c>
      <c r="L234" s="5">
        <f>80 / 86400</f>
        <v>9.2592592592592596E-4</v>
      </c>
    </row>
    <row r="235" spans="1:12" x14ac:dyDescent="0.25">
      <c r="A235" s="3">
        <v>45707.319293981476</v>
      </c>
      <c r="B235" t="s">
        <v>229</v>
      </c>
      <c r="C235" s="3">
        <v>45707.319988425923</v>
      </c>
      <c r="D235" t="s">
        <v>230</v>
      </c>
      <c r="E235" s="4">
        <v>9.9935796737670904E-2</v>
      </c>
      <c r="F235" s="4">
        <v>348989.55861434026</v>
      </c>
      <c r="G235" s="4">
        <v>348989.65855013696</v>
      </c>
      <c r="H235" s="5">
        <f t="shared" ref="H235:H298" si="1">0 / 86400</f>
        <v>0</v>
      </c>
      <c r="I235" t="s">
        <v>31</v>
      </c>
      <c r="J235" t="s">
        <v>101</v>
      </c>
      <c r="K235" s="5">
        <f>60 / 86400</f>
        <v>6.9444444444444447E-4</v>
      </c>
      <c r="L235" s="5">
        <f>20 / 86400</f>
        <v>2.3148148148148149E-4</v>
      </c>
    </row>
    <row r="236" spans="1:12" x14ac:dyDescent="0.25">
      <c r="A236" s="3">
        <v>45707.320219907408</v>
      </c>
      <c r="B236" t="s">
        <v>231</v>
      </c>
      <c r="C236" s="3">
        <v>45707.32068287037</v>
      </c>
      <c r="D236" t="s">
        <v>232</v>
      </c>
      <c r="E236" s="4">
        <v>3.7923983395099642E-2</v>
      </c>
      <c r="F236" s="4">
        <v>348989.71227599448</v>
      </c>
      <c r="G236" s="4">
        <v>348989.75019997789</v>
      </c>
      <c r="H236" s="5">
        <f t="shared" si="1"/>
        <v>0</v>
      </c>
      <c r="I236" t="s">
        <v>101</v>
      </c>
      <c r="J236" t="s">
        <v>24</v>
      </c>
      <c r="K236" s="5">
        <f>40 / 86400</f>
        <v>4.6296296296296298E-4</v>
      </c>
      <c r="L236" s="5">
        <f>60 / 86400</f>
        <v>6.9444444444444447E-4</v>
      </c>
    </row>
    <row r="237" spans="1:12" x14ac:dyDescent="0.25">
      <c r="A237" s="3">
        <v>45707.321377314816</v>
      </c>
      <c r="B237" t="s">
        <v>233</v>
      </c>
      <c r="C237" s="3">
        <v>45707.322534722218</v>
      </c>
      <c r="D237" t="s">
        <v>234</v>
      </c>
      <c r="E237" s="4">
        <v>0.64345964884758</v>
      </c>
      <c r="F237" s="4">
        <v>348989.84795919195</v>
      </c>
      <c r="G237" s="4">
        <v>348990.49141884077</v>
      </c>
      <c r="H237" s="5">
        <f t="shared" si="1"/>
        <v>0</v>
      </c>
      <c r="I237" t="s">
        <v>235</v>
      </c>
      <c r="J237" t="s">
        <v>35</v>
      </c>
      <c r="K237" s="5">
        <f>100 / 86400</f>
        <v>1.1574074074074073E-3</v>
      </c>
      <c r="L237" s="5">
        <f>58 / 86400</f>
        <v>6.7129629629629625E-4</v>
      </c>
    </row>
    <row r="238" spans="1:12" x14ac:dyDescent="0.25">
      <c r="A238" s="3">
        <v>45707.323206018518</v>
      </c>
      <c r="B238" t="s">
        <v>236</v>
      </c>
      <c r="C238" s="3">
        <v>45707.323576388888</v>
      </c>
      <c r="D238" t="s">
        <v>218</v>
      </c>
      <c r="E238" s="4">
        <v>0.2425932058095932</v>
      </c>
      <c r="F238" s="4">
        <v>348990.53690011782</v>
      </c>
      <c r="G238" s="4">
        <v>348990.77949332364</v>
      </c>
      <c r="H238" s="5">
        <f t="shared" si="1"/>
        <v>0</v>
      </c>
      <c r="I238" t="s">
        <v>181</v>
      </c>
      <c r="J238" t="s">
        <v>84</v>
      </c>
      <c r="K238" s="5">
        <f>32 / 86400</f>
        <v>3.7037037037037035E-4</v>
      </c>
      <c r="L238" s="5">
        <f>42 / 86400</f>
        <v>4.861111111111111E-4</v>
      </c>
    </row>
    <row r="239" spans="1:12" x14ac:dyDescent="0.25">
      <c r="A239" s="3">
        <v>45707.324062500003</v>
      </c>
      <c r="B239" t="s">
        <v>218</v>
      </c>
      <c r="C239" s="3">
        <v>45707.324756944443</v>
      </c>
      <c r="D239" t="s">
        <v>237</v>
      </c>
      <c r="E239" s="4">
        <v>0.33825683170557019</v>
      </c>
      <c r="F239" s="4">
        <v>348990.7926197722</v>
      </c>
      <c r="G239" s="4">
        <v>348991.13087660389</v>
      </c>
      <c r="H239" s="5">
        <f t="shared" si="1"/>
        <v>0</v>
      </c>
      <c r="I239" t="s">
        <v>172</v>
      </c>
      <c r="J239" t="s">
        <v>149</v>
      </c>
      <c r="K239" s="5">
        <f>60 / 86400</f>
        <v>6.9444444444444447E-4</v>
      </c>
      <c r="L239" s="5">
        <f>66 / 86400</f>
        <v>7.6388888888888893E-4</v>
      </c>
    </row>
    <row r="240" spans="1:12" x14ac:dyDescent="0.25">
      <c r="A240" s="3">
        <v>45707.325520833328</v>
      </c>
      <c r="B240" t="s">
        <v>237</v>
      </c>
      <c r="C240" s="3">
        <v>45707.326909722222</v>
      </c>
      <c r="D240" t="s">
        <v>214</v>
      </c>
      <c r="E240" s="4">
        <v>0.38218928897380827</v>
      </c>
      <c r="F240" s="4">
        <v>348991.14131327113</v>
      </c>
      <c r="G240" s="4">
        <v>348991.5235025601</v>
      </c>
      <c r="H240" s="5">
        <f t="shared" si="1"/>
        <v>0</v>
      </c>
      <c r="I240" t="s">
        <v>172</v>
      </c>
      <c r="J240" t="s">
        <v>137</v>
      </c>
      <c r="K240" s="5">
        <f>120 / 86400</f>
        <v>1.3888888888888889E-3</v>
      </c>
      <c r="L240" s="5">
        <f>20 / 86400</f>
        <v>2.3148148148148149E-4</v>
      </c>
    </row>
    <row r="241" spans="1:12" x14ac:dyDescent="0.25">
      <c r="A241" s="3">
        <v>45707.327141203699</v>
      </c>
      <c r="B241" t="s">
        <v>214</v>
      </c>
      <c r="C241" s="3">
        <v>45707.327384259261</v>
      </c>
      <c r="D241" t="s">
        <v>214</v>
      </c>
      <c r="E241" s="4">
        <v>3.2690719962120058E-3</v>
      </c>
      <c r="F241" s="4">
        <v>348991.53016221529</v>
      </c>
      <c r="G241" s="4">
        <v>348991.53343128727</v>
      </c>
      <c r="H241" s="5">
        <f t="shared" si="1"/>
        <v>0</v>
      </c>
      <c r="I241" t="s">
        <v>127</v>
      </c>
      <c r="J241" t="s">
        <v>127</v>
      </c>
      <c r="K241" s="5">
        <f>21 / 86400</f>
        <v>2.4305555555555555E-4</v>
      </c>
      <c r="L241" s="5">
        <f>3 / 86400</f>
        <v>3.4722222222222222E-5</v>
      </c>
    </row>
    <row r="242" spans="1:12" x14ac:dyDescent="0.25">
      <c r="A242" s="3">
        <v>45707.327418981484</v>
      </c>
      <c r="B242" t="s">
        <v>214</v>
      </c>
      <c r="C242" s="3">
        <v>45707.328032407408</v>
      </c>
      <c r="D242" t="s">
        <v>238</v>
      </c>
      <c r="E242" s="4">
        <v>0.24633857542276383</v>
      </c>
      <c r="F242" s="4">
        <v>348991.5391073639</v>
      </c>
      <c r="G242" s="4">
        <v>348991.78544593928</v>
      </c>
      <c r="H242" s="5">
        <f t="shared" si="1"/>
        <v>0</v>
      </c>
      <c r="I242" t="s">
        <v>30</v>
      </c>
      <c r="J242" t="s">
        <v>37</v>
      </c>
      <c r="K242" s="5">
        <f>53 / 86400</f>
        <v>6.134259259259259E-4</v>
      </c>
      <c r="L242" s="5">
        <f>20 / 86400</f>
        <v>2.3148148148148149E-4</v>
      </c>
    </row>
    <row r="243" spans="1:12" x14ac:dyDescent="0.25">
      <c r="A243" s="3">
        <v>45707.328263888892</v>
      </c>
      <c r="B243" t="s">
        <v>239</v>
      </c>
      <c r="C243" s="3">
        <v>45707.328564814816</v>
      </c>
      <c r="D243" t="s">
        <v>240</v>
      </c>
      <c r="E243" s="4">
        <v>5.5045867621898649E-2</v>
      </c>
      <c r="F243" s="4">
        <v>348991.80010112596</v>
      </c>
      <c r="G243" s="4">
        <v>348991.85514699359</v>
      </c>
      <c r="H243" s="5">
        <f t="shared" si="1"/>
        <v>0</v>
      </c>
      <c r="I243" t="s">
        <v>101</v>
      </c>
      <c r="J243" t="s">
        <v>31</v>
      </c>
      <c r="K243" s="5">
        <f>26 / 86400</f>
        <v>3.0092592592592595E-4</v>
      </c>
      <c r="L243" s="5">
        <f>20 / 86400</f>
        <v>2.3148148148148149E-4</v>
      </c>
    </row>
    <row r="244" spans="1:12" x14ac:dyDescent="0.25">
      <c r="A244" s="3">
        <v>45707.328796296293</v>
      </c>
      <c r="B244" t="s">
        <v>240</v>
      </c>
      <c r="C244" s="3">
        <v>45707.333599537036</v>
      </c>
      <c r="D244" t="s">
        <v>241</v>
      </c>
      <c r="E244" s="4">
        <v>2.8856824643611909</v>
      </c>
      <c r="F244" s="4">
        <v>348991.857354921</v>
      </c>
      <c r="G244" s="4">
        <v>348994.74303738534</v>
      </c>
      <c r="H244" s="5">
        <f t="shared" si="1"/>
        <v>0</v>
      </c>
      <c r="I244" t="s">
        <v>111</v>
      </c>
      <c r="J244" t="s">
        <v>30</v>
      </c>
      <c r="K244" s="5">
        <f>415 / 86400</f>
        <v>4.8032407407407407E-3</v>
      </c>
      <c r="L244" s="5">
        <f>15 / 86400</f>
        <v>1.7361111111111112E-4</v>
      </c>
    </row>
    <row r="245" spans="1:12" x14ac:dyDescent="0.25">
      <c r="A245" s="3">
        <v>45707.333773148144</v>
      </c>
      <c r="B245" t="s">
        <v>242</v>
      </c>
      <c r="C245" s="3">
        <v>45707.334236111114</v>
      </c>
      <c r="D245" t="s">
        <v>243</v>
      </c>
      <c r="E245" s="4">
        <v>9.5729801833629613E-2</v>
      </c>
      <c r="F245" s="4">
        <v>348994.74907307321</v>
      </c>
      <c r="G245" s="4">
        <v>348994.84480287501</v>
      </c>
      <c r="H245" s="5">
        <f t="shared" si="1"/>
        <v>0</v>
      </c>
      <c r="I245" t="s">
        <v>62</v>
      </c>
      <c r="J245" t="s">
        <v>132</v>
      </c>
      <c r="K245" s="5">
        <f>40 / 86400</f>
        <v>4.6296296296296298E-4</v>
      </c>
      <c r="L245" s="5">
        <f>86 / 86400</f>
        <v>9.9537037037037042E-4</v>
      </c>
    </row>
    <row r="246" spans="1:12" x14ac:dyDescent="0.25">
      <c r="A246" s="3">
        <v>45707.335231481484</v>
      </c>
      <c r="B246" t="s">
        <v>243</v>
      </c>
      <c r="C246" s="3">
        <v>45707.338414351849</v>
      </c>
      <c r="D246" t="s">
        <v>244</v>
      </c>
      <c r="E246" s="4">
        <v>0.849736237347126</v>
      </c>
      <c r="F246" s="4">
        <v>348994.86341960815</v>
      </c>
      <c r="G246" s="4">
        <v>348995.71315584553</v>
      </c>
      <c r="H246" s="5">
        <f t="shared" si="1"/>
        <v>0</v>
      </c>
      <c r="I246" t="s">
        <v>142</v>
      </c>
      <c r="J246" t="s">
        <v>137</v>
      </c>
      <c r="K246" s="5">
        <f>275 / 86400</f>
        <v>3.1828703703703702E-3</v>
      </c>
      <c r="L246" s="5">
        <f>20 / 86400</f>
        <v>2.3148148148148149E-4</v>
      </c>
    </row>
    <row r="247" spans="1:12" x14ac:dyDescent="0.25">
      <c r="A247" s="3">
        <v>45707.338645833333</v>
      </c>
      <c r="B247" t="s">
        <v>244</v>
      </c>
      <c r="C247" s="3">
        <v>45707.339108796295</v>
      </c>
      <c r="D247" t="s">
        <v>245</v>
      </c>
      <c r="E247" s="4">
        <v>5.0880675673484803E-2</v>
      </c>
      <c r="F247" s="4">
        <v>348995.7438635687</v>
      </c>
      <c r="G247" s="4">
        <v>348995.79474424437</v>
      </c>
      <c r="H247" s="5">
        <f t="shared" si="1"/>
        <v>0</v>
      </c>
      <c r="I247" t="s">
        <v>85</v>
      </c>
      <c r="J247" t="s">
        <v>134</v>
      </c>
      <c r="K247" s="5">
        <f>40 / 86400</f>
        <v>4.6296296296296298E-4</v>
      </c>
      <c r="L247" s="5">
        <f>4 / 86400</f>
        <v>4.6296296296296294E-5</v>
      </c>
    </row>
    <row r="248" spans="1:12" x14ac:dyDescent="0.25">
      <c r="A248" s="3">
        <v>45707.339155092588</v>
      </c>
      <c r="B248" t="s">
        <v>245</v>
      </c>
      <c r="C248" s="3">
        <v>45707.339618055557</v>
      </c>
      <c r="D248" t="s">
        <v>245</v>
      </c>
      <c r="E248" s="4">
        <v>8.1076249361038202E-2</v>
      </c>
      <c r="F248" s="4">
        <v>348995.79811242607</v>
      </c>
      <c r="G248" s="4">
        <v>348995.87918867538</v>
      </c>
      <c r="H248" s="5">
        <f t="shared" si="1"/>
        <v>0</v>
      </c>
      <c r="I248" t="s">
        <v>85</v>
      </c>
      <c r="J248" t="s">
        <v>85</v>
      </c>
      <c r="K248" s="5">
        <f>40 / 86400</f>
        <v>4.6296296296296298E-4</v>
      </c>
      <c r="L248" s="5">
        <f>16 / 86400</f>
        <v>1.8518518518518518E-4</v>
      </c>
    </row>
    <row r="249" spans="1:12" x14ac:dyDescent="0.25">
      <c r="A249" s="3">
        <v>45707.339803240742</v>
      </c>
      <c r="B249" t="s">
        <v>245</v>
      </c>
      <c r="C249" s="3">
        <v>45707.341597222221</v>
      </c>
      <c r="D249" t="s">
        <v>246</v>
      </c>
      <c r="E249" s="4">
        <v>0.53220835101604458</v>
      </c>
      <c r="F249" s="4">
        <v>348995.88698870077</v>
      </c>
      <c r="G249" s="4">
        <v>348996.41919705179</v>
      </c>
      <c r="H249" s="5">
        <f t="shared" si="1"/>
        <v>0</v>
      </c>
      <c r="I249" t="s">
        <v>151</v>
      </c>
      <c r="J249" t="s">
        <v>148</v>
      </c>
      <c r="K249" s="5">
        <f>155 / 86400</f>
        <v>1.7939814814814815E-3</v>
      </c>
      <c r="L249" s="5">
        <f>40 / 86400</f>
        <v>4.6296296296296298E-4</v>
      </c>
    </row>
    <row r="250" spans="1:12" x14ac:dyDescent="0.25">
      <c r="A250" s="3">
        <v>45707.342060185183</v>
      </c>
      <c r="B250" t="s">
        <v>247</v>
      </c>
      <c r="C250" s="3">
        <v>45707.343252314815</v>
      </c>
      <c r="D250" t="s">
        <v>248</v>
      </c>
      <c r="E250" s="4">
        <v>0.31891374599933625</v>
      </c>
      <c r="F250" s="4">
        <v>348996.46202252549</v>
      </c>
      <c r="G250" s="4">
        <v>348996.78093627148</v>
      </c>
      <c r="H250" s="5">
        <f t="shared" si="1"/>
        <v>0</v>
      </c>
      <c r="I250" t="s">
        <v>20</v>
      </c>
      <c r="J250" t="s">
        <v>137</v>
      </c>
      <c r="K250" s="5">
        <f>103 / 86400</f>
        <v>1.1921296296296296E-3</v>
      </c>
      <c r="L250" s="5">
        <f>40 / 86400</f>
        <v>4.6296296296296298E-4</v>
      </c>
    </row>
    <row r="251" spans="1:12" x14ac:dyDescent="0.25">
      <c r="A251" s="3">
        <v>45707.343715277777</v>
      </c>
      <c r="B251" t="s">
        <v>249</v>
      </c>
      <c r="C251" s="3">
        <v>45707.344444444447</v>
      </c>
      <c r="D251" t="s">
        <v>250</v>
      </c>
      <c r="E251" s="4">
        <v>0.44018286973237991</v>
      </c>
      <c r="F251" s="4">
        <v>348996.78761644446</v>
      </c>
      <c r="G251" s="4">
        <v>348997.22779931419</v>
      </c>
      <c r="H251" s="5">
        <f t="shared" si="1"/>
        <v>0</v>
      </c>
      <c r="I251" t="s">
        <v>251</v>
      </c>
      <c r="J251" t="s">
        <v>30</v>
      </c>
      <c r="K251" s="5">
        <f>63 / 86400</f>
        <v>7.291666666666667E-4</v>
      </c>
      <c r="L251" s="5">
        <f>120 / 86400</f>
        <v>1.3888888888888889E-3</v>
      </c>
    </row>
    <row r="252" spans="1:12" x14ac:dyDescent="0.25">
      <c r="A252" s="3">
        <v>45707.345833333333</v>
      </c>
      <c r="B252" t="s">
        <v>250</v>
      </c>
      <c r="C252" s="3">
        <v>45707.347916666666</v>
      </c>
      <c r="D252" t="s">
        <v>252</v>
      </c>
      <c r="E252" s="4">
        <v>1.4677106229662895</v>
      </c>
      <c r="F252" s="4">
        <v>348997.29147248407</v>
      </c>
      <c r="G252" s="4">
        <v>348998.759183107</v>
      </c>
      <c r="H252" s="5">
        <f t="shared" si="1"/>
        <v>0</v>
      </c>
      <c r="I252" t="s">
        <v>141</v>
      </c>
      <c r="J252" t="s">
        <v>185</v>
      </c>
      <c r="K252" s="5">
        <f>180 / 86400</f>
        <v>2.0833333333333333E-3</v>
      </c>
      <c r="L252" s="5">
        <f>20 / 86400</f>
        <v>2.3148148148148149E-4</v>
      </c>
    </row>
    <row r="253" spans="1:12" x14ac:dyDescent="0.25">
      <c r="A253" s="3">
        <v>45707.348148148143</v>
      </c>
      <c r="B253" t="s">
        <v>253</v>
      </c>
      <c r="C253" s="3">
        <v>45707.349641203706</v>
      </c>
      <c r="D253" t="s">
        <v>157</v>
      </c>
      <c r="E253" s="4">
        <v>0.94838863390684125</v>
      </c>
      <c r="F253" s="4">
        <v>348998.8096239412</v>
      </c>
      <c r="G253" s="4">
        <v>348999.7580125751</v>
      </c>
      <c r="H253" s="5">
        <f t="shared" si="1"/>
        <v>0</v>
      </c>
      <c r="I253" t="s">
        <v>254</v>
      </c>
      <c r="J253" t="s">
        <v>155</v>
      </c>
      <c r="K253" s="5">
        <f>129 / 86400</f>
        <v>1.4930555555555556E-3</v>
      </c>
      <c r="L253" s="5">
        <f>40 / 86400</f>
        <v>4.6296296296296298E-4</v>
      </c>
    </row>
    <row r="254" spans="1:12" x14ac:dyDescent="0.25">
      <c r="A254" s="3">
        <v>45707.350104166668</v>
      </c>
      <c r="B254" t="s">
        <v>158</v>
      </c>
      <c r="C254" s="3">
        <v>45707.352048611108</v>
      </c>
      <c r="D254" t="s">
        <v>255</v>
      </c>
      <c r="E254" s="4">
        <v>0.83957594662904744</v>
      </c>
      <c r="F254" s="4">
        <v>348999.76547648938</v>
      </c>
      <c r="G254" s="4">
        <v>349000.605052436</v>
      </c>
      <c r="H254" s="5">
        <f t="shared" si="1"/>
        <v>0</v>
      </c>
      <c r="I254" t="s">
        <v>256</v>
      </c>
      <c r="J254" t="s">
        <v>27</v>
      </c>
      <c r="K254" s="5">
        <f>168 / 86400</f>
        <v>1.9444444444444444E-3</v>
      </c>
      <c r="L254" s="5">
        <f>60 / 86400</f>
        <v>6.9444444444444447E-4</v>
      </c>
    </row>
    <row r="255" spans="1:12" x14ac:dyDescent="0.25">
      <c r="A255" s="3">
        <v>45707.352743055555</v>
      </c>
      <c r="B255" t="s">
        <v>255</v>
      </c>
      <c r="C255" s="3">
        <v>45707.353437500002</v>
      </c>
      <c r="D255" t="s">
        <v>255</v>
      </c>
      <c r="E255" s="4">
        <v>5.1975845873355866E-2</v>
      </c>
      <c r="F255" s="4">
        <v>349000.6652921135</v>
      </c>
      <c r="G255" s="4">
        <v>349000.71726795938</v>
      </c>
      <c r="H255" s="5">
        <f t="shared" si="1"/>
        <v>0</v>
      </c>
      <c r="I255" t="s">
        <v>101</v>
      </c>
      <c r="J255" t="s">
        <v>24</v>
      </c>
      <c r="K255" s="5">
        <f>60 / 86400</f>
        <v>6.9444444444444447E-4</v>
      </c>
      <c r="L255" s="5">
        <f>95 / 86400</f>
        <v>1.0995370370370371E-3</v>
      </c>
    </row>
    <row r="256" spans="1:12" x14ac:dyDescent="0.25">
      <c r="A256" s="3">
        <v>45707.354537037041</v>
      </c>
      <c r="B256" t="s">
        <v>257</v>
      </c>
      <c r="C256" s="3">
        <v>45707.356099537035</v>
      </c>
      <c r="D256" t="s">
        <v>258</v>
      </c>
      <c r="E256" s="4">
        <v>0.13754927122592925</v>
      </c>
      <c r="F256" s="4">
        <v>349000.75043799292</v>
      </c>
      <c r="G256" s="4">
        <v>349000.88798726414</v>
      </c>
      <c r="H256" s="5">
        <f t="shared" si="1"/>
        <v>0</v>
      </c>
      <c r="I256" t="s">
        <v>123</v>
      </c>
      <c r="J256" t="s">
        <v>58</v>
      </c>
      <c r="K256" s="5">
        <f>135 / 86400</f>
        <v>1.5625000000000001E-3</v>
      </c>
      <c r="L256" s="5">
        <f>16 / 86400</f>
        <v>1.8518518518518518E-4</v>
      </c>
    </row>
    <row r="257" spans="1:12" x14ac:dyDescent="0.25">
      <c r="A257" s="3">
        <v>45707.35628472222</v>
      </c>
      <c r="B257" t="s">
        <v>259</v>
      </c>
      <c r="C257" s="3">
        <v>45707.36137731481</v>
      </c>
      <c r="D257" t="s">
        <v>260</v>
      </c>
      <c r="E257" s="4">
        <v>3.2226292592287065</v>
      </c>
      <c r="F257" s="4">
        <v>349000.94025504758</v>
      </c>
      <c r="G257" s="4">
        <v>349004.1628843068</v>
      </c>
      <c r="H257" s="5">
        <f t="shared" si="1"/>
        <v>0</v>
      </c>
      <c r="I257" t="s">
        <v>261</v>
      </c>
      <c r="J257" t="s">
        <v>155</v>
      </c>
      <c r="K257" s="5">
        <f>440 / 86400</f>
        <v>5.092592592592593E-3</v>
      </c>
      <c r="L257" s="5">
        <f>60 / 86400</f>
        <v>6.9444444444444447E-4</v>
      </c>
    </row>
    <row r="258" spans="1:12" x14ac:dyDescent="0.25">
      <c r="A258" s="3">
        <v>45707.362071759257</v>
      </c>
      <c r="B258" t="s">
        <v>104</v>
      </c>
      <c r="C258" s="3">
        <v>45707.366226851853</v>
      </c>
      <c r="D258" t="s">
        <v>104</v>
      </c>
      <c r="E258" s="4">
        <v>2.2708055202960966</v>
      </c>
      <c r="F258" s="4">
        <v>349004.30999923107</v>
      </c>
      <c r="G258" s="4">
        <v>349006.58080475137</v>
      </c>
      <c r="H258" s="5">
        <f t="shared" si="1"/>
        <v>0</v>
      </c>
      <c r="I258" t="s">
        <v>170</v>
      </c>
      <c r="J258" t="s">
        <v>35</v>
      </c>
      <c r="K258" s="5">
        <f>359 / 86400</f>
        <v>4.1550925925925922E-3</v>
      </c>
      <c r="L258" s="5">
        <f>33 / 86400</f>
        <v>3.8194444444444446E-4</v>
      </c>
    </row>
    <row r="259" spans="1:12" x14ac:dyDescent="0.25">
      <c r="A259" s="3">
        <v>45707.366608796292</v>
      </c>
      <c r="B259" t="s">
        <v>262</v>
      </c>
      <c r="C259" s="3">
        <v>45707.366840277777</v>
      </c>
      <c r="D259" t="s">
        <v>186</v>
      </c>
      <c r="E259" s="4">
        <v>3.6368492841720584E-2</v>
      </c>
      <c r="F259" s="4">
        <v>349007.23337974958</v>
      </c>
      <c r="G259" s="4">
        <v>349007.26974824246</v>
      </c>
      <c r="H259" s="5">
        <f t="shared" si="1"/>
        <v>0</v>
      </c>
      <c r="I259" t="s">
        <v>123</v>
      </c>
      <c r="J259" t="s">
        <v>85</v>
      </c>
      <c r="K259" s="5">
        <f>20 / 86400</f>
        <v>2.3148148148148149E-4</v>
      </c>
      <c r="L259" s="5">
        <f>20 / 86400</f>
        <v>2.3148148148148149E-4</v>
      </c>
    </row>
    <row r="260" spans="1:12" x14ac:dyDescent="0.25">
      <c r="A260" s="3">
        <v>45707.367071759261</v>
      </c>
      <c r="B260" t="s">
        <v>188</v>
      </c>
      <c r="C260" s="3">
        <v>45707.368692129632</v>
      </c>
      <c r="D260" t="s">
        <v>263</v>
      </c>
      <c r="E260" s="4">
        <v>0.67105619359016422</v>
      </c>
      <c r="F260" s="4">
        <v>349007.36560303328</v>
      </c>
      <c r="G260" s="4">
        <v>349008.03665922687</v>
      </c>
      <c r="H260" s="5">
        <f t="shared" si="1"/>
        <v>0</v>
      </c>
      <c r="I260" t="s">
        <v>191</v>
      </c>
      <c r="J260" t="s">
        <v>37</v>
      </c>
      <c r="K260" s="5">
        <f>140 / 86400</f>
        <v>1.6203703703703703E-3</v>
      </c>
      <c r="L260" s="5">
        <f>5 / 86400</f>
        <v>5.7870370370370373E-5</v>
      </c>
    </row>
    <row r="261" spans="1:12" x14ac:dyDescent="0.25">
      <c r="A261" s="3">
        <v>45707.368750000001</v>
      </c>
      <c r="B261" t="s">
        <v>263</v>
      </c>
      <c r="C261" s="3">
        <v>45707.370138888888</v>
      </c>
      <c r="D261" t="s">
        <v>91</v>
      </c>
      <c r="E261" s="4">
        <v>0.7187377537488937</v>
      </c>
      <c r="F261" s="4">
        <v>349008.04041218362</v>
      </c>
      <c r="G261" s="4">
        <v>349008.75914993737</v>
      </c>
      <c r="H261" s="5">
        <f t="shared" si="1"/>
        <v>0</v>
      </c>
      <c r="I261" t="s">
        <v>169</v>
      </c>
      <c r="J261" t="s">
        <v>129</v>
      </c>
      <c r="K261" s="5">
        <f>120 / 86400</f>
        <v>1.3888888888888889E-3</v>
      </c>
      <c r="L261" s="5">
        <f>40 / 86400</f>
        <v>4.6296296296296298E-4</v>
      </c>
    </row>
    <row r="262" spans="1:12" x14ac:dyDescent="0.25">
      <c r="A262" s="3">
        <v>45707.370601851857</v>
      </c>
      <c r="B262" t="s">
        <v>91</v>
      </c>
      <c r="C262" s="3">
        <v>45707.371446759258</v>
      </c>
      <c r="D262" t="s">
        <v>91</v>
      </c>
      <c r="E262" s="4">
        <v>0.1555132291316986</v>
      </c>
      <c r="F262" s="4">
        <v>349008.79088374204</v>
      </c>
      <c r="G262" s="4">
        <v>349008.94639697118</v>
      </c>
      <c r="H262" s="5">
        <f t="shared" si="1"/>
        <v>0</v>
      </c>
      <c r="I262" t="s">
        <v>62</v>
      </c>
      <c r="J262" t="s">
        <v>31</v>
      </c>
      <c r="K262" s="5">
        <f>73 / 86400</f>
        <v>8.4490740740740739E-4</v>
      </c>
      <c r="L262" s="5">
        <f>20 / 86400</f>
        <v>2.3148148148148149E-4</v>
      </c>
    </row>
    <row r="263" spans="1:12" x14ac:dyDescent="0.25">
      <c r="A263" s="3">
        <v>45707.371678240743</v>
      </c>
      <c r="B263" t="s">
        <v>91</v>
      </c>
      <c r="C263" s="3">
        <v>45707.37190972222</v>
      </c>
      <c r="D263" t="s">
        <v>91</v>
      </c>
      <c r="E263" s="4">
        <v>1.0326359808444976E-2</v>
      </c>
      <c r="F263" s="4">
        <v>349008.94997980254</v>
      </c>
      <c r="G263" s="4">
        <v>349008.96030616236</v>
      </c>
      <c r="H263" s="5">
        <f t="shared" si="1"/>
        <v>0</v>
      </c>
      <c r="I263" t="s">
        <v>134</v>
      </c>
      <c r="J263" t="s">
        <v>136</v>
      </c>
      <c r="K263" s="5">
        <f>20 / 86400</f>
        <v>2.3148148148148149E-4</v>
      </c>
      <c r="L263" s="5">
        <f>20 / 86400</f>
        <v>2.3148148148148149E-4</v>
      </c>
    </row>
    <row r="264" spans="1:12" x14ac:dyDescent="0.25">
      <c r="A264" s="3">
        <v>45707.372141203705</v>
      </c>
      <c r="B264" t="s">
        <v>91</v>
      </c>
      <c r="C264" s="3">
        <v>45707.372604166667</v>
      </c>
      <c r="D264" t="s">
        <v>91</v>
      </c>
      <c r="E264" s="4">
        <v>0.14499574083089828</v>
      </c>
      <c r="F264" s="4">
        <v>349009.01233790896</v>
      </c>
      <c r="G264" s="4">
        <v>349009.15733364981</v>
      </c>
      <c r="H264" s="5">
        <f t="shared" si="1"/>
        <v>0</v>
      </c>
      <c r="I264" t="s">
        <v>84</v>
      </c>
      <c r="J264" t="s">
        <v>62</v>
      </c>
      <c r="K264" s="5">
        <f>40 / 86400</f>
        <v>4.6296296296296298E-4</v>
      </c>
      <c r="L264" s="5">
        <f>20 / 86400</f>
        <v>2.3148148148148149E-4</v>
      </c>
    </row>
    <row r="265" spans="1:12" x14ac:dyDescent="0.25">
      <c r="A265" s="3">
        <v>45707.372835648144</v>
      </c>
      <c r="B265" t="s">
        <v>91</v>
      </c>
      <c r="C265" s="3">
        <v>45707.373298611114</v>
      </c>
      <c r="D265" t="s">
        <v>264</v>
      </c>
      <c r="E265" s="4">
        <v>6.0759618699550627E-2</v>
      </c>
      <c r="F265" s="4">
        <v>349009.20492823451</v>
      </c>
      <c r="G265" s="4">
        <v>349009.26568785321</v>
      </c>
      <c r="H265" s="5">
        <f t="shared" si="1"/>
        <v>0</v>
      </c>
      <c r="I265" t="s">
        <v>46</v>
      </c>
      <c r="J265" t="s">
        <v>134</v>
      </c>
      <c r="K265" s="5">
        <f>40 / 86400</f>
        <v>4.6296296296296298E-4</v>
      </c>
      <c r="L265" s="5">
        <f>20 / 86400</f>
        <v>2.3148148148148149E-4</v>
      </c>
    </row>
    <row r="266" spans="1:12" x14ac:dyDescent="0.25">
      <c r="A266" s="3">
        <v>45707.373530092591</v>
      </c>
      <c r="B266" t="s">
        <v>91</v>
      </c>
      <c r="C266" s="3">
        <v>45707.374456018515</v>
      </c>
      <c r="D266" t="s">
        <v>91</v>
      </c>
      <c r="E266" s="4">
        <v>0.41648659378290176</v>
      </c>
      <c r="F266" s="4">
        <v>349009.34400301316</v>
      </c>
      <c r="G266" s="4">
        <v>349009.76048960694</v>
      </c>
      <c r="H266" s="5">
        <f t="shared" si="1"/>
        <v>0</v>
      </c>
      <c r="I266" t="s">
        <v>194</v>
      </c>
      <c r="J266" t="s">
        <v>33</v>
      </c>
      <c r="K266" s="5">
        <f>80 / 86400</f>
        <v>9.2592592592592596E-4</v>
      </c>
      <c r="L266" s="5">
        <f>40 / 86400</f>
        <v>4.6296296296296298E-4</v>
      </c>
    </row>
    <row r="267" spans="1:12" x14ac:dyDescent="0.25">
      <c r="A267" s="3">
        <v>45707.374918981484</v>
      </c>
      <c r="B267" t="s">
        <v>91</v>
      </c>
      <c r="C267" s="3">
        <v>45707.375613425931</v>
      </c>
      <c r="D267" t="s">
        <v>91</v>
      </c>
      <c r="E267" s="4">
        <v>0.23987321156263353</v>
      </c>
      <c r="F267" s="4">
        <v>349009.78994190152</v>
      </c>
      <c r="G267" s="4">
        <v>349010.02981511306</v>
      </c>
      <c r="H267" s="5">
        <f t="shared" si="1"/>
        <v>0</v>
      </c>
      <c r="I267" t="s">
        <v>151</v>
      </c>
      <c r="J267" t="s">
        <v>43</v>
      </c>
      <c r="K267" s="5">
        <f>60 / 86400</f>
        <v>6.9444444444444447E-4</v>
      </c>
      <c r="L267" s="5">
        <f>20 / 86400</f>
        <v>2.3148148148148149E-4</v>
      </c>
    </row>
    <row r="268" spans="1:12" x14ac:dyDescent="0.25">
      <c r="A268" s="3">
        <v>45707.375844907408</v>
      </c>
      <c r="B268" t="s">
        <v>91</v>
      </c>
      <c r="C268" s="3">
        <v>45707.37700231481</v>
      </c>
      <c r="D268" t="s">
        <v>118</v>
      </c>
      <c r="E268" s="4">
        <v>1.079889764070511</v>
      </c>
      <c r="F268" s="4">
        <v>349010.19669381448</v>
      </c>
      <c r="G268" s="4">
        <v>349011.27658357855</v>
      </c>
      <c r="H268" s="5">
        <f t="shared" si="1"/>
        <v>0</v>
      </c>
      <c r="I268" t="s">
        <v>29</v>
      </c>
      <c r="J268" t="s">
        <v>181</v>
      </c>
      <c r="K268" s="5">
        <f>100 / 86400</f>
        <v>1.1574074074074073E-3</v>
      </c>
      <c r="L268" s="5">
        <f>20 / 86400</f>
        <v>2.3148148148148149E-4</v>
      </c>
    </row>
    <row r="269" spans="1:12" x14ac:dyDescent="0.25">
      <c r="A269" s="3">
        <v>45707.377233796295</v>
      </c>
      <c r="B269" t="s">
        <v>118</v>
      </c>
      <c r="C269" s="3">
        <v>45707.377928240741</v>
      </c>
      <c r="D269" t="s">
        <v>118</v>
      </c>
      <c r="E269" s="4">
        <v>0.35230752915143965</v>
      </c>
      <c r="F269" s="4">
        <v>349011.36797843053</v>
      </c>
      <c r="G269" s="4">
        <v>349011.72028595966</v>
      </c>
      <c r="H269" s="5">
        <f t="shared" si="1"/>
        <v>0</v>
      </c>
      <c r="I269" t="s">
        <v>251</v>
      </c>
      <c r="J269" t="s">
        <v>166</v>
      </c>
      <c r="K269" s="5">
        <f>60 / 86400</f>
        <v>6.9444444444444447E-4</v>
      </c>
      <c r="L269" s="5">
        <f>120 / 86400</f>
        <v>1.3888888888888889E-3</v>
      </c>
    </row>
    <row r="270" spans="1:12" x14ac:dyDescent="0.25">
      <c r="A270" s="3">
        <v>45707.379317129627</v>
      </c>
      <c r="B270" t="s">
        <v>118</v>
      </c>
      <c r="C270" s="3">
        <v>45707.379548611112</v>
      </c>
      <c r="D270" t="s">
        <v>118</v>
      </c>
      <c r="E270" s="4">
        <v>4.9544438719749447E-3</v>
      </c>
      <c r="F270" s="4">
        <v>349011.7596898285</v>
      </c>
      <c r="G270" s="4">
        <v>349011.76464427239</v>
      </c>
      <c r="H270" s="5">
        <f t="shared" si="1"/>
        <v>0</v>
      </c>
      <c r="I270" t="s">
        <v>136</v>
      </c>
      <c r="J270" t="s">
        <v>127</v>
      </c>
      <c r="K270" s="5">
        <f>20 / 86400</f>
        <v>2.3148148148148149E-4</v>
      </c>
      <c r="L270" s="5">
        <f>80 / 86400</f>
        <v>9.2592592592592596E-4</v>
      </c>
    </row>
    <row r="271" spans="1:12" x14ac:dyDescent="0.25">
      <c r="A271" s="3">
        <v>45707.380474537036</v>
      </c>
      <c r="B271" t="s">
        <v>118</v>
      </c>
      <c r="C271" s="3">
        <v>45707.38417824074</v>
      </c>
      <c r="D271" t="s">
        <v>118</v>
      </c>
      <c r="E271" s="4">
        <v>2.3572472885251043</v>
      </c>
      <c r="F271" s="4">
        <v>349011.77499794448</v>
      </c>
      <c r="G271" s="4">
        <v>349014.13224523299</v>
      </c>
      <c r="H271" s="5">
        <f t="shared" si="1"/>
        <v>0</v>
      </c>
      <c r="I271" t="s">
        <v>265</v>
      </c>
      <c r="J271" t="s">
        <v>84</v>
      </c>
      <c r="K271" s="5">
        <f>320 / 86400</f>
        <v>3.7037037037037038E-3</v>
      </c>
      <c r="L271" s="5">
        <f>20 / 86400</f>
        <v>2.3148148148148149E-4</v>
      </c>
    </row>
    <row r="272" spans="1:12" x14ac:dyDescent="0.25">
      <c r="A272" s="3">
        <v>45707.384409722217</v>
      </c>
      <c r="B272" t="s">
        <v>118</v>
      </c>
      <c r="C272" s="3">
        <v>45707.386030092588</v>
      </c>
      <c r="D272" t="s">
        <v>118</v>
      </c>
      <c r="E272" s="4">
        <v>1.1580315950512885</v>
      </c>
      <c r="F272" s="4">
        <v>349014.21100383013</v>
      </c>
      <c r="G272" s="4">
        <v>349015.36903542519</v>
      </c>
      <c r="H272" s="5">
        <f t="shared" si="1"/>
        <v>0</v>
      </c>
      <c r="I272" t="s">
        <v>235</v>
      </c>
      <c r="J272" t="s">
        <v>161</v>
      </c>
      <c r="K272" s="5">
        <f>140 / 86400</f>
        <v>1.6203703703703703E-3</v>
      </c>
      <c r="L272" s="5">
        <f>20 / 86400</f>
        <v>2.3148148148148149E-4</v>
      </c>
    </row>
    <row r="273" spans="1:12" x14ac:dyDescent="0.25">
      <c r="A273" s="3">
        <v>45707.386261574073</v>
      </c>
      <c r="B273" t="s">
        <v>266</v>
      </c>
      <c r="C273" s="3">
        <v>45707.387418981481</v>
      </c>
      <c r="D273" t="s">
        <v>267</v>
      </c>
      <c r="E273" s="4">
        <v>0.92318999505043031</v>
      </c>
      <c r="F273" s="4">
        <v>349015.41550724668</v>
      </c>
      <c r="G273" s="4">
        <v>349016.33869724174</v>
      </c>
      <c r="H273" s="5">
        <f t="shared" si="1"/>
        <v>0</v>
      </c>
      <c r="I273" t="s">
        <v>177</v>
      </c>
      <c r="J273" t="s">
        <v>169</v>
      </c>
      <c r="K273" s="5">
        <f>100 / 86400</f>
        <v>1.1574074074074073E-3</v>
      </c>
      <c r="L273" s="5">
        <f>80 / 86400</f>
        <v>9.2592592592592596E-4</v>
      </c>
    </row>
    <row r="274" spans="1:12" x14ac:dyDescent="0.25">
      <c r="A274" s="3">
        <v>45707.388344907406</v>
      </c>
      <c r="B274" t="s">
        <v>268</v>
      </c>
      <c r="C274" s="3">
        <v>45707.38927083333</v>
      </c>
      <c r="D274" t="s">
        <v>269</v>
      </c>
      <c r="E274" s="4">
        <v>0.76634060865640641</v>
      </c>
      <c r="F274" s="4">
        <v>349016.37872727955</v>
      </c>
      <c r="G274" s="4">
        <v>349017.1450678882</v>
      </c>
      <c r="H274" s="5">
        <f t="shared" si="1"/>
        <v>0</v>
      </c>
      <c r="I274" t="s">
        <v>111</v>
      </c>
      <c r="J274" t="s">
        <v>191</v>
      </c>
      <c r="K274" s="5">
        <f>80 / 86400</f>
        <v>9.2592592592592596E-4</v>
      </c>
      <c r="L274" s="5">
        <f>22 / 86400</f>
        <v>2.5462962962962961E-4</v>
      </c>
    </row>
    <row r="275" spans="1:12" x14ac:dyDescent="0.25">
      <c r="A275" s="3">
        <v>45707.389525462961</v>
      </c>
      <c r="B275" t="s">
        <v>269</v>
      </c>
      <c r="C275" s="3">
        <v>45707.389826388884</v>
      </c>
      <c r="D275" t="s">
        <v>270</v>
      </c>
      <c r="E275" s="4">
        <v>1.2074914515018463E-2</v>
      </c>
      <c r="F275" s="4">
        <v>349017.14829583856</v>
      </c>
      <c r="G275" s="4">
        <v>349017.16037075303</v>
      </c>
      <c r="H275" s="5">
        <f t="shared" si="1"/>
        <v>0</v>
      </c>
      <c r="I275" t="s">
        <v>101</v>
      </c>
      <c r="J275" t="s">
        <v>136</v>
      </c>
      <c r="K275" s="5">
        <f>26 / 86400</f>
        <v>3.0092592592592595E-4</v>
      </c>
      <c r="L275" s="5">
        <f>20 / 86400</f>
        <v>2.3148148148148149E-4</v>
      </c>
    </row>
    <row r="276" spans="1:12" x14ac:dyDescent="0.25">
      <c r="A276" s="3">
        <v>45707.390057870369</v>
      </c>
      <c r="B276" t="s">
        <v>269</v>
      </c>
      <c r="C276" s="3">
        <v>45707.392835648148</v>
      </c>
      <c r="D276" t="s">
        <v>175</v>
      </c>
      <c r="E276" s="4">
        <v>2.4424060613512992</v>
      </c>
      <c r="F276" s="4">
        <v>349017.19886854698</v>
      </c>
      <c r="G276" s="4">
        <v>349019.64127460832</v>
      </c>
      <c r="H276" s="5">
        <f t="shared" si="1"/>
        <v>0</v>
      </c>
      <c r="I276" t="s">
        <v>50</v>
      </c>
      <c r="J276" t="s">
        <v>194</v>
      </c>
      <c r="K276" s="5">
        <f>240 / 86400</f>
        <v>2.7777777777777779E-3</v>
      </c>
      <c r="L276" s="5">
        <f>40 / 86400</f>
        <v>4.6296296296296298E-4</v>
      </c>
    </row>
    <row r="277" spans="1:12" x14ac:dyDescent="0.25">
      <c r="A277" s="3">
        <v>45707.39329861111</v>
      </c>
      <c r="B277" t="s">
        <v>139</v>
      </c>
      <c r="C277" s="3">
        <v>45707.394224537042</v>
      </c>
      <c r="D277" t="s">
        <v>36</v>
      </c>
      <c r="E277" s="4">
        <v>0.54720576953887945</v>
      </c>
      <c r="F277" s="4">
        <v>349019.67336712911</v>
      </c>
      <c r="G277" s="4">
        <v>349020.22057289863</v>
      </c>
      <c r="H277" s="5">
        <f t="shared" si="1"/>
        <v>0</v>
      </c>
      <c r="I277" t="s">
        <v>171</v>
      </c>
      <c r="J277" t="s">
        <v>30</v>
      </c>
      <c r="K277" s="5">
        <f>80 / 86400</f>
        <v>9.2592592592592596E-4</v>
      </c>
      <c r="L277" s="5">
        <f>6 / 86400</f>
        <v>6.9444444444444444E-5</v>
      </c>
    </row>
    <row r="278" spans="1:12" x14ac:dyDescent="0.25">
      <c r="A278" s="3">
        <v>45707.394293981481</v>
      </c>
      <c r="B278" t="s">
        <v>36</v>
      </c>
      <c r="C278" s="3">
        <v>45707.398460648154</v>
      </c>
      <c r="D278" t="s">
        <v>82</v>
      </c>
      <c r="E278" s="4">
        <v>3.3601690553426744</v>
      </c>
      <c r="F278" s="4">
        <v>349020.22219998157</v>
      </c>
      <c r="G278" s="4">
        <v>349023.58236903691</v>
      </c>
      <c r="H278" s="5">
        <f t="shared" si="1"/>
        <v>0</v>
      </c>
      <c r="I278" t="s">
        <v>180</v>
      </c>
      <c r="J278" t="s">
        <v>191</v>
      </c>
      <c r="K278" s="5">
        <f>360 / 86400</f>
        <v>4.1666666666666666E-3</v>
      </c>
      <c r="L278" s="5">
        <f>60 / 86400</f>
        <v>6.9444444444444447E-4</v>
      </c>
    </row>
    <row r="279" spans="1:12" x14ac:dyDescent="0.25">
      <c r="A279" s="3">
        <v>45707.399155092593</v>
      </c>
      <c r="B279" t="s">
        <v>271</v>
      </c>
      <c r="C279" s="3">
        <v>45707.399618055555</v>
      </c>
      <c r="D279" t="s">
        <v>272</v>
      </c>
      <c r="E279" s="4">
        <v>0.52614763224124905</v>
      </c>
      <c r="F279" s="4">
        <v>349023.71920733241</v>
      </c>
      <c r="G279" s="4">
        <v>349024.24535496469</v>
      </c>
      <c r="H279" s="5">
        <f t="shared" si="1"/>
        <v>0</v>
      </c>
      <c r="I279" t="s">
        <v>273</v>
      </c>
      <c r="J279" t="s">
        <v>147</v>
      </c>
      <c r="K279" s="5">
        <f>40 / 86400</f>
        <v>4.6296296296296298E-4</v>
      </c>
      <c r="L279" s="5">
        <f>20 / 86400</f>
        <v>2.3148148148148149E-4</v>
      </c>
    </row>
    <row r="280" spans="1:12" x14ac:dyDescent="0.25">
      <c r="A280" s="3">
        <v>45707.399849537032</v>
      </c>
      <c r="B280" t="s">
        <v>274</v>
      </c>
      <c r="C280" s="3">
        <v>45707.400312500002</v>
      </c>
      <c r="D280" t="s">
        <v>275</v>
      </c>
      <c r="E280" s="4">
        <v>0.29165486824512482</v>
      </c>
      <c r="F280" s="4">
        <v>349024.39376892458</v>
      </c>
      <c r="G280" s="4">
        <v>349024.68542379286</v>
      </c>
      <c r="H280" s="5">
        <f t="shared" si="1"/>
        <v>0</v>
      </c>
      <c r="I280" t="s">
        <v>235</v>
      </c>
      <c r="J280" t="s">
        <v>155</v>
      </c>
      <c r="K280" s="5">
        <f>40 / 86400</f>
        <v>4.6296296296296298E-4</v>
      </c>
      <c r="L280" s="5">
        <f>20 / 86400</f>
        <v>2.3148148148148149E-4</v>
      </c>
    </row>
    <row r="281" spans="1:12" x14ac:dyDescent="0.25">
      <c r="A281" s="3">
        <v>45707.400543981479</v>
      </c>
      <c r="B281" t="s">
        <v>276</v>
      </c>
      <c r="C281" s="3">
        <v>45707.401006944448</v>
      </c>
      <c r="D281" t="s">
        <v>276</v>
      </c>
      <c r="E281" s="4">
        <v>5.0457508563995362E-2</v>
      </c>
      <c r="F281" s="4">
        <v>349024.82671385235</v>
      </c>
      <c r="G281" s="4">
        <v>349024.87717136089</v>
      </c>
      <c r="H281" s="5">
        <f t="shared" si="1"/>
        <v>0</v>
      </c>
      <c r="I281" t="s">
        <v>149</v>
      </c>
      <c r="J281" t="s">
        <v>134</v>
      </c>
      <c r="K281" s="5">
        <f>40 / 86400</f>
        <v>4.6296296296296298E-4</v>
      </c>
      <c r="L281" s="5">
        <f>20 / 86400</f>
        <v>2.3148148148148149E-4</v>
      </c>
    </row>
    <row r="282" spans="1:12" x14ac:dyDescent="0.25">
      <c r="A282" s="3">
        <v>45707.401238425926</v>
      </c>
      <c r="B282" t="s">
        <v>277</v>
      </c>
      <c r="C282" s="3">
        <v>45707.401932870373</v>
      </c>
      <c r="D282" t="s">
        <v>275</v>
      </c>
      <c r="E282" s="4">
        <v>0.4785098102092743</v>
      </c>
      <c r="F282" s="4">
        <v>349024.91672560736</v>
      </c>
      <c r="G282" s="4">
        <v>349025.39523541753</v>
      </c>
      <c r="H282" s="5">
        <f t="shared" si="1"/>
        <v>0</v>
      </c>
      <c r="I282" t="s">
        <v>278</v>
      </c>
      <c r="J282" t="s">
        <v>185</v>
      </c>
      <c r="K282" s="5">
        <f>60 / 86400</f>
        <v>6.9444444444444447E-4</v>
      </c>
      <c r="L282" s="5">
        <f>20 / 86400</f>
        <v>2.3148148148148149E-4</v>
      </c>
    </row>
    <row r="283" spans="1:12" x14ac:dyDescent="0.25">
      <c r="A283" s="3">
        <v>45707.40216435185</v>
      </c>
      <c r="B283" t="s">
        <v>279</v>
      </c>
      <c r="C283" s="3">
        <v>45707.40697916667</v>
      </c>
      <c r="D283" t="s">
        <v>280</v>
      </c>
      <c r="E283" s="4">
        <v>3.1772472111582757</v>
      </c>
      <c r="F283" s="4">
        <v>349025.47267991037</v>
      </c>
      <c r="G283" s="4">
        <v>349028.64992712153</v>
      </c>
      <c r="H283" s="5">
        <f t="shared" si="1"/>
        <v>0</v>
      </c>
      <c r="I283" t="s">
        <v>265</v>
      </c>
      <c r="J283" t="s">
        <v>84</v>
      </c>
      <c r="K283" s="5">
        <f>416 / 86400</f>
        <v>4.8148148148148152E-3</v>
      </c>
      <c r="L283" s="5">
        <f>60 / 86400</f>
        <v>6.9444444444444447E-4</v>
      </c>
    </row>
    <row r="284" spans="1:12" x14ac:dyDescent="0.25">
      <c r="A284" s="3">
        <v>45707.407673611116</v>
      </c>
      <c r="B284" t="s">
        <v>280</v>
      </c>
      <c r="C284" s="3">
        <v>45707.410717592589</v>
      </c>
      <c r="D284" t="s">
        <v>281</v>
      </c>
      <c r="E284" s="4">
        <v>2.6302617159485817</v>
      </c>
      <c r="F284" s="4">
        <v>349028.71988376928</v>
      </c>
      <c r="G284" s="4">
        <v>349031.35014548519</v>
      </c>
      <c r="H284" s="5">
        <f t="shared" si="1"/>
        <v>0</v>
      </c>
      <c r="I284" t="s">
        <v>282</v>
      </c>
      <c r="J284" t="s">
        <v>131</v>
      </c>
      <c r="K284" s="5">
        <f>263 / 86400</f>
        <v>3.0439814814814813E-3</v>
      </c>
      <c r="L284" s="5">
        <f>20 / 86400</f>
        <v>2.3148148148148149E-4</v>
      </c>
    </row>
    <row r="285" spans="1:12" x14ac:dyDescent="0.25">
      <c r="A285" s="3">
        <v>45707.410949074074</v>
      </c>
      <c r="B285" t="s">
        <v>283</v>
      </c>
      <c r="C285" s="3">
        <v>45707.4144212963</v>
      </c>
      <c r="D285" t="s">
        <v>284</v>
      </c>
      <c r="E285" s="4">
        <v>2.8012222787737846</v>
      </c>
      <c r="F285" s="4">
        <v>349031.41672767722</v>
      </c>
      <c r="G285" s="4">
        <v>349034.21794995602</v>
      </c>
      <c r="H285" s="5">
        <f t="shared" si="1"/>
        <v>0</v>
      </c>
      <c r="I285" t="s">
        <v>68</v>
      </c>
      <c r="J285" t="s">
        <v>191</v>
      </c>
      <c r="K285" s="5">
        <f>300 / 86400</f>
        <v>3.472222222222222E-3</v>
      </c>
      <c r="L285" s="5">
        <f>20 / 86400</f>
        <v>2.3148148148148149E-4</v>
      </c>
    </row>
    <row r="286" spans="1:12" x14ac:dyDescent="0.25">
      <c r="A286" s="3">
        <v>45707.414652777778</v>
      </c>
      <c r="B286" t="s">
        <v>285</v>
      </c>
      <c r="C286" s="3">
        <v>45707.41511574074</v>
      </c>
      <c r="D286" t="s">
        <v>286</v>
      </c>
      <c r="E286" s="4">
        <v>0.20567429620027541</v>
      </c>
      <c r="F286" s="4">
        <v>349034.24931591371</v>
      </c>
      <c r="G286" s="4">
        <v>349034.45499020995</v>
      </c>
      <c r="H286" s="5">
        <f t="shared" si="1"/>
        <v>0</v>
      </c>
      <c r="I286" t="s">
        <v>84</v>
      </c>
      <c r="J286" t="s">
        <v>33</v>
      </c>
      <c r="K286" s="5">
        <f>40 / 86400</f>
        <v>4.6296296296296298E-4</v>
      </c>
      <c r="L286" s="5">
        <f>20 / 86400</f>
        <v>2.3148148148148149E-4</v>
      </c>
    </row>
    <row r="287" spans="1:12" x14ac:dyDescent="0.25">
      <c r="A287" s="3">
        <v>45707.415347222224</v>
      </c>
      <c r="B287" t="s">
        <v>286</v>
      </c>
      <c r="C287" s="3">
        <v>45707.415810185186</v>
      </c>
      <c r="D287" t="s">
        <v>287</v>
      </c>
      <c r="E287" s="4">
        <v>0.17039947539567948</v>
      </c>
      <c r="F287" s="4">
        <v>349034.49211733189</v>
      </c>
      <c r="G287" s="4">
        <v>349034.66251680726</v>
      </c>
      <c r="H287" s="5">
        <f t="shared" si="1"/>
        <v>0</v>
      </c>
      <c r="I287" t="s">
        <v>155</v>
      </c>
      <c r="J287" t="s">
        <v>46</v>
      </c>
      <c r="K287" s="5">
        <f>40 / 86400</f>
        <v>4.6296296296296298E-4</v>
      </c>
      <c r="L287" s="5">
        <f>40 / 86400</f>
        <v>4.6296296296296298E-4</v>
      </c>
    </row>
    <row r="288" spans="1:12" x14ac:dyDescent="0.25">
      <c r="A288" s="3">
        <v>45707.416273148148</v>
      </c>
      <c r="B288" t="s">
        <v>287</v>
      </c>
      <c r="C288" s="3">
        <v>45707.41673611111</v>
      </c>
      <c r="D288" t="s">
        <v>287</v>
      </c>
      <c r="E288" s="4">
        <v>3.5960428237915038E-2</v>
      </c>
      <c r="F288" s="4">
        <v>349034.68603010767</v>
      </c>
      <c r="G288" s="4">
        <v>349034.72199053591</v>
      </c>
      <c r="H288" s="5">
        <f t="shared" si="1"/>
        <v>0</v>
      </c>
      <c r="I288" t="s">
        <v>62</v>
      </c>
      <c r="J288" t="s">
        <v>24</v>
      </c>
      <c r="K288" s="5">
        <f>40 / 86400</f>
        <v>4.6296296296296298E-4</v>
      </c>
      <c r="L288" s="5">
        <f>20 / 86400</f>
        <v>2.3148148148148149E-4</v>
      </c>
    </row>
    <row r="289" spans="1:12" x14ac:dyDescent="0.25">
      <c r="A289" s="3">
        <v>45707.416967592595</v>
      </c>
      <c r="B289" t="s">
        <v>287</v>
      </c>
      <c r="C289" s="3">
        <v>45707.417430555557</v>
      </c>
      <c r="D289" t="s">
        <v>286</v>
      </c>
      <c r="E289" s="4">
        <v>8.9050906836986549E-2</v>
      </c>
      <c r="F289" s="4">
        <v>349034.7501163308</v>
      </c>
      <c r="G289" s="4">
        <v>349034.83916723763</v>
      </c>
      <c r="H289" s="5">
        <f t="shared" si="1"/>
        <v>0</v>
      </c>
      <c r="I289" t="s">
        <v>46</v>
      </c>
      <c r="J289" t="s">
        <v>31</v>
      </c>
      <c r="K289" s="5">
        <f>40 / 86400</f>
        <v>4.6296296296296298E-4</v>
      </c>
      <c r="L289" s="5">
        <f>20 / 86400</f>
        <v>2.3148148148148149E-4</v>
      </c>
    </row>
    <row r="290" spans="1:12" x14ac:dyDescent="0.25">
      <c r="A290" s="3">
        <v>45707.417662037042</v>
      </c>
      <c r="B290" t="s">
        <v>286</v>
      </c>
      <c r="C290" s="3">
        <v>45707.417893518519</v>
      </c>
      <c r="D290" t="s">
        <v>288</v>
      </c>
      <c r="E290" s="4">
        <v>3.9933126091957094E-2</v>
      </c>
      <c r="F290" s="4">
        <v>349034.88144113537</v>
      </c>
      <c r="G290" s="4">
        <v>349034.92137426144</v>
      </c>
      <c r="H290" s="5">
        <f t="shared" si="1"/>
        <v>0</v>
      </c>
      <c r="I290" t="s">
        <v>132</v>
      </c>
      <c r="J290" t="s">
        <v>85</v>
      </c>
      <c r="K290" s="5">
        <f>20 / 86400</f>
        <v>2.3148148148148149E-4</v>
      </c>
      <c r="L290" s="5">
        <f>40 / 86400</f>
        <v>4.6296296296296298E-4</v>
      </c>
    </row>
    <row r="291" spans="1:12" x14ac:dyDescent="0.25">
      <c r="A291" s="3">
        <v>45707.418356481481</v>
      </c>
      <c r="B291" t="s">
        <v>288</v>
      </c>
      <c r="C291" s="3">
        <v>45707.424270833333</v>
      </c>
      <c r="D291" t="s">
        <v>289</v>
      </c>
      <c r="E291" s="4">
        <v>3.3327201292514803</v>
      </c>
      <c r="F291" s="4">
        <v>349034.9393774505</v>
      </c>
      <c r="G291" s="4">
        <v>349038.27209757979</v>
      </c>
      <c r="H291" s="5">
        <f t="shared" si="1"/>
        <v>0</v>
      </c>
      <c r="I291" t="s">
        <v>213</v>
      </c>
      <c r="J291" t="s">
        <v>35</v>
      </c>
      <c r="K291" s="5">
        <f>511 / 86400</f>
        <v>5.9143518518518521E-3</v>
      </c>
      <c r="L291" s="5">
        <f>20 / 86400</f>
        <v>2.3148148148148149E-4</v>
      </c>
    </row>
    <row r="292" spans="1:12" x14ac:dyDescent="0.25">
      <c r="A292" s="3">
        <v>45707.424502314811</v>
      </c>
      <c r="B292" t="s">
        <v>290</v>
      </c>
      <c r="C292" s="3">
        <v>45707.42560185185</v>
      </c>
      <c r="D292" t="s">
        <v>110</v>
      </c>
      <c r="E292" s="4">
        <v>0.34509080988168717</v>
      </c>
      <c r="F292" s="4">
        <v>349038.33668332215</v>
      </c>
      <c r="G292" s="4">
        <v>349038.68177413201</v>
      </c>
      <c r="H292" s="5">
        <f t="shared" si="1"/>
        <v>0</v>
      </c>
      <c r="I292" t="s">
        <v>57</v>
      </c>
      <c r="J292" t="s">
        <v>62</v>
      </c>
      <c r="K292" s="5">
        <f>95 / 86400</f>
        <v>1.0995370370370371E-3</v>
      </c>
      <c r="L292" s="5">
        <f>275 / 86400</f>
        <v>3.1828703703703702E-3</v>
      </c>
    </row>
    <row r="293" spans="1:12" x14ac:dyDescent="0.25">
      <c r="A293" s="3">
        <v>45707.428784722222</v>
      </c>
      <c r="B293" t="s">
        <v>110</v>
      </c>
      <c r="C293" s="3">
        <v>45707.428981481484</v>
      </c>
      <c r="D293" t="s">
        <v>110</v>
      </c>
      <c r="E293" s="4">
        <v>2.810825765132904E-2</v>
      </c>
      <c r="F293" s="4">
        <v>349038.68654420757</v>
      </c>
      <c r="G293" s="4">
        <v>349038.71465246525</v>
      </c>
      <c r="H293" s="5">
        <f t="shared" si="1"/>
        <v>0</v>
      </c>
      <c r="I293" t="s">
        <v>123</v>
      </c>
      <c r="J293" t="s">
        <v>101</v>
      </c>
      <c r="K293" s="5">
        <f>17 / 86400</f>
        <v>1.9675925925925926E-4</v>
      </c>
      <c r="L293" s="5">
        <f>796 / 86400</f>
        <v>9.2129629629629627E-3</v>
      </c>
    </row>
    <row r="294" spans="1:12" x14ac:dyDescent="0.25">
      <c r="A294" s="3">
        <v>45707.438194444447</v>
      </c>
      <c r="B294" t="s">
        <v>110</v>
      </c>
      <c r="C294" s="3">
        <v>45707.438425925924</v>
      </c>
      <c r="D294" t="s">
        <v>110</v>
      </c>
      <c r="E294" s="4">
        <v>7.1801100373268126E-3</v>
      </c>
      <c r="F294" s="4">
        <v>349038.73522206832</v>
      </c>
      <c r="G294" s="4">
        <v>349038.74240217835</v>
      </c>
      <c r="H294" s="5">
        <f t="shared" si="1"/>
        <v>0</v>
      </c>
      <c r="I294" t="s">
        <v>136</v>
      </c>
      <c r="J294" t="s">
        <v>127</v>
      </c>
      <c r="K294" s="5">
        <f>20 / 86400</f>
        <v>2.3148148148148149E-4</v>
      </c>
      <c r="L294" s="5">
        <f>20 / 86400</f>
        <v>2.3148148148148149E-4</v>
      </c>
    </row>
    <row r="295" spans="1:12" x14ac:dyDescent="0.25">
      <c r="A295" s="3">
        <v>45707.438657407409</v>
      </c>
      <c r="B295" t="s">
        <v>110</v>
      </c>
      <c r="C295" s="3">
        <v>45707.438796296294</v>
      </c>
      <c r="D295" t="s">
        <v>110</v>
      </c>
      <c r="E295" s="4">
        <v>9.9545664787292487E-3</v>
      </c>
      <c r="F295" s="4">
        <v>349038.74764147459</v>
      </c>
      <c r="G295" s="4">
        <v>349038.75759604108</v>
      </c>
      <c r="H295" s="5">
        <f t="shared" si="1"/>
        <v>0</v>
      </c>
      <c r="I295" t="s">
        <v>136</v>
      </c>
      <c r="J295" t="s">
        <v>24</v>
      </c>
      <c r="K295" s="5">
        <f>12 / 86400</f>
        <v>1.3888888888888889E-4</v>
      </c>
      <c r="L295" s="5">
        <f>134 / 86400</f>
        <v>1.5509259259259259E-3</v>
      </c>
    </row>
    <row r="296" spans="1:12" x14ac:dyDescent="0.25">
      <c r="A296" s="3">
        <v>45707.440347222218</v>
      </c>
      <c r="B296" t="s">
        <v>120</v>
      </c>
      <c r="C296" s="3">
        <v>45707.443194444444</v>
      </c>
      <c r="D296" t="s">
        <v>291</v>
      </c>
      <c r="E296" s="4">
        <v>0.90425370043516162</v>
      </c>
      <c r="F296" s="4">
        <v>349038.77875387523</v>
      </c>
      <c r="G296" s="4">
        <v>349039.68300757569</v>
      </c>
      <c r="H296" s="5">
        <f t="shared" si="1"/>
        <v>0</v>
      </c>
      <c r="I296" t="s">
        <v>191</v>
      </c>
      <c r="J296" t="s">
        <v>62</v>
      </c>
      <c r="K296" s="5">
        <f>246 / 86400</f>
        <v>2.8472222222222223E-3</v>
      </c>
      <c r="L296" s="5">
        <f>60 / 86400</f>
        <v>6.9444444444444447E-4</v>
      </c>
    </row>
    <row r="297" spans="1:12" x14ac:dyDescent="0.25">
      <c r="A297" s="3">
        <v>45707.443888888884</v>
      </c>
      <c r="B297" t="s">
        <v>291</v>
      </c>
      <c r="C297" s="3">
        <v>45707.444085648152</v>
      </c>
      <c r="D297" t="s">
        <v>121</v>
      </c>
      <c r="E297" s="4">
        <v>4.5462789535522458E-3</v>
      </c>
      <c r="F297" s="4">
        <v>349039.70207434095</v>
      </c>
      <c r="G297" s="4">
        <v>349039.70662061987</v>
      </c>
      <c r="H297" s="5">
        <f t="shared" si="1"/>
        <v>0</v>
      </c>
      <c r="I297" t="s">
        <v>24</v>
      </c>
      <c r="J297" t="s">
        <v>127</v>
      </c>
      <c r="K297" s="5">
        <f>17 / 86400</f>
        <v>1.9675925925925926E-4</v>
      </c>
      <c r="L297" s="5">
        <f>2216 / 86400</f>
        <v>2.5648148148148149E-2</v>
      </c>
    </row>
    <row r="298" spans="1:12" x14ac:dyDescent="0.25">
      <c r="A298" s="3">
        <v>45707.469733796301</v>
      </c>
      <c r="B298" t="s">
        <v>121</v>
      </c>
      <c r="C298" s="3">
        <v>45707.472615740742</v>
      </c>
      <c r="D298" t="s">
        <v>144</v>
      </c>
      <c r="E298" s="4">
        <v>1.0119004491567611</v>
      </c>
      <c r="F298" s="4">
        <v>349039.72302424756</v>
      </c>
      <c r="G298" s="4">
        <v>349040.73492469674</v>
      </c>
      <c r="H298" s="5">
        <f t="shared" si="1"/>
        <v>0</v>
      </c>
      <c r="I298" t="s">
        <v>84</v>
      </c>
      <c r="J298" t="s">
        <v>46</v>
      </c>
      <c r="K298" s="5">
        <f>249 / 86400</f>
        <v>2.8819444444444444E-3</v>
      </c>
      <c r="L298" s="5">
        <f>1836 / 86400</f>
        <v>2.1250000000000002E-2</v>
      </c>
    </row>
    <row r="299" spans="1:12" x14ac:dyDescent="0.25">
      <c r="A299" s="3">
        <v>45707.49386574074</v>
      </c>
      <c r="B299" t="s">
        <v>144</v>
      </c>
      <c r="C299" s="3">
        <v>45707.496990740736</v>
      </c>
      <c r="D299" t="s">
        <v>120</v>
      </c>
      <c r="E299" s="4">
        <v>1.3425120845437051</v>
      </c>
      <c r="F299" s="4">
        <v>349040.7434562475</v>
      </c>
      <c r="G299" s="4">
        <v>349042.08596833207</v>
      </c>
      <c r="H299" s="5">
        <f t="shared" ref="H299:H362" si="2">0 / 86400</f>
        <v>0</v>
      </c>
      <c r="I299" t="s">
        <v>172</v>
      </c>
      <c r="J299" t="s">
        <v>27</v>
      </c>
      <c r="K299" s="5">
        <f>270 / 86400</f>
        <v>3.1250000000000002E-3</v>
      </c>
      <c r="L299" s="5">
        <f>20 / 86400</f>
        <v>2.3148148148148149E-4</v>
      </c>
    </row>
    <row r="300" spans="1:12" x14ac:dyDescent="0.25">
      <c r="A300" s="3">
        <v>45707.49722222222</v>
      </c>
      <c r="B300" t="s">
        <v>120</v>
      </c>
      <c r="C300" s="3">
        <v>45707.499074074076</v>
      </c>
      <c r="D300" t="s">
        <v>292</v>
      </c>
      <c r="E300" s="4">
        <v>1.0268425722122192</v>
      </c>
      <c r="F300" s="4">
        <v>349042.12203846785</v>
      </c>
      <c r="G300" s="4">
        <v>349043.14888104005</v>
      </c>
      <c r="H300" s="5">
        <f t="shared" si="2"/>
        <v>0</v>
      </c>
      <c r="I300" t="s">
        <v>293</v>
      </c>
      <c r="J300" t="s">
        <v>35</v>
      </c>
      <c r="K300" s="5">
        <f>160 / 86400</f>
        <v>1.8518518518518519E-3</v>
      </c>
      <c r="L300" s="5">
        <f>20 / 86400</f>
        <v>2.3148148148148149E-4</v>
      </c>
    </row>
    <row r="301" spans="1:12" x14ac:dyDescent="0.25">
      <c r="A301" s="3">
        <v>45707.499305555553</v>
      </c>
      <c r="B301" t="s">
        <v>292</v>
      </c>
      <c r="C301" s="3">
        <v>45707.500185185185</v>
      </c>
      <c r="D301" t="s">
        <v>294</v>
      </c>
      <c r="E301" s="4">
        <v>0.70120189297199254</v>
      </c>
      <c r="F301" s="4">
        <v>349043.1705161155</v>
      </c>
      <c r="G301" s="4">
        <v>349043.87171800848</v>
      </c>
      <c r="H301" s="5">
        <f t="shared" si="2"/>
        <v>0</v>
      </c>
      <c r="I301" t="s">
        <v>183</v>
      </c>
      <c r="J301" t="s">
        <v>169</v>
      </c>
      <c r="K301" s="5">
        <f>76 / 86400</f>
        <v>8.7962962962962962E-4</v>
      </c>
      <c r="L301" s="5">
        <f>20 / 86400</f>
        <v>2.3148148148148149E-4</v>
      </c>
    </row>
    <row r="302" spans="1:12" x14ac:dyDescent="0.25">
      <c r="A302" s="3">
        <v>45707.500416666662</v>
      </c>
      <c r="B302" t="s">
        <v>294</v>
      </c>
      <c r="C302" s="3">
        <v>45707.505740740744</v>
      </c>
      <c r="D302" t="s">
        <v>295</v>
      </c>
      <c r="E302" s="4">
        <v>2.4559650728702547</v>
      </c>
      <c r="F302" s="4">
        <v>349043.89707067155</v>
      </c>
      <c r="G302" s="4">
        <v>349046.35303574445</v>
      </c>
      <c r="H302" s="5">
        <f t="shared" si="2"/>
        <v>0</v>
      </c>
      <c r="I302" t="s">
        <v>171</v>
      </c>
      <c r="J302" t="s">
        <v>33</v>
      </c>
      <c r="K302" s="5">
        <f>460 / 86400</f>
        <v>5.324074074074074E-3</v>
      </c>
      <c r="L302" s="5">
        <f>59 / 86400</f>
        <v>6.8287037037037036E-4</v>
      </c>
    </row>
    <row r="303" spans="1:12" x14ac:dyDescent="0.25">
      <c r="A303" s="3">
        <v>45707.506423611107</v>
      </c>
      <c r="B303" t="s">
        <v>296</v>
      </c>
      <c r="C303" s="3">
        <v>45707.506655092591</v>
      </c>
      <c r="D303" t="s">
        <v>296</v>
      </c>
      <c r="E303" s="4">
        <v>1.4805396199226379E-3</v>
      </c>
      <c r="F303" s="4">
        <v>349046.38318677008</v>
      </c>
      <c r="G303" s="4">
        <v>349046.3846673097</v>
      </c>
      <c r="H303" s="5">
        <f t="shared" si="2"/>
        <v>0</v>
      </c>
      <c r="I303" t="s">
        <v>136</v>
      </c>
      <c r="J303" t="s">
        <v>72</v>
      </c>
      <c r="K303" s="5">
        <f>20 / 86400</f>
        <v>2.3148148148148149E-4</v>
      </c>
      <c r="L303" s="5">
        <f>80 / 86400</f>
        <v>9.2592592592592596E-4</v>
      </c>
    </row>
    <row r="304" spans="1:12" x14ac:dyDescent="0.25">
      <c r="A304" s="3">
        <v>45707.507581018523</v>
      </c>
      <c r="B304" t="s">
        <v>296</v>
      </c>
      <c r="C304" s="3">
        <v>45707.5078125</v>
      </c>
      <c r="D304" t="s">
        <v>296</v>
      </c>
      <c r="E304" s="4">
        <v>3.21453994512558E-3</v>
      </c>
      <c r="F304" s="4">
        <v>349046.40115235437</v>
      </c>
      <c r="G304" s="4">
        <v>349046.40436689428</v>
      </c>
      <c r="H304" s="5">
        <f t="shared" si="2"/>
        <v>0</v>
      </c>
      <c r="I304" t="s">
        <v>136</v>
      </c>
      <c r="J304" t="s">
        <v>127</v>
      </c>
      <c r="K304" s="5">
        <f>20 / 86400</f>
        <v>2.3148148148148149E-4</v>
      </c>
      <c r="L304" s="5">
        <f>140 / 86400</f>
        <v>1.6203703703703703E-3</v>
      </c>
    </row>
    <row r="305" spans="1:12" x14ac:dyDescent="0.25">
      <c r="A305" s="3">
        <v>45707.509432870371</v>
      </c>
      <c r="B305" t="s">
        <v>296</v>
      </c>
      <c r="C305" s="3">
        <v>45707.509664351848</v>
      </c>
      <c r="D305" t="s">
        <v>296</v>
      </c>
      <c r="E305" s="4">
        <v>3.7710698843002317E-3</v>
      </c>
      <c r="F305" s="4">
        <v>349046.42553539039</v>
      </c>
      <c r="G305" s="4">
        <v>349046.42930646025</v>
      </c>
      <c r="H305" s="5">
        <f t="shared" si="2"/>
        <v>0</v>
      </c>
      <c r="I305" t="s">
        <v>136</v>
      </c>
      <c r="J305" t="s">
        <v>127</v>
      </c>
      <c r="K305" s="5">
        <f>20 / 86400</f>
        <v>2.3148148148148149E-4</v>
      </c>
      <c r="L305" s="5">
        <f>20 / 86400</f>
        <v>2.3148148148148149E-4</v>
      </c>
    </row>
    <row r="306" spans="1:12" x14ac:dyDescent="0.25">
      <c r="A306" s="3">
        <v>45707.509895833333</v>
      </c>
      <c r="B306" t="s">
        <v>295</v>
      </c>
      <c r="C306" s="3">
        <v>45707.510914351849</v>
      </c>
      <c r="D306" t="s">
        <v>297</v>
      </c>
      <c r="E306" s="4">
        <v>0.22832005178928375</v>
      </c>
      <c r="F306" s="4">
        <v>349046.4362345144</v>
      </c>
      <c r="G306" s="4">
        <v>349046.6645545662</v>
      </c>
      <c r="H306" s="5">
        <f t="shared" si="2"/>
        <v>0</v>
      </c>
      <c r="I306" t="s">
        <v>166</v>
      </c>
      <c r="J306" t="s">
        <v>132</v>
      </c>
      <c r="K306" s="5">
        <f>88 / 86400</f>
        <v>1.0185185185185184E-3</v>
      </c>
      <c r="L306" s="5">
        <f>34 / 86400</f>
        <v>3.9351851851851852E-4</v>
      </c>
    </row>
    <row r="307" spans="1:12" x14ac:dyDescent="0.25">
      <c r="A307" s="3">
        <v>45707.511307870373</v>
      </c>
      <c r="B307" t="s">
        <v>297</v>
      </c>
      <c r="C307" s="3">
        <v>45707.512002314819</v>
      </c>
      <c r="D307" t="s">
        <v>286</v>
      </c>
      <c r="E307" s="4">
        <v>0.40788124489784239</v>
      </c>
      <c r="F307" s="4">
        <v>349046.66731467238</v>
      </c>
      <c r="G307" s="4">
        <v>349047.07519591728</v>
      </c>
      <c r="H307" s="5">
        <f t="shared" si="2"/>
        <v>0</v>
      </c>
      <c r="I307" t="s">
        <v>256</v>
      </c>
      <c r="J307" t="s">
        <v>151</v>
      </c>
      <c r="K307" s="5">
        <f>60 / 86400</f>
        <v>6.9444444444444447E-4</v>
      </c>
      <c r="L307" s="5">
        <f>20 / 86400</f>
        <v>2.3148148148148149E-4</v>
      </c>
    </row>
    <row r="308" spans="1:12" x14ac:dyDescent="0.25">
      <c r="A308" s="3">
        <v>45707.512233796297</v>
      </c>
      <c r="B308" t="s">
        <v>298</v>
      </c>
      <c r="C308" s="3">
        <v>45707.516250000001</v>
      </c>
      <c r="D308" t="s">
        <v>280</v>
      </c>
      <c r="E308" s="4">
        <v>4.6102139797210695</v>
      </c>
      <c r="F308" s="4">
        <v>349047.08236335695</v>
      </c>
      <c r="G308" s="4">
        <v>349051.69257733668</v>
      </c>
      <c r="H308" s="5">
        <f t="shared" si="2"/>
        <v>0</v>
      </c>
      <c r="I308" t="s">
        <v>65</v>
      </c>
      <c r="J308" t="s">
        <v>261</v>
      </c>
      <c r="K308" s="5">
        <f>347 / 86400</f>
        <v>4.0162037037037041E-3</v>
      </c>
      <c r="L308" s="5">
        <f>20 / 86400</f>
        <v>2.3148148148148149E-4</v>
      </c>
    </row>
    <row r="309" spans="1:12" x14ac:dyDescent="0.25">
      <c r="A309" s="3">
        <v>45707.516481481478</v>
      </c>
      <c r="B309" t="s">
        <v>280</v>
      </c>
      <c r="C309" s="3">
        <v>45707.517175925925</v>
      </c>
      <c r="D309" t="s">
        <v>280</v>
      </c>
      <c r="E309" s="4">
        <v>0.51220422202348714</v>
      </c>
      <c r="F309" s="4">
        <v>349051.70222227264</v>
      </c>
      <c r="G309" s="4">
        <v>349052.21442649467</v>
      </c>
      <c r="H309" s="5">
        <f t="shared" si="2"/>
        <v>0</v>
      </c>
      <c r="I309" t="s">
        <v>299</v>
      </c>
      <c r="J309" t="s">
        <v>57</v>
      </c>
      <c r="K309" s="5">
        <f>60 / 86400</f>
        <v>6.9444444444444447E-4</v>
      </c>
      <c r="L309" s="5">
        <f>20 / 86400</f>
        <v>2.3148148148148149E-4</v>
      </c>
    </row>
    <row r="310" spans="1:12" x14ac:dyDescent="0.25">
      <c r="A310" s="3">
        <v>45707.517407407402</v>
      </c>
      <c r="B310" t="s">
        <v>280</v>
      </c>
      <c r="C310" s="3">
        <v>45707.521111111113</v>
      </c>
      <c r="D310" t="s">
        <v>140</v>
      </c>
      <c r="E310" s="4">
        <v>3.6406511580348013</v>
      </c>
      <c r="F310" s="4">
        <v>349052.33319305367</v>
      </c>
      <c r="G310" s="4">
        <v>349055.97384421172</v>
      </c>
      <c r="H310" s="5">
        <f t="shared" si="2"/>
        <v>0</v>
      </c>
      <c r="I310" t="s">
        <v>78</v>
      </c>
      <c r="J310" t="s">
        <v>202</v>
      </c>
      <c r="K310" s="5">
        <f>320 / 86400</f>
        <v>3.7037037037037038E-3</v>
      </c>
      <c r="L310" s="5">
        <f>40 / 86400</f>
        <v>4.6296296296296298E-4</v>
      </c>
    </row>
    <row r="311" spans="1:12" x14ac:dyDescent="0.25">
      <c r="A311" s="3">
        <v>45707.521574074075</v>
      </c>
      <c r="B311" t="s">
        <v>140</v>
      </c>
      <c r="C311" s="3">
        <v>45707.522268518514</v>
      </c>
      <c r="D311" t="s">
        <v>275</v>
      </c>
      <c r="E311" s="4">
        <v>0.46490311956405639</v>
      </c>
      <c r="F311" s="4">
        <v>349056.15081545559</v>
      </c>
      <c r="G311" s="4">
        <v>349056.61571857519</v>
      </c>
      <c r="H311" s="5">
        <f t="shared" si="2"/>
        <v>0</v>
      </c>
      <c r="I311" t="s">
        <v>161</v>
      </c>
      <c r="J311" t="s">
        <v>178</v>
      </c>
      <c r="K311" s="5">
        <f>60 / 86400</f>
        <v>6.9444444444444447E-4</v>
      </c>
      <c r="L311" s="5">
        <f>20 / 86400</f>
        <v>2.3148148148148149E-4</v>
      </c>
    </row>
    <row r="312" spans="1:12" x14ac:dyDescent="0.25">
      <c r="A312" s="3">
        <v>45707.522499999999</v>
      </c>
      <c r="B312" t="s">
        <v>272</v>
      </c>
      <c r="C312" s="3">
        <v>45707.525277777779</v>
      </c>
      <c r="D312" t="s">
        <v>82</v>
      </c>
      <c r="E312" s="4">
        <v>4.31439446914196</v>
      </c>
      <c r="F312" s="4">
        <v>349056.69147924433</v>
      </c>
      <c r="G312" s="4">
        <v>349061.00587371347</v>
      </c>
      <c r="H312" s="5">
        <f t="shared" si="2"/>
        <v>0</v>
      </c>
      <c r="I312" t="s">
        <v>60</v>
      </c>
      <c r="J312" t="s">
        <v>153</v>
      </c>
      <c r="K312" s="5">
        <f>240 / 86400</f>
        <v>2.7777777777777779E-3</v>
      </c>
      <c r="L312" s="5">
        <f>40 / 86400</f>
        <v>4.6296296296296298E-4</v>
      </c>
    </row>
    <row r="313" spans="1:12" x14ac:dyDescent="0.25">
      <c r="A313" s="3">
        <v>45707.525740740741</v>
      </c>
      <c r="B313" t="s">
        <v>82</v>
      </c>
      <c r="C313" s="3">
        <v>45707.526203703703</v>
      </c>
      <c r="D313" t="s">
        <v>175</v>
      </c>
      <c r="E313" s="4">
        <v>9.102764534950257E-2</v>
      </c>
      <c r="F313" s="4">
        <v>349061.01343391347</v>
      </c>
      <c r="G313" s="4">
        <v>349061.1044615588</v>
      </c>
      <c r="H313" s="5">
        <f t="shared" si="2"/>
        <v>0</v>
      </c>
      <c r="I313" t="s">
        <v>137</v>
      </c>
      <c r="J313" t="s">
        <v>31</v>
      </c>
      <c r="K313" s="5">
        <f>40 / 86400</f>
        <v>4.6296296296296298E-4</v>
      </c>
      <c r="L313" s="5">
        <f>20 / 86400</f>
        <v>2.3148148148148149E-4</v>
      </c>
    </row>
    <row r="314" spans="1:12" x14ac:dyDescent="0.25">
      <c r="A314" s="3">
        <v>45707.52643518518</v>
      </c>
      <c r="B314" t="s">
        <v>175</v>
      </c>
      <c r="C314" s="3">
        <v>45707.526666666672</v>
      </c>
      <c r="D314" t="s">
        <v>175</v>
      </c>
      <c r="E314" s="4">
        <v>8.5889807939529411E-3</v>
      </c>
      <c r="F314" s="4">
        <v>349061.12148537929</v>
      </c>
      <c r="G314" s="4">
        <v>349061.13007436006</v>
      </c>
      <c r="H314" s="5">
        <f t="shared" si="2"/>
        <v>0</v>
      </c>
      <c r="I314" t="s">
        <v>31</v>
      </c>
      <c r="J314" t="s">
        <v>136</v>
      </c>
      <c r="K314" s="5">
        <f>20 / 86400</f>
        <v>2.3148148148148149E-4</v>
      </c>
      <c r="L314" s="5">
        <f>40 / 86400</f>
        <v>4.6296296296296298E-4</v>
      </c>
    </row>
    <row r="315" spans="1:12" x14ac:dyDescent="0.25">
      <c r="A315" s="3">
        <v>45707.527129629627</v>
      </c>
      <c r="B315" t="s">
        <v>175</v>
      </c>
      <c r="C315" s="3">
        <v>45707.527592592596</v>
      </c>
      <c r="D315" t="s">
        <v>139</v>
      </c>
      <c r="E315" s="4">
        <v>5.5403644561767579E-2</v>
      </c>
      <c r="F315" s="4">
        <v>349061.13150633773</v>
      </c>
      <c r="G315" s="4">
        <v>349061.18690998224</v>
      </c>
      <c r="H315" s="5">
        <f t="shared" si="2"/>
        <v>0</v>
      </c>
      <c r="I315" t="s">
        <v>136</v>
      </c>
      <c r="J315" t="s">
        <v>134</v>
      </c>
      <c r="K315" s="5">
        <f>40 / 86400</f>
        <v>4.6296296296296298E-4</v>
      </c>
      <c r="L315" s="5">
        <f>120 / 86400</f>
        <v>1.3888888888888889E-3</v>
      </c>
    </row>
    <row r="316" spans="1:12" x14ac:dyDescent="0.25">
      <c r="A316" s="3">
        <v>45707.528981481482</v>
      </c>
      <c r="B316" t="s">
        <v>139</v>
      </c>
      <c r="C316" s="3">
        <v>45707.529212962967</v>
      </c>
      <c r="D316" t="s">
        <v>139</v>
      </c>
      <c r="E316" s="4">
        <v>9.7485864162445072E-4</v>
      </c>
      <c r="F316" s="4">
        <v>349061.1992486089</v>
      </c>
      <c r="G316" s="4">
        <v>349061.20022346755</v>
      </c>
      <c r="H316" s="5">
        <f t="shared" si="2"/>
        <v>0</v>
      </c>
      <c r="I316" t="s">
        <v>136</v>
      </c>
      <c r="J316" t="s">
        <v>72</v>
      </c>
      <c r="K316" s="5">
        <f>20 / 86400</f>
        <v>2.3148148148148149E-4</v>
      </c>
      <c r="L316" s="5">
        <f>20 / 86400</f>
        <v>2.3148148148148149E-4</v>
      </c>
    </row>
    <row r="317" spans="1:12" x14ac:dyDescent="0.25">
      <c r="A317" s="3">
        <v>45707.529444444444</v>
      </c>
      <c r="B317" t="s">
        <v>139</v>
      </c>
      <c r="C317" s="3">
        <v>45707.529675925922</v>
      </c>
      <c r="D317" t="s">
        <v>139</v>
      </c>
      <c r="E317" s="4">
        <v>7.1252117156982422E-3</v>
      </c>
      <c r="F317" s="4">
        <v>349061.20226033556</v>
      </c>
      <c r="G317" s="4">
        <v>349061.20938554726</v>
      </c>
      <c r="H317" s="5">
        <f t="shared" si="2"/>
        <v>0</v>
      </c>
      <c r="I317" t="s">
        <v>127</v>
      </c>
      <c r="J317" t="s">
        <v>127</v>
      </c>
      <c r="K317" s="5">
        <f>20 / 86400</f>
        <v>2.3148148148148149E-4</v>
      </c>
      <c r="L317" s="5">
        <f>40 / 86400</f>
        <v>4.6296296296296298E-4</v>
      </c>
    </row>
    <row r="318" spans="1:12" x14ac:dyDescent="0.25">
      <c r="A318" s="3">
        <v>45707.530138888891</v>
      </c>
      <c r="B318" t="s">
        <v>139</v>
      </c>
      <c r="C318" s="3">
        <v>45707.532916666663</v>
      </c>
      <c r="D318" t="s">
        <v>300</v>
      </c>
      <c r="E318" s="4">
        <v>3.2770174500346183</v>
      </c>
      <c r="F318" s="4">
        <v>349061.21565087879</v>
      </c>
      <c r="G318" s="4">
        <v>349064.49266832881</v>
      </c>
      <c r="H318" s="5">
        <f t="shared" si="2"/>
        <v>0</v>
      </c>
      <c r="I318" t="s">
        <v>65</v>
      </c>
      <c r="J318" t="s">
        <v>301</v>
      </c>
      <c r="K318" s="5">
        <f>240 / 86400</f>
        <v>2.7777777777777779E-3</v>
      </c>
      <c r="L318" s="5">
        <f>100 / 86400</f>
        <v>1.1574074074074073E-3</v>
      </c>
    </row>
    <row r="319" spans="1:12" x14ac:dyDescent="0.25">
      <c r="A319" s="3">
        <v>45707.534074074079</v>
      </c>
      <c r="B319" t="s">
        <v>176</v>
      </c>
      <c r="C319" s="3">
        <v>45707.534768518519</v>
      </c>
      <c r="D319" t="s">
        <v>176</v>
      </c>
      <c r="E319" s="4">
        <v>0.7377673740386963</v>
      </c>
      <c r="F319" s="4">
        <v>349064.7286016072</v>
      </c>
      <c r="G319" s="4">
        <v>349065.46636898123</v>
      </c>
      <c r="H319" s="5">
        <f t="shared" si="2"/>
        <v>0</v>
      </c>
      <c r="I319" t="s">
        <v>78</v>
      </c>
      <c r="J319" t="s">
        <v>251</v>
      </c>
      <c r="K319" s="5">
        <f>60 / 86400</f>
        <v>6.9444444444444447E-4</v>
      </c>
      <c r="L319" s="5">
        <f>20 / 86400</f>
        <v>2.3148148148148149E-4</v>
      </c>
    </row>
    <row r="320" spans="1:12" x14ac:dyDescent="0.25">
      <c r="A320" s="3">
        <v>45707.535000000003</v>
      </c>
      <c r="B320" t="s">
        <v>176</v>
      </c>
      <c r="C320" s="3">
        <v>45707.536851851852</v>
      </c>
      <c r="D320" t="s">
        <v>118</v>
      </c>
      <c r="E320" s="4">
        <v>1.8637364716529847</v>
      </c>
      <c r="F320" s="4">
        <v>349065.50682917208</v>
      </c>
      <c r="G320" s="4">
        <v>349067.37056564371</v>
      </c>
      <c r="H320" s="5">
        <f t="shared" si="2"/>
        <v>0</v>
      </c>
      <c r="I320" t="s">
        <v>302</v>
      </c>
      <c r="J320" t="s">
        <v>171</v>
      </c>
      <c r="K320" s="5">
        <f>160 / 86400</f>
        <v>1.8518518518518519E-3</v>
      </c>
      <c r="L320" s="5">
        <f>40 / 86400</f>
        <v>4.6296296296296298E-4</v>
      </c>
    </row>
    <row r="321" spans="1:12" x14ac:dyDescent="0.25">
      <c r="A321" s="3">
        <v>45707.537314814814</v>
      </c>
      <c r="B321" t="s">
        <v>118</v>
      </c>
      <c r="C321" s="3">
        <v>45707.538935185185</v>
      </c>
      <c r="D321" t="s">
        <v>184</v>
      </c>
      <c r="E321" s="4">
        <v>1.6471290834546088</v>
      </c>
      <c r="F321" s="4">
        <v>349067.44190138223</v>
      </c>
      <c r="G321" s="4">
        <v>349069.08903046564</v>
      </c>
      <c r="H321" s="5">
        <f t="shared" si="2"/>
        <v>0</v>
      </c>
      <c r="I321" t="s">
        <v>78</v>
      </c>
      <c r="J321" t="s">
        <v>171</v>
      </c>
      <c r="K321" s="5">
        <f>140 / 86400</f>
        <v>1.6203703703703703E-3</v>
      </c>
      <c r="L321" s="5">
        <f>13 / 86400</f>
        <v>1.5046296296296297E-4</v>
      </c>
    </row>
    <row r="322" spans="1:12" x14ac:dyDescent="0.25">
      <c r="A322" s="3">
        <v>45707.539085648154</v>
      </c>
      <c r="B322" t="s">
        <v>184</v>
      </c>
      <c r="C322" s="3">
        <v>45707.540706018517</v>
      </c>
      <c r="D322" t="s">
        <v>118</v>
      </c>
      <c r="E322" s="4">
        <v>1.0339505375623703</v>
      </c>
      <c r="F322" s="4">
        <v>349069.09454572044</v>
      </c>
      <c r="G322" s="4">
        <v>349070.128496258</v>
      </c>
      <c r="H322" s="5">
        <f t="shared" si="2"/>
        <v>0</v>
      </c>
      <c r="I322" t="s">
        <v>141</v>
      </c>
      <c r="J322" t="s">
        <v>84</v>
      </c>
      <c r="K322" s="5">
        <f>140 / 86400</f>
        <v>1.6203703703703703E-3</v>
      </c>
      <c r="L322" s="5">
        <f>20 / 86400</f>
        <v>2.3148148148148149E-4</v>
      </c>
    </row>
    <row r="323" spans="1:12" x14ac:dyDescent="0.25">
      <c r="A323" s="3">
        <v>45707.540937500002</v>
      </c>
      <c r="B323" t="s">
        <v>118</v>
      </c>
      <c r="C323" s="3">
        <v>45707.541400462964</v>
      </c>
      <c r="D323" t="s">
        <v>91</v>
      </c>
      <c r="E323" s="4">
        <v>0.56025128245353695</v>
      </c>
      <c r="F323" s="4">
        <v>349070.33460101008</v>
      </c>
      <c r="G323" s="4">
        <v>349070.89485229255</v>
      </c>
      <c r="H323" s="5">
        <f t="shared" si="2"/>
        <v>0</v>
      </c>
      <c r="I323" t="s">
        <v>141</v>
      </c>
      <c r="J323" t="s">
        <v>138</v>
      </c>
      <c r="K323" s="5">
        <f>40 / 86400</f>
        <v>4.6296296296296298E-4</v>
      </c>
      <c r="L323" s="5">
        <f>20 / 86400</f>
        <v>2.3148148148148149E-4</v>
      </c>
    </row>
    <row r="324" spans="1:12" x14ac:dyDescent="0.25">
      <c r="A324" s="3">
        <v>45707.541631944448</v>
      </c>
      <c r="B324" t="s">
        <v>91</v>
      </c>
      <c r="C324" s="3">
        <v>45707.54278935185</v>
      </c>
      <c r="D324" t="s">
        <v>91</v>
      </c>
      <c r="E324" s="4">
        <v>0.69583815091848378</v>
      </c>
      <c r="F324" s="4">
        <v>349071.01911002339</v>
      </c>
      <c r="G324" s="4">
        <v>349071.71494817431</v>
      </c>
      <c r="H324" s="5">
        <f t="shared" si="2"/>
        <v>0</v>
      </c>
      <c r="I324" t="s">
        <v>147</v>
      </c>
      <c r="J324" t="s">
        <v>30</v>
      </c>
      <c r="K324" s="5">
        <f>100 / 86400</f>
        <v>1.1574074074074073E-3</v>
      </c>
      <c r="L324" s="5">
        <f>80 / 86400</f>
        <v>9.2592592592592596E-4</v>
      </c>
    </row>
    <row r="325" spans="1:12" x14ac:dyDescent="0.25">
      <c r="A325" s="3">
        <v>45707.543715277774</v>
      </c>
      <c r="B325" t="s">
        <v>91</v>
      </c>
      <c r="C325" s="3">
        <v>45707.543946759259</v>
      </c>
      <c r="D325" t="s">
        <v>303</v>
      </c>
      <c r="E325" s="4">
        <v>1.3580020785331727E-2</v>
      </c>
      <c r="F325" s="4">
        <v>349071.72660804511</v>
      </c>
      <c r="G325" s="4">
        <v>349071.74018806586</v>
      </c>
      <c r="H325" s="5">
        <f t="shared" si="2"/>
        <v>0</v>
      </c>
      <c r="I325" t="s">
        <v>101</v>
      </c>
      <c r="J325" t="s">
        <v>136</v>
      </c>
      <c r="K325" s="5">
        <f>20 / 86400</f>
        <v>2.3148148148148149E-4</v>
      </c>
      <c r="L325" s="5">
        <f>20 / 86400</f>
        <v>2.3148148148148149E-4</v>
      </c>
    </row>
    <row r="326" spans="1:12" x14ac:dyDescent="0.25">
      <c r="A326" s="3">
        <v>45707.544178240743</v>
      </c>
      <c r="B326" t="s">
        <v>91</v>
      </c>
      <c r="C326" s="3">
        <v>45707.544409722221</v>
      </c>
      <c r="D326" t="s">
        <v>91</v>
      </c>
      <c r="E326" s="4">
        <v>1.7324410676956177E-3</v>
      </c>
      <c r="F326" s="4">
        <v>349071.76088225021</v>
      </c>
      <c r="G326" s="4">
        <v>349071.76261469128</v>
      </c>
      <c r="H326" s="5">
        <f t="shared" si="2"/>
        <v>0</v>
      </c>
      <c r="I326" t="s">
        <v>127</v>
      </c>
      <c r="J326" t="s">
        <v>72</v>
      </c>
      <c r="K326" s="5">
        <f>20 / 86400</f>
        <v>2.3148148148148149E-4</v>
      </c>
      <c r="L326" s="5">
        <f>40 / 86400</f>
        <v>4.6296296296296298E-4</v>
      </c>
    </row>
    <row r="327" spans="1:12" x14ac:dyDescent="0.25">
      <c r="A327" s="3">
        <v>45707.54487268519</v>
      </c>
      <c r="B327" t="s">
        <v>91</v>
      </c>
      <c r="C327" s="3">
        <v>45707.545104166667</v>
      </c>
      <c r="D327" t="s">
        <v>91</v>
      </c>
      <c r="E327" s="4">
        <v>2.6955968618392945E-2</v>
      </c>
      <c r="F327" s="4">
        <v>349071.79578334693</v>
      </c>
      <c r="G327" s="4">
        <v>349071.82273931557</v>
      </c>
      <c r="H327" s="5">
        <f t="shared" si="2"/>
        <v>0</v>
      </c>
      <c r="I327" t="s">
        <v>85</v>
      </c>
      <c r="J327" t="s">
        <v>134</v>
      </c>
      <c r="K327" s="5">
        <f>20 / 86400</f>
        <v>2.3148148148148149E-4</v>
      </c>
      <c r="L327" s="5">
        <f>20 / 86400</f>
        <v>2.3148148148148149E-4</v>
      </c>
    </row>
    <row r="328" spans="1:12" x14ac:dyDescent="0.25">
      <c r="A328" s="3">
        <v>45707.545335648145</v>
      </c>
      <c r="B328" t="s">
        <v>91</v>
      </c>
      <c r="C328" s="3">
        <v>45707.545567129629</v>
      </c>
      <c r="D328" t="s">
        <v>91</v>
      </c>
      <c r="E328" s="4">
        <v>1.8286914944648743E-2</v>
      </c>
      <c r="F328" s="4">
        <v>349071.82390244282</v>
      </c>
      <c r="G328" s="4">
        <v>349071.84218935773</v>
      </c>
      <c r="H328" s="5">
        <f t="shared" si="2"/>
        <v>0</v>
      </c>
      <c r="I328" t="s">
        <v>127</v>
      </c>
      <c r="J328" t="s">
        <v>24</v>
      </c>
      <c r="K328" s="5">
        <f>20 / 86400</f>
        <v>2.3148148148148149E-4</v>
      </c>
      <c r="L328" s="5">
        <f>20 / 86400</f>
        <v>2.3148148148148149E-4</v>
      </c>
    </row>
    <row r="329" spans="1:12" x14ac:dyDescent="0.25">
      <c r="A329" s="3">
        <v>45707.545798611114</v>
      </c>
      <c r="B329" t="s">
        <v>91</v>
      </c>
      <c r="C329" s="3">
        <v>45707.546030092592</v>
      </c>
      <c r="D329" t="s">
        <v>91</v>
      </c>
      <c r="E329" s="4">
        <v>1.8122670829296111E-2</v>
      </c>
      <c r="F329" s="4">
        <v>349071.87587470538</v>
      </c>
      <c r="G329" s="4">
        <v>349071.8939973762</v>
      </c>
      <c r="H329" s="5">
        <f t="shared" si="2"/>
        <v>0</v>
      </c>
      <c r="I329" t="s">
        <v>31</v>
      </c>
      <c r="J329" t="s">
        <v>24</v>
      </c>
      <c r="K329" s="5">
        <f>20 / 86400</f>
        <v>2.3148148148148149E-4</v>
      </c>
      <c r="L329" s="5">
        <f>40 / 86400</f>
        <v>4.6296296296296298E-4</v>
      </c>
    </row>
    <row r="330" spans="1:12" x14ac:dyDescent="0.25">
      <c r="A330" s="3">
        <v>45707.546493055561</v>
      </c>
      <c r="B330" t="s">
        <v>91</v>
      </c>
      <c r="C330" s="3">
        <v>45707.54788194444</v>
      </c>
      <c r="D330" t="s">
        <v>186</v>
      </c>
      <c r="E330" s="4">
        <v>0.51682836818695066</v>
      </c>
      <c r="F330" s="4">
        <v>349071.93447474379</v>
      </c>
      <c r="G330" s="4">
        <v>349072.45130311197</v>
      </c>
      <c r="H330" s="5">
        <f t="shared" si="2"/>
        <v>0</v>
      </c>
      <c r="I330" t="s">
        <v>161</v>
      </c>
      <c r="J330" t="s">
        <v>20</v>
      </c>
      <c r="K330" s="5">
        <f>120 / 86400</f>
        <v>1.3888888888888889E-3</v>
      </c>
      <c r="L330" s="5">
        <f>20 / 86400</f>
        <v>2.3148148148148149E-4</v>
      </c>
    </row>
    <row r="331" spans="1:12" x14ac:dyDescent="0.25">
      <c r="A331" s="3">
        <v>45707.548113425924</v>
      </c>
      <c r="B331" t="s">
        <v>186</v>
      </c>
      <c r="C331" s="3">
        <v>45707.548344907409</v>
      </c>
      <c r="D331" t="s">
        <v>186</v>
      </c>
      <c r="E331" s="4">
        <v>5.4294022381305693E-2</v>
      </c>
      <c r="F331" s="4">
        <v>349072.45817743015</v>
      </c>
      <c r="G331" s="4">
        <v>349072.51247145253</v>
      </c>
      <c r="H331" s="5">
        <f t="shared" si="2"/>
        <v>0</v>
      </c>
      <c r="I331" t="s">
        <v>132</v>
      </c>
      <c r="J331" t="s">
        <v>123</v>
      </c>
      <c r="K331" s="5">
        <f>20 / 86400</f>
        <v>2.3148148148148149E-4</v>
      </c>
      <c r="L331" s="5">
        <f>20 / 86400</f>
        <v>2.3148148148148149E-4</v>
      </c>
    </row>
    <row r="332" spans="1:12" x14ac:dyDescent="0.25">
      <c r="A332" s="3">
        <v>45707.548576388886</v>
      </c>
      <c r="B332" t="s">
        <v>186</v>
      </c>
      <c r="C332" s="3">
        <v>45707.549270833333</v>
      </c>
      <c r="D332" t="s">
        <v>304</v>
      </c>
      <c r="E332" s="4">
        <v>0.28123783159255983</v>
      </c>
      <c r="F332" s="4">
        <v>349072.51761048211</v>
      </c>
      <c r="G332" s="4">
        <v>349072.79884831369</v>
      </c>
      <c r="H332" s="5">
        <f t="shared" si="2"/>
        <v>0</v>
      </c>
      <c r="I332" t="s">
        <v>155</v>
      </c>
      <c r="J332" t="s">
        <v>37</v>
      </c>
      <c r="K332" s="5">
        <f>60 / 86400</f>
        <v>6.9444444444444447E-4</v>
      </c>
      <c r="L332" s="5">
        <f>8 / 86400</f>
        <v>9.2592592592592588E-5</v>
      </c>
    </row>
    <row r="333" spans="1:12" x14ac:dyDescent="0.25">
      <c r="A333" s="3">
        <v>45707.549363425926</v>
      </c>
      <c r="B333" t="s">
        <v>304</v>
      </c>
      <c r="C333" s="3">
        <v>45707.549826388888</v>
      </c>
      <c r="D333" t="s">
        <v>305</v>
      </c>
      <c r="E333" s="4">
        <v>0.3063325335383415</v>
      </c>
      <c r="F333" s="4">
        <v>349072.8045978251</v>
      </c>
      <c r="G333" s="4">
        <v>349073.11093035864</v>
      </c>
      <c r="H333" s="5">
        <f t="shared" si="2"/>
        <v>0</v>
      </c>
      <c r="I333" t="s">
        <v>148</v>
      </c>
      <c r="J333" t="s">
        <v>178</v>
      </c>
      <c r="K333" s="5">
        <f>40 / 86400</f>
        <v>4.6296296296296298E-4</v>
      </c>
      <c r="L333" s="5">
        <f>40 / 86400</f>
        <v>4.6296296296296298E-4</v>
      </c>
    </row>
    <row r="334" spans="1:12" x14ac:dyDescent="0.25">
      <c r="A334" s="3">
        <v>45707.550289351857</v>
      </c>
      <c r="B334" t="s">
        <v>306</v>
      </c>
      <c r="C334" s="3">
        <v>45707.55168981482</v>
      </c>
      <c r="D334" t="s">
        <v>189</v>
      </c>
      <c r="E334" s="4">
        <v>0.54231637537479405</v>
      </c>
      <c r="F334" s="4">
        <v>349073.12190134329</v>
      </c>
      <c r="G334" s="4">
        <v>349073.66421771864</v>
      </c>
      <c r="H334" s="5">
        <f t="shared" si="2"/>
        <v>0</v>
      </c>
      <c r="I334" t="s">
        <v>161</v>
      </c>
      <c r="J334" t="s">
        <v>20</v>
      </c>
      <c r="K334" s="5">
        <f>121 / 86400</f>
        <v>1.4004629629629629E-3</v>
      </c>
      <c r="L334" s="5">
        <f>20 / 86400</f>
        <v>2.3148148148148149E-4</v>
      </c>
    </row>
    <row r="335" spans="1:12" x14ac:dyDescent="0.25">
      <c r="A335" s="3">
        <v>45707.551921296297</v>
      </c>
      <c r="B335" t="s">
        <v>307</v>
      </c>
      <c r="C335" s="3">
        <v>45707.552847222221</v>
      </c>
      <c r="D335" t="s">
        <v>104</v>
      </c>
      <c r="E335" s="4">
        <v>0.26869234865903857</v>
      </c>
      <c r="F335" s="4">
        <v>349073.66661179182</v>
      </c>
      <c r="G335" s="4">
        <v>349073.9353041405</v>
      </c>
      <c r="H335" s="5">
        <f t="shared" si="2"/>
        <v>0</v>
      </c>
      <c r="I335" t="s">
        <v>174</v>
      </c>
      <c r="J335" t="s">
        <v>148</v>
      </c>
      <c r="K335" s="5">
        <f>80 / 86400</f>
        <v>9.2592592592592596E-4</v>
      </c>
      <c r="L335" s="5">
        <f>20 / 86400</f>
        <v>2.3148148148148149E-4</v>
      </c>
    </row>
    <row r="336" spans="1:12" x14ac:dyDescent="0.25">
      <c r="A336" s="3">
        <v>45707.553078703699</v>
      </c>
      <c r="B336" t="s">
        <v>308</v>
      </c>
      <c r="C336" s="3">
        <v>45707.553773148145</v>
      </c>
      <c r="D336" t="s">
        <v>104</v>
      </c>
      <c r="E336" s="4">
        <v>0.41355133318901061</v>
      </c>
      <c r="F336" s="4">
        <v>349074.50912634231</v>
      </c>
      <c r="G336" s="4">
        <v>349074.92267767549</v>
      </c>
      <c r="H336" s="5">
        <f t="shared" si="2"/>
        <v>0</v>
      </c>
      <c r="I336" t="s">
        <v>147</v>
      </c>
      <c r="J336" t="s">
        <v>30</v>
      </c>
      <c r="K336" s="5">
        <f>60 / 86400</f>
        <v>6.9444444444444447E-4</v>
      </c>
      <c r="L336" s="5">
        <f>12 / 86400</f>
        <v>1.3888888888888889E-4</v>
      </c>
    </row>
    <row r="337" spans="1:12" x14ac:dyDescent="0.25">
      <c r="A337" s="3">
        <v>45707.553912037038</v>
      </c>
      <c r="B337" t="s">
        <v>104</v>
      </c>
      <c r="C337" s="3">
        <v>45707.554143518515</v>
      </c>
      <c r="D337" t="s">
        <v>104</v>
      </c>
      <c r="E337" s="4">
        <v>2.1278242468833922E-2</v>
      </c>
      <c r="F337" s="4">
        <v>349074.92434613517</v>
      </c>
      <c r="G337" s="4">
        <v>349074.94562437769</v>
      </c>
      <c r="H337" s="5">
        <f t="shared" si="2"/>
        <v>0</v>
      </c>
      <c r="I337" t="s">
        <v>134</v>
      </c>
      <c r="J337" t="s">
        <v>58</v>
      </c>
      <c r="K337" s="5">
        <f>20 / 86400</f>
        <v>2.3148148148148149E-4</v>
      </c>
      <c r="L337" s="5">
        <f>77 / 86400</f>
        <v>8.9120370370370373E-4</v>
      </c>
    </row>
    <row r="338" spans="1:12" x14ac:dyDescent="0.25">
      <c r="A338" s="3">
        <v>45707.555034722223</v>
      </c>
      <c r="B338" t="s">
        <v>104</v>
      </c>
      <c r="C338" s="3">
        <v>45707.555497685185</v>
      </c>
      <c r="D338" t="s">
        <v>104</v>
      </c>
      <c r="E338" s="4">
        <v>0.18009768968820572</v>
      </c>
      <c r="F338" s="4">
        <v>349074.95812462823</v>
      </c>
      <c r="G338" s="4">
        <v>349075.13822231791</v>
      </c>
      <c r="H338" s="5">
        <f t="shared" si="2"/>
        <v>0</v>
      </c>
      <c r="I338" t="s">
        <v>30</v>
      </c>
      <c r="J338" t="s">
        <v>20</v>
      </c>
      <c r="K338" s="5">
        <f>40 / 86400</f>
        <v>4.6296296296296298E-4</v>
      </c>
      <c r="L338" s="5">
        <f>60 / 86400</f>
        <v>6.9444444444444447E-4</v>
      </c>
    </row>
    <row r="339" spans="1:12" x14ac:dyDescent="0.25">
      <c r="A339" s="3">
        <v>45707.556192129632</v>
      </c>
      <c r="B339" t="s">
        <v>305</v>
      </c>
      <c r="C339" s="3">
        <v>45707.557118055556</v>
      </c>
      <c r="D339" t="s">
        <v>104</v>
      </c>
      <c r="E339" s="4">
        <v>0.65424466425180439</v>
      </c>
      <c r="F339" s="4">
        <v>349075.2277032815</v>
      </c>
      <c r="G339" s="4">
        <v>349075.88194794575</v>
      </c>
      <c r="H339" s="5">
        <f t="shared" si="2"/>
        <v>0</v>
      </c>
      <c r="I339" t="s">
        <v>235</v>
      </c>
      <c r="J339" t="s">
        <v>185</v>
      </c>
      <c r="K339" s="5">
        <f>80 / 86400</f>
        <v>9.2592592592592596E-4</v>
      </c>
      <c r="L339" s="5">
        <f>20 / 86400</f>
        <v>2.3148148148148149E-4</v>
      </c>
    </row>
    <row r="340" spans="1:12" x14ac:dyDescent="0.25">
      <c r="A340" s="3">
        <v>45707.557349537034</v>
      </c>
      <c r="B340" t="s">
        <v>309</v>
      </c>
      <c r="C340" s="3">
        <v>45707.558275462958</v>
      </c>
      <c r="D340" t="s">
        <v>164</v>
      </c>
      <c r="E340" s="4">
        <v>0.69886652231216428</v>
      </c>
      <c r="F340" s="4">
        <v>349075.99173521629</v>
      </c>
      <c r="G340" s="4">
        <v>349076.69060173858</v>
      </c>
      <c r="H340" s="5">
        <f t="shared" si="2"/>
        <v>0</v>
      </c>
      <c r="I340" t="s">
        <v>180</v>
      </c>
      <c r="J340" t="s">
        <v>57</v>
      </c>
      <c r="K340" s="5">
        <f>80 / 86400</f>
        <v>9.2592592592592596E-4</v>
      </c>
      <c r="L340" s="5">
        <f>20 / 86400</f>
        <v>2.3148148148148149E-4</v>
      </c>
    </row>
    <row r="341" spans="1:12" x14ac:dyDescent="0.25">
      <c r="A341" s="3">
        <v>45707.55850694445</v>
      </c>
      <c r="B341" t="s">
        <v>310</v>
      </c>
      <c r="C341" s="3">
        <v>45707.559432870374</v>
      </c>
      <c r="D341" t="s">
        <v>192</v>
      </c>
      <c r="E341" s="4">
        <v>0.79358088475465771</v>
      </c>
      <c r="F341" s="4">
        <v>349076.73996084923</v>
      </c>
      <c r="G341" s="4">
        <v>349077.53354173398</v>
      </c>
      <c r="H341" s="5">
        <f t="shared" si="2"/>
        <v>0</v>
      </c>
      <c r="I341" t="s">
        <v>153</v>
      </c>
      <c r="J341" t="s">
        <v>131</v>
      </c>
      <c r="K341" s="5">
        <f>80 / 86400</f>
        <v>9.2592592592592596E-4</v>
      </c>
      <c r="L341" s="5">
        <f>20 / 86400</f>
        <v>2.3148148148148149E-4</v>
      </c>
    </row>
    <row r="342" spans="1:12" x14ac:dyDescent="0.25">
      <c r="A342" s="3">
        <v>45707.559664351851</v>
      </c>
      <c r="B342" t="s">
        <v>192</v>
      </c>
      <c r="C342" s="3">
        <v>45707.561747685184</v>
      </c>
      <c r="D342" t="s">
        <v>311</v>
      </c>
      <c r="E342" s="4">
        <v>1.3326781077980996</v>
      </c>
      <c r="F342" s="4">
        <v>349077.56204712793</v>
      </c>
      <c r="G342" s="4">
        <v>349078.8947252357</v>
      </c>
      <c r="H342" s="5">
        <f t="shared" si="2"/>
        <v>0</v>
      </c>
      <c r="I342" t="s">
        <v>213</v>
      </c>
      <c r="J342" t="s">
        <v>84</v>
      </c>
      <c r="K342" s="5">
        <f>180 / 86400</f>
        <v>2.0833333333333333E-3</v>
      </c>
      <c r="L342" s="5">
        <f>40 / 86400</f>
        <v>4.6296296296296298E-4</v>
      </c>
    </row>
    <row r="343" spans="1:12" x14ac:dyDescent="0.25">
      <c r="A343" s="3">
        <v>45707.562210648146</v>
      </c>
      <c r="B343" t="s">
        <v>311</v>
      </c>
      <c r="C343" s="3">
        <v>45707.562442129631</v>
      </c>
      <c r="D343" t="s">
        <v>311</v>
      </c>
      <c r="E343" s="4">
        <v>5.1132203876972197E-2</v>
      </c>
      <c r="F343" s="4">
        <v>349078.90837589343</v>
      </c>
      <c r="G343" s="4">
        <v>349078.95950809726</v>
      </c>
      <c r="H343" s="5">
        <f t="shared" si="2"/>
        <v>0</v>
      </c>
      <c r="I343" t="s">
        <v>58</v>
      </c>
      <c r="J343" t="s">
        <v>132</v>
      </c>
      <c r="K343" s="5">
        <f>20 / 86400</f>
        <v>2.3148148148148149E-4</v>
      </c>
      <c r="L343" s="5">
        <f>55 / 86400</f>
        <v>6.3657407407407413E-4</v>
      </c>
    </row>
    <row r="344" spans="1:12" x14ac:dyDescent="0.25">
      <c r="A344" s="3">
        <v>45707.563078703708</v>
      </c>
      <c r="B344" t="s">
        <v>311</v>
      </c>
      <c r="C344" s="3">
        <v>45707.563541666663</v>
      </c>
      <c r="D344" t="s">
        <v>312</v>
      </c>
      <c r="E344" s="4">
        <v>5.0936067521572113E-2</v>
      </c>
      <c r="F344" s="4">
        <v>349078.9886900222</v>
      </c>
      <c r="G344" s="4">
        <v>349079.03962608974</v>
      </c>
      <c r="H344" s="5">
        <f t="shared" si="2"/>
        <v>0</v>
      </c>
      <c r="I344" t="s">
        <v>101</v>
      </c>
      <c r="J344" t="s">
        <v>134</v>
      </c>
      <c r="K344" s="5">
        <f>40 / 86400</f>
        <v>4.6296296296296298E-4</v>
      </c>
      <c r="L344" s="5">
        <f>50 / 86400</f>
        <v>5.7870370370370367E-4</v>
      </c>
    </row>
    <row r="345" spans="1:12" x14ac:dyDescent="0.25">
      <c r="A345" s="3">
        <v>45707.564120370371</v>
      </c>
      <c r="B345" t="s">
        <v>312</v>
      </c>
      <c r="C345" s="3">
        <v>45707.566365740742</v>
      </c>
      <c r="D345" t="s">
        <v>313</v>
      </c>
      <c r="E345" s="4">
        <v>0.61239616423845289</v>
      </c>
      <c r="F345" s="4">
        <v>349079.04943381244</v>
      </c>
      <c r="G345" s="4">
        <v>349079.66182997666</v>
      </c>
      <c r="H345" s="5">
        <f t="shared" si="2"/>
        <v>0</v>
      </c>
      <c r="I345" t="s">
        <v>171</v>
      </c>
      <c r="J345" t="s">
        <v>137</v>
      </c>
      <c r="K345" s="5">
        <f>194 / 86400</f>
        <v>2.2453703703703702E-3</v>
      </c>
      <c r="L345" s="5">
        <f>5 / 86400</f>
        <v>5.7870370370370373E-5</v>
      </c>
    </row>
    <row r="346" spans="1:12" x14ac:dyDescent="0.25">
      <c r="A346" s="3">
        <v>45707.566423611112</v>
      </c>
      <c r="B346" t="s">
        <v>313</v>
      </c>
      <c r="C346" s="3">
        <v>45707.567337962959</v>
      </c>
      <c r="D346" t="s">
        <v>313</v>
      </c>
      <c r="E346" s="4">
        <v>0.33975979924201966</v>
      </c>
      <c r="F346" s="4">
        <v>349079.66313379747</v>
      </c>
      <c r="G346" s="4">
        <v>349080.00289359671</v>
      </c>
      <c r="H346" s="5">
        <f t="shared" si="2"/>
        <v>0</v>
      </c>
      <c r="I346" t="s">
        <v>166</v>
      </c>
      <c r="J346" t="s">
        <v>46</v>
      </c>
      <c r="K346" s="5">
        <f>79 / 86400</f>
        <v>9.1435185185185185E-4</v>
      </c>
      <c r="L346" s="5">
        <f>20 / 86400</f>
        <v>2.3148148148148149E-4</v>
      </c>
    </row>
    <row r="347" spans="1:12" x14ac:dyDescent="0.25">
      <c r="A347" s="3">
        <v>45707.567569444444</v>
      </c>
      <c r="B347" t="s">
        <v>313</v>
      </c>
      <c r="C347" s="3">
        <v>45707.56826388889</v>
      </c>
      <c r="D347" t="s">
        <v>314</v>
      </c>
      <c r="E347" s="4">
        <v>0.28278253781795504</v>
      </c>
      <c r="F347" s="4">
        <v>349080.00852866808</v>
      </c>
      <c r="G347" s="4">
        <v>349080.29131120595</v>
      </c>
      <c r="H347" s="5">
        <f t="shared" si="2"/>
        <v>0</v>
      </c>
      <c r="I347" t="s">
        <v>301</v>
      </c>
      <c r="J347" t="s">
        <v>37</v>
      </c>
      <c r="K347" s="5">
        <f>60 / 86400</f>
        <v>6.9444444444444447E-4</v>
      </c>
      <c r="L347" s="5">
        <f>3 / 86400</f>
        <v>3.4722222222222222E-5</v>
      </c>
    </row>
    <row r="348" spans="1:12" x14ac:dyDescent="0.25">
      <c r="A348" s="3">
        <v>45707.568298611106</v>
      </c>
      <c r="B348" t="s">
        <v>198</v>
      </c>
      <c r="C348" s="3">
        <v>45707.568530092598</v>
      </c>
      <c r="D348" t="s">
        <v>198</v>
      </c>
      <c r="E348" s="4">
        <v>5.1389997959136964E-2</v>
      </c>
      <c r="F348" s="4">
        <v>349080.29624281253</v>
      </c>
      <c r="G348" s="4">
        <v>349080.34763281047</v>
      </c>
      <c r="H348" s="5">
        <f t="shared" si="2"/>
        <v>0</v>
      </c>
      <c r="I348" t="s">
        <v>31</v>
      </c>
      <c r="J348" t="s">
        <v>132</v>
      </c>
      <c r="K348" s="5">
        <f>20 / 86400</f>
        <v>2.3148148148148149E-4</v>
      </c>
      <c r="L348" s="5">
        <f>6 / 86400</f>
        <v>6.9444444444444444E-5</v>
      </c>
    </row>
    <row r="349" spans="1:12" x14ac:dyDescent="0.25">
      <c r="A349" s="3">
        <v>45707.568599537037</v>
      </c>
      <c r="B349" t="s">
        <v>198</v>
      </c>
      <c r="C349" s="3">
        <v>45707.570219907408</v>
      </c>
      <c r="D349" t="s">
        <v>158</v>
      </c>
      <c r="E349" s="4">
        <v>1.01213404327631</v>
      </c>
      <c r="F349" s="4">
        <v>349080.35256348853</v>
      </c>
      <c r="G349" s="4">
        <v>349081.3646975318</v>
      </c>
      <c r="H349" s="5">
        <f t="shared" si="2"/>
        <v>0</v>
      </c>
      <c r="I349" t="s">
        <v>261</v>
      </c>
      <c r="J349" t="s">
        <v>155</v>
      </c>
      <c r="K349" s="5">
        <f>140 / 86400</f>
        <v>1.6203703703703703E-3</v>
      </c>
      <c r="L349" s="5">
        <f>31 / 86400</f>
        <v>3.5879629629629629E-4</v>
      </c>
    </row>
    <row r="350" spans="1:12" x14ac:dyDescent="0.25">
      <c r="A350" s="3">
        <v>45707.5705787037</v>
      </c>
      <c r="B350" t="s">
        <v>158</v>
      </c>
      <c r="C350" s="3">
        <v>45707.572453703702</v>
      </c>
      <c r="D350" t="s">
        <v>315</v>
      </c>
      <c r="E350" s="4">
        <v>1.1481243746280669</v>
      </c>
      <c r="F350" s="4">
        <v>349081.37642917503</v>
      </c>
      <c r="G350" s="4">
        <v>349082.52455354965</v>
      </c>
      <c r="H350" s="5">
        <f t="shared" si="2"/>
        <v>0</v>
      </c>
      <c r="I350" t="s">
        <v>282</v>
      </c>
      <c r="J350" t="s">
        <v>155</v>
      </c>
      <c r="K350" s="5">
        <f>162 / 86400</f>
        <v>1.8749999999999999E-3</v>
      </c>
      <c r="L350" s="5">
        <f>20 / 86400</f>
        <v>2.3148148148148149E-4</v>
      </c>
    </row>
    <row r="351" spans="1:12" x14ac:dyDescent="0.25">
      <c r="A351" s="3">
        <v>45707.572685185187</v>
      </c>
      <c r="B351" t="s">
        <v>315</v>
      </c>
      <c r="C351" s="3">
        <v>45707.57540509259</v>
      </c>
      <c r="D351" t="s">
        <v>246</v>
      </c>
      <c r="E351" s="4">
        <v>0.91683539670705794</v>
      </c>
      <c r="F351" s="4">
        <v>349082.62759200978</v>
      </c>
      <c r="G351" s="4">
        <v>349083.54442740651</v>
      </c>
      <c r="H351" s="5">
        <f t="shared" si="2"/>
        <v>0</v>
      </c>
      <c r="I351" t="s">
        <v>155</v>
      </c>
      <c r="J351" t="s">
        <v>43</v>
      </c>
      <c r="K351" s="5">
        <f>235 / 86400</f>
        <v>2.7199074074074074E-3</v>
      </c>
      <c r="L351" s="5">
        <f>20 / 86400</f>
        <v>2.3148148148148149E-4</v>
      </c>
    </row>
    <row r="352" spans="1:12" x14ac:dyDescent="0.25">
      <c r="A352" s="3">
        <v>45707.575636574074</v>
      </c>
      <c r="B352" t="s">
        <v>246</v>
      </c>
      <c r="C352" s="3">
        <v>45707.576331018514</v>
      </c>
      <c r="D352" t="s">
        <v>316</v>
      </c>
      <c r="E352" s="4">
        <v>0.2403494598865509</v>
      </c>
      <c r="F352" s="4">
        <v>349083.64701777726</v>
      </c>
      <c r="G352" s="4">
        <v>349083.88736723713</v>
      </c>
      <c r="H352" s="5">
        <f t="shared" si="2"/>
        <v>0</v>
      </c>
      <c r="I352" t="s">
        <v>35</v>
      </c>
      <c r="J352" t="s">
        <v>43</v>
      </c>
      <c r="K352" s="5">
        <f>60 / 86400</f>
        <v>6.9444444444444447E-4</v>
      </c>
      <c r="L352" s="5">
        <f>20 / 86400</f>
        <v>2.3148148148148149E-4</v>
      </c>
    </row>
    <row r="353" spans="1:12" x14ac:dyDescent="0.25">
      <c r="A353" s="3">
        <v>45707.576562499999</v>
      </c>
      <c r="B353" t="s">
        <v>316</v>
      </c>
      <c r="C353" s="3">
        <v>45707.57748842593</v>
      </c>
      <c r="D353" t="s">
        <v>244</v>
      </c>
      <c r="E353" s="4">
        <v>0.2461250765323639</v>
      </c>
      <c r="F353" s="4">
        <v>349083.90142376715</v>
      </c>
      <c r="G353" s="4">
        <v>349084.1475488437</v>
      </c>
      <c r="H353" s="5">
        <f t="shared" si="2"/>
        <v>0</v>
      </c>
      <c r="I353" t="s">
        <v>46</v>
      </c>
      <c r="J353" t="s">
        <v>137</v>
      </c>
      <c r="K353" s="5">
        <f>80 / 86400</f>
        <v>9.2592592592592596E-4</v>
      </c>
      <c r="L353" s="5">
        <f>20 / 86400</f>
        <v>2.3148148148148149E-4</v>
      </c>
    </row>
    <row r="354" spans="1:12" x14ac:dyDescent="0.25">
      <c r="A354" s="3">
        <v>45707.577719907407</v>
      </c>
      <c r="B354" t="s">
        <v>316</v>
      </c>
      <c r="C354" s="3">
        <v>45707.581261574072</v>
      </c>
      <c r="D354" t="s">
        <v>317</v>
      </c>
      <c r="E354" s="4">
        <v>1.190724800825119</v>
      </c>
      <c r="F354" s="4">
        <v>349084.15643530287</v>
      </c>
      <c r="G354" s="4">
        <v>349085.34716010367</v>
      </c>
      <c r="H354" s="5">
        <f t="shared" si="2"/>
        <v>0</v>
      </c>
      <c r="I354" t="s">
        <v>278</v>
      </c>
      <c r="J354" t="s">
        <v>43</v>
      </c>
      <c r="K354" s="5">
        <f>306 / 86400</f>
        <v>3.5416666666666665E-3</v>
      </c>
      <c r="L354" s="5">
        <f>100 / 86400</f>
        <v>1.1574074074074073E-3</v>
      </c>
    </row>
    <row r="355" spans="1:12" x14ac:dyDescent="0.25">
      <c r="A355" s="3">
        <v>45707.582418981481</v>
      </c>
      <c r="B355" t="s">
        <v>317</v>
      </c>
      <c r="C355" s="3">
        <v>45707.582650462966</v>
      </c>
      <c r="D355" t="s">
        <v>318</v>
      </c>
      <c r="E355" s="4">
        <v>2.5699638903141021E-2</v>
      </c>
      <c r="F355" s="4">
        <v>349085.36466541234</v>
      </c>
      <c r="G355" s="4">
        <v>349085.39036505128</v>
      </c>
      <c r="H355" s="5">
        <f t="shared" si="2"/>
        <v>0</v>
      </c>
      <c r="I355" t="s">
        <v>137</v>
      </c>
      <c r="J355" t="s">
        <v>134</v>
      </c>
      <c r="K355" s="5">
        <f>20 / 86400</f>
        <v>2.3148148148148149E-4</v>
      </c>
      <c r="L355" s="5">
        <f>40 / 86400</f>
        <v>4.6296296296296298E-4</v>
      </c>
    </row>
    <row r="356" spans="1:12" x14ac:dyDescent="0.25">
      <c r="A356" s="3">
        <v>45707.583113425921</v>
      </c>
      <c r="B356" t="s">
        <v>319</v>
      </c>
      <c r="C356" s="3">
        <v>45707.583344907413</v>
      </c>
      <c r="D356" t="s">
        <v>319</v>
      </c>
      <c r="E356" s="4">
        <v>4.6069976091384886E-3</v>
      </c>
      <c r="F356" s="4">
        <v>349085.41419080313</v>
      </c>
      <c r="G356" s="4">
        <v>349085.41879780072</v>
      </c>
      <c r="H356" s="5">
        <f t="shared" si="2"/>
        <v>0</v>
      </c>
      <c r="I356" t="s">
        <v>136</v>
      </c>
      <c r="J356" t="s">
        <v>127</v>
      </c>
      <c r="K356" s="5">
        <f>20 / 86400</f>
        <v>2.3148148148148149E-4</v>
      </c>
      <c r="L356" s="5">
        <f>80 / 86400</f>
        <v>9.2592592592592596E-4</v>
      </c>
    </row>
    <row r="357" spans="1:12" x14ac:dyDescent="0.25">
      <c r="A357" s="3">
        <v>45707.584270833337</v>
      </c>
      <c r="B357" t="s">
        <v>319</v>
      </c>
      <c r="C357" s="3">
        <v>45707.584502314814</v>
      </c>
      <c r="D357" t="s">
        <v>319</v>
      </c>
      <c r="E357" s="4">
        <v>7.0229399204254153E-3</v>
      </c>
      <c r="F357" s="4">
        <v>349085.42626241059</v>
      </c>
      <c r="G357" s="4">
        <v>349085.4332853505</v>
      </c>
      <c r="H357" s="5">
        <f t="shared" si="2"/>
        <v>0</v>
      </c>
      <c r="I357" t="s">
        <v>127</v>
      </c>
      <c r="J357" t="s">
        <v>127</v>
      </c>
      <c r="K357" s="5">
        <f>20 / 86400</f>
        <v>2.3148148148148149E-4</v>
      </c>
      <c r="L357" s="5">
        <f>15 / 86400</f>
        <v>1.7361111111111112E-4</v>
      </c>
    </row>
    <row r="358" spans="1:12" x14ac:dyDescent="0.25">
      <c r="A358" s="3">
        <v>45707.584675925929</v>
      </c>
      <c r="B358" t="s">
        <v>319</v>
      </c>
      <c r="C358" s="3">
        <v>45707.585324074069</v>
      </c>
      <c r="D358" t="s">
        <v>320</v>
      </c>
      <c r="E358" s="4">
        <v>4.9894250810146333E-2</v>
      </c>
      <c r="F358" s="4">
        <v>349085.43870344752</v>
      </c>
      <c r="G358" s="4">
        <v>349085.48859769834</v>
      </c>
      <c r="H358" s="5">
        <f t="shared" si="2"/>
        <v>0</v>
      </c>
      <c r="I358" t="s">
        <v>134</v>
      </c>
      <c r="J358" t="s">
        <v>24</v>
      </c>
      <c r="K358" s="5">
        <f>56 / 86400</f>
        <v>6.4814814814814813E-4</v>
      </c>
      <c r="L358" s="5">
        <f>20 / 86400</f>
        <v>2.3148148148148149E-4</v>
      </c>
    </row>
    <row r="359" spans="1:12" x14ac:dyDescent="0.25">
      <c r="A359" s="3">
        <v>45707.585555555561</v>
      </c>
      <c r="B359" t="s">
        <v>320</v>
      </c>
      <c r="C359" s="3">
        <v>45707.585787037038</v>
      </c>
      <c r="D359" t="s">
        <v>320</v>
      </c>
      <c r="E359" s="4">
        <v>9.0489897131919867E-3</v>
      </c>
      <c r="F359" s="4">
        <v>349085.48965723848</v>
      </c>
      <c r="G359" s="4">
        <v>349085.49870622822</v>
      </c>
      <c r="H359" s="5">
        <f t="shared" si="2"/>
        <v>0</v>
      </c>
      <c r="I359" t="s">
        <v>127</v>
      </c>
      <c r="J359" t="s">
        <v>136</v>
      </c>
      <c r="K359" s="5">
        <f>20 / 86400</f>
        <v>2.3148148148148149E-4</v>
      </c>
      <c r="L359" s="5">
        <f>80 / 86400</f>
        <v>9.2592592592592596E-4</v>
      </c>
    </row>
    <row r="360" spans="1:12" x14ac:dyDescent="0.25">
      <c r="A360" s="3">
        <v>45707.586712962962</v>
      </c>
      <c r="B360" t="s">
        <v>241</v>
      </c>
      <c r="C360" s="3">
        <v>45707.587175925924</v>
      </c>
      <c r="D360" t="s">
        <v>241</v>
      </c>
      <c r="E360" s="4">
        <v>0.21368278914690017</v>
      </c>
      <c r="F360" s="4">
        <v>349085.53265624901</v>
      </c>
      <c r="G360" s="4">
        <v>349085.74633903813</v>
      </c>
      <c r="H360" s="5">
        <f t="shared" si="2"/>
        <v>0</v>
      </c>
      <c r="I360" t="s">
        <v>202</v>
      </c>
      <c r="J360" t="s">
        <v>33</v>
      </c>
      <c r="K360" s="5">
        <f>40 / 86400</f>
        <v>4.6296296296296298E-4</v>
      </c>
      <c r="L360" s="5">
        <f>49 / 86400</f>
        <v>5.6712962962962967E-4</v>
      </c>
    </row>
    <row r="361" spans="1:12" x14ac:dyDescent="0.25">
      <c r="A361" s="3">
        <v>45707.587743055556</v>
      </c>
      <c r="B361" t="s">
        <v>208</v>
      </c>
      <c r="C361" s="3">
        <v>45707.587974537033</v>
      </c>
      <c r="D361" t="s">
        <v>208</v>
      </c>
      <c r="E361" s="4">
        <v>1.4308783948421479E-2</v>
      </c>
      <c r="F361" s="4">
        <v>349085.77001195453</v>
      </c>
      <c r="G361" s="4">
        <v>349085.78432073852</v>
      </c>
      <c r="H361" s="5">
        <f t="shared" si="2"/>
        <v>0</v>
      </c>
      <c r="I361" t="s">
        <v>134</v>
      </c>
      <c r="J361" t="s">
        <v>24</v>
      </c>
      <c r="K361" s="5">
        <f>20 / 86400</f>
        <v>2.3148148148148149E-4</v>
      </c>
      <c r="L361" s="5">
        <f>20 / 86400</f>
        <v>2.3148148148148149E-4</v>
      </c>
    </row>
    <row r="362" spans="1:12" x14ac:dyDescent="0.25">
      <c r="A362" s="3">
        <v>45707.588206018518</v>
      </c>
      <c r="B362" t="s">
        <v>208</v>
      </c>
      <c r="C362" s="3">
        <v>45707.589004629626</v>
      </c>
      <c r="D362" t="s">
        <v>321</v>
      </c>
      <c r="E362" s="4">
        <v>0.52838495397567753</v>
      </c>
      <c r="F362" s="4">
        <v>349085.78524380195</v>
      </c>
      <c r="G362" s="4">
        <v>349086.31362875592</v>
      </c>
      <c r="H362" s="5">
        <f t="shared" si="2"/>
        <v>0</v>
      </c>
      <c r="I362" t="s">
        <v>278</v>
      </c>
      <c r="J362" t="s">
        <v>178</v>
      </c>
      <c r="K362" s="5">
        <f>69 / 86400</f>
        <v>7.9861111111111116E-4</v>
      </c>
      <c r="L362" s="5">
        <f>40 / 86400</f>
        <v>4.6296296296296298E-4</v>
      </c>
    </row>
    <row r="363" spans="1:12" x14ac:dyDescent="0.25">
      <c r="A363" s="3">
        <v>45707.589467592596</v>
      </c>
      <c r="B363" t="s">
        <v>322</v>
      </c>
      <c r="C363" s="3">
        <v>45707.58993055555</v>
      </c>
      <c r="D363" t="s">
        <v>323</v>
      </c>
      <c r="E363" s="4">
        <v>0.41281060385704038</v>
      </c>
      <c r="F363" s="4">
        <v>349086.3312362025</v>
      </c>
      <c r="G363" s="4">
        <v>349086.74404680636</v>
      </c>
      <c r="H363" s="5">
        <f t="shared" ref="H363:H426" si="3">0 / 86400</f>
        <v>0</v>
      </c>
      <c r="I363" t="s">
        <v>299</v>
      </c>
      <c r="J363" t="s">
        <v>194</v>
      </c>
      <c r="K363" s="5">
        <f>40 / 86400</f>
        <v>4.6296296296296298E-4</v>
      </c>
      <c r="L363" s="5">
        <f>20 / 86400</f>
        <v>2.3148148148148149E-4</v>
      </c>
    </row>
    <row r="364" spans="1:12" x14ac:dyDescent="0.25">
      <c r="A364" s="3">
        <v>45707.590162037042</v>
      </c>
      <c r="B364" t="s">
        <v>324</v>
      </c>
      <c r="C364" s="3">
        <v>45707.590624999997</v>
      </c>
      <c r="D364" t="s">
        <v>325</v>
      </c>
      <c r="E364" s="4">
        <v>0.32470999735593797</v>
      </c>
      <c r="F364" s="4">
        <v>349086.7639425277</v>
      </c>
      <c r="G364" s="4">
        <v>349087.08865252504</v>
      </c>
      <c r="H364" s="5">
        <f t="shared" si="3"/>
        <v>0</v>
      </c>
      <c r="I364" t="s">
        <v>138</v>
      </c>
      <c r="J364" t="s">
        <v>185</v>
      </c>
      <c r="K364" s="5">
        <f>40 / 86400</f>
        <v>4.6296296296296298E-4</v>
      </c>
      <c r="L364" s="5">
        <f>20 / 86400</f>
        <v>2.3148148148148149E-4</v>
      </c>
    </row>
    <row r="365" spans="1:12" x14ac:dyDescent="0.25">
      <c r="A365" s="3">
        <v>45707.590856481482</v>
      </c>
      <c r="B365" t="s">
        <v>145</v>
      </c>
      <c r="C365" s="3">
        <v>45707.592245370368</v>
      </c>
      <c r="D365" t="s">
        <v>326</v>
      </c>
      <c r="E365" s="4">
        <v>0.81899901556968691</v>
      </c>
      <c r="F365" s="4">
        <v>349087.25692102074</v>
      </c>
      <c r="G365" s="4">
        <v>349088.0759200363</v>
      </c>
      <c r="H365" s="5">
        <f t="shared" si="3"/>
        <v>0</v>
      </c>
      <c r="I365" t="s">
        <v>147</v>
      </c>
      <c r="J365" t="s">
        <v>30</v>
      </c>
      <c r="K365" s="5">
        <f>120 / 86400</f>
        <v>1.3888888888888889E-3</v>
      </c>
      <c r="L365" s="5">
        <f>11 / 86400</f>
        <v>1.273148148148148E-4</v>
      </c>
    </row>
    <row r="366" spans="1:12" x14ac:dyDescent="0.25">
      <c r="A366" s="3">
        <v>45707.592372685191</v>
      </c>
      <c r="B366" t="s">
        <v>326</v>
      </c>
      <c r="C366" s="3">
        <v>45707.592812499999</v>
      </c>
      <c r="D366" t="s">
        <v>98</v>
      </c>
      <c r="E366" s="4">
        <v>0.15880713194608689</v>
      </c>
      <c r="F366" s="4">
        <v>349088.08004787605</v>
      </c>
      <c r="G366" s="4">
        <v>349088.23885500798</v>
      </c>
      <c r="H366" s="5">
        <f t="shared" si="3"/>
        <v>0</v>
      </c>
      <c r="I366" t="s">
        <v>142</v>
      </c>
      <c r="J366" t="s">
        <v>46</v>
      </c>
      <c r="K366" s="5">
        <f>38 / 86400</f>
        <v>4.3981481481481481E-4</v>
      </c>
      <c r="L366" s="5">
        <f>16 / 86400</f>
        <v>1.8518518518518518E-4</v>
      </c>
    </row>
    <row r="367" spans="1:12" x14ac:dyDescent="0.25">
      <c r="A367" s="3">
        <v>45707.592997685184</v>
      </c>
      <c r="B367" t="s">
        <v>327</v>
      </c>
      <c r="C367" s="3">
        <v>45707.593229166669</v>
      </c>
      <c r="D367" t="s">
        <v>328</v>
      </c>
      <c r="E367" s="4">
        <v>2.255320370197296E-2</v>
      </c>
      <c r="F367" s="4">
        <v>349088.30580005539</v>
      </c>
      <c r="G367" s="4">
        <v>349088.32835325907</v>
      </c>
      <c r="H367" s="5">
        <f t="shared" si="3"/>
        <v>0</v>
      </c>
      <c r="I367" t="s">
        <v>84</v>
      </c>
      <c r="J367" t="s">
        <v>58</v>
      </c>
      <c r="K367" s="5">
        <f>20 / 86400</f>
        <v>2.3148148148148149E-4</v>
      </c>
      <c r="L367" s="5">
        <f>39 / 86400</f>
        <v>4.5138888888888887E-4</v>
      </c>
    </row>
    <row r="368" spans="1:12" x14ac:dyDescent="0.25">
      <c r="A368" s="3">
        <v>45707.593680555554</v>
      </c>
      <c r="B368" t="s">
        <v>327</v>
      </c>
      <c r="C368" s="3">
        <v>45707.594849537039</v>
      </c>
      <c r="D368" t="s">
        <v>329</v>
      </c>
      <c r="E368" s="4">
        <v>0.34858056718111036</v>
      </c>
      <c r="F368" s="4">
        <v>349088.34798079456</v>
      </c>
      <c r="G368" s="4">
        <v>349088.69656136172</v>
      </c>
      <c r="H368" s="5">
        <f t="shared" si="3"/>
        <v>0</v>
      </c>
      <c r="I368" t="s">
        <v>33</v>
      </c>
      <c r="J368" t="s">
        <v>148</v>
      </c>
      <c r="K368" s="5">
        <f>101 / 86400</f>
        <v>1.1689814814814816E-3</v>
      </c>
      <c r="L368" s="5">
        <f>40 / 86400</f>
        <v>4.6296296296296298E-4</v>
      </c>
    </row>
    <row r="369" spans="1:12" x14ac:dyDescent="0.25">
      <c r="A369" s="3">
        <v>45707.595312500001</v>
      </c>
      <c r="B369" t="s">
        <v>145</v>
      </c>
      <c r="C369" s="3">
        <v>45707.595543981486</v>
      </c>
      <c r="D369" t="s">
        <v>145</v>
      </c>
      <c r="E369" s="4">
        <v>9.2401531338691719E-3</v>
      </c>
      <c r="F369" s="4">
        <v>349088.75253053312</v>
      </c>
      <c r="G369" s="4">
        <v>349088.76177068625</v>
      </c>
      <c r="H369" s="5">
        <f t="shared" si="3"/>
        <v>0</v>
      </c>
      <c r="I369" t="s">
        <v>136</v>
      </c>
      <c r="J369" t="s">
        <v>136</v>
      </c>
      <c r="K369" s="5">
        <f>20 / 86400</f>
        <v>2.3148148148148149E-4</v>
      </c>
      <c r="L369" s="5">
        <f>20 / 86400</f>
        <v>2.3148148148148149E-4</v>
      </c>
    </row>
    <row r="370" spans="1:12" x14ac:dyDescent="0.25">
      <c r="A370" s="3">
        <v>45707.595775462964</v>
      </c>
      <c r="B370" t="s">
        <v>212</v>
      </c>
      <c r="C370" s="3">
        <v>45707.596238425926</v>
      </c>
      <c r="D370" t="s">
        <v>212</v>
      </c>
      <c r="E370" s="4">
        <v>1.3814803719520569E-2</v>
      </c>
      <c r="F370" s="4">
        <v>349088.7728098926</v>
      </c>
      <c r="G370" s="4">
        <v>349088.78662469634</v>
      </c>
      <c r="H370" s="5">
        <f t="shared" si="3"/>
        <v>0</v>
      </c>
      <c r="I370" t="s">
        <v>24</v>
      </c>
      <c r="J370" t="s">
        <v>127</v>
      </c>
      <c r="K370" s="5">
        <f>40 / 86400</f>
        <v>4.6296296296296298E-4</v>
      </c>
      <c r="L370" s="5">
        <f>4 / 86400</f>
        <v>4.6296296296296294E-5</v>
      </c>
    </row>
    <row r="371" spans="1:12" x14ac:dyDescent="0.25">
      <c r="A371" s="3">
        <v>45707.596284722225</v>
      </c>
      <c r="B371" t="s">
        <v>212</v>
      </c>
      <c r="C371" s="3">
        <v>45707.596712962964</v>
      </c>
      <c r="D371" t="s">
        <v>330</v>
      </c>
      <c r="E371" s="4">
        <v>0.54239847880601888</v>
      </c>
      <c r="F371" s="4">
        <v>349088.78662469634</v>
      </c>
      <c r="G371" s="4">
        <v>349089.32902317512</v>
      </c>
      <c r="H371" s="5">
        <f t="shared" si="3"/>
        <v>0</v>
      </c>
      <c r="I371" t="s">
        <v>106</v>
      </c>
      <c r="J371" t="s">
        <v>193</v>
      </c>
      <c r="K371" s="5">
        <f>37 / 86400</f>
        <v>4.2824074074074075E-4</v>
      </c>
      <c r="L371" s="5">
        <f>20 / 86400</f>
        <v>2.3148148148148149E-4</v>
      </c>
    </row>
    <row r="372" spans="1:12" x14ac:dyDescent="0.25">
      <c r="A372" s="3">
        <v>45707.596944444449</v>
      </c>
      <c r="B372" t="s">
        <v>331</v>
      </c>
      <c r="C372" s="3">
        <v>45707.597407407404</v>
      </c>
      <c r="D372" t="s">
        <v>331</v>
      </c>
      <c r="E372" s="4">
        <v>1.3735409438610078E-2</v>
      </c>
      <c r="F372" s="4">
        <v>349089.33646898251</v>
      </c>
      <c r="G372" s="4">
        <v>349089.35020439193</v>
      </c>
      <c r="H372" s="5">
        <f t="shared" si="3"/>
        <v>0</v>
      </c>
      <c r="I372" t="s">
        <v>136</v>
      </c>
      <c r="J372" t="s">
        <v>127</v>
      </c>
      <c r="K372" s="5">
        <f>40 / 86400</f>
        <v>4.6296296296296298E-4</v>
      </c>
      <c r="L372" s="5">
        <f>86 / 86400</f>
        <v>9.9537037037037042E-4</v>
      </c>
    </row>
    <row r="373" spans="1:12" x14ac:dyDescent="0.25">
      <c r="A373" s="3">
        <v>45707.598402777774</v>
      </c>
      <c r="B373" t="s">
        <v>332</v>
      </c>
      <c r="C373" s="3">
        <v>45707.600254629629</v>
      </c>
      <c r="D373" t="s">
        <v>333</v>
      </c>
      <c r="E373" s="4">
        <v>1.0989434962272644</v>
      </c>
      <c r="F373" s="4">
        <v>349089.38251993648</v>
      </c>
      <c r="G373" s="4">
        <v>349090.48146343272</v>
      </c>
      <c r="H373" s="5">
        <f t="shared" si="3"/>
        <v>0</v>
      </c>
      <c r="I373" t="s">
        <v>183</v>
      </c>
      <c r="J373" t="s">
        <v>30</v>
      </c>
      <c r="K373" s="5">
        <f>160 / 86400</f>
        <v>1.8518518518518519E-3</v>
      </c>
      <c r="L373" s="5">
        <f>20 / 86400</f>
        <v>2.3148148148148149E-4</v>
      </c>
    </row>
    <row r="374" spans="1:12" x14ac:dyDescent="0.25">
      <c r="A374" s="3">
        <v>45707.600486111114</v>
      </c>
      <c r="B374" t="s">
        <v>321</v>
      </c>
      <c r="C374" s="3">
        <v>45707.600891203707</v>
      </c>
      <c r="D374" t="s">
        <v>322</v>
      </c>
      <c r="E374" s="4">
        <v>4.7702431678771969E-3</v>
      </c>
      <c r="F374" s="4">
        <v>349090.56187168107</v>
      </c>
      <c r="G374" s="4">
        <v>349090.56664192426</v>
      </c>
      <c r="H374" s="5">
        <f t="shared" si="3"/>
        <v>0</v>
      </c>
      <c r="I374" t="s">
        <v>134</v>
      </c>
      <c r="J374" t="s">
        <v>72</v>
      </c>
      <c r="K374" s="5">
        <f>35 / 86400</f>
        <v>4.0509259259259258E-4</v>
      </c>
      <c r="L374" s="5">
        <f>14 / 86400</f>
        <v>1.6203703703703703E-4</v>
      </c>
    </row>
    <row r="375" spans="1:12" x14ac:dyDescent="0.25">
      <c r="A375" s="3">
        <v>45707.601053240738</v>
      </c>
      <c r="B375" t="s">
        <v>321</v>
      </c>
      <c r="C375" s="3">
        <v>45707.601273148146</v>
      </c>
      <c r="D375" t="s">
        <v>322</v>
      </c>
      <c r="E375" s="4">
        <v>9.9807276606559747E-2</v>
      </c>
      <c r="F375" s="4">
        <v>349090.57220589975</v>
      </c>
      <c r="G375" s="4">
        <v>349090.67201317637</v>
      </c>
      <c r="H375" s="5">
        <f t="shared" si="3"/>
        <v>0</v>
      </c>
      <c r="I375" t="s">
        <v>148</v>
      </c>
      <c r="J375" t="s">
        <v>33</v>
      </c>
      <c r="K375" s="5">
        <f>19 / 86400</f>
        <v>2.199074074074074E-4</v>
      </c>
      <c r="L375" s="5">
        <f>20 / 86400</f>
        <v>2.3148148148148149E-4</v>
      </c>
    </row>
    <row r="376" spans="1:12" x14ac:dyDescent="0.25">
      <c r="A376" s="3">
        <v>45707.601504629631</v>
      </c>
      <c r="B376" t="s">
        <v>334</v>
      </c>
      <c r="C376" s="3">
        <v>45707.60219907407</v>
      </c>
      <c r="D376" t="s">
        <v>241</v>
      </c>
      <c r="E376" s="4">
        <v>0.35165276539325713</v>
      </c>
      <c r="F376" s="4">
        <v>349090.72649937979</v>
      </c>
      <c r="G376" s="4">
        <v>349091.0781521452</v>
      </c>
      <c r="H376" s="5">
        <f t="shared" si="3"/>
        <v>0</v>
      </c>
      <c r="I376" t="s">
        <v>202</v>
      </c>
      <c r="J376" t="s">
        <v>166</v>
      </c>
      <c r="K376" s="5">
        <f>60 / 86400</f>
        <v>6.9444444444444447E-4</v>
      </c>
      <c r="L376" s="5">
        <f>115 / 86400</f>
        <v>1.3310185185185185E-3</v>
      </c>
    </row>
    <row r="377" spans="1:12" x14ac:dyDescent="0.25">
      <c r="A377" s="3">
        <v>45707.603530092594</v>
      </c>
      <c r="B377" t="s">
        <v>241</v>
      </c>
      <c r="C377" s="3">
        <v>45707.604444444441</v>
      </c>
      <c r="D377" t="s">
        <v>241</v>
      </c>
      <c r="E377" s="4">
        <v>0.22636318308115005</v>
      </c>
      <c r="F377" s="4">
        <v>349091.11107907712</v>
      </c>
      <c r="G377" s="4">
        <v>349091.33744226018</v>
      </c>
      <c r="H377" s="5">
        <f t="shared" si="3"/>
        <v>0</v>
      </c>
      <c r="I377" t="s">
        <v>46</v>
      </c>
      <c r="J377" t="s">
        <v>123</v>
      </c>
      <c r="K377" s="5">
        <f>79 / 86400</f>
        <v>9.1435185185185185E-4</v>
      </c>
      <c r="L377" s="5">
        <f>80 / 86400</f>
        <v>9.2592592592592596E-4</v>
      </c>
    </row>
    <row r="378" spans="1:12" x14ac:dyDescent="0.25">
      <c r="A378" s="3">
        <v>45707.605370370366</v>
      </c>
      <c r="B378" t="s">
        <v>206</v>
      </c>
      <c r="C378" s="3">
        <v>45707.605833333335</v>
      </c>
      <c r="D378" t="s">
        <v>335</v>
      </c>
      <c r="E378" s="4">
        <v>0.11395896244049072</v>
      </c>
      <c r="F378" s="4">
        <v>349091.37394436274</v>
      </c>
      <c r="G378" s="4">
        <v>349091.48790332518</v>
      </c>
      <c r="H378" s="5">
        <f t="shared" si="3"/>
        <v>0</v>
      </c>
      <c r="I378" t="s">
        <v>166</v>
      </c>
      <c r="J378" t="s">
        <v>123</v>
      </c>
      <c r="K378" s="5">
        <f>40 / 86400</f>
        <v>4.6296296296296298E-4</v>
      </c>
      <c r="L378" s="5">
        <f>19 / 86400</f>
        <v>2.199074074074074E-4</v>
      </c>
    </row>
    <row r="379" spans="1:12" x14ac:dyDescent="0.25">
      <c r="A379" s="3">
        <v>45707.606053240743</v>
      </c>
      <c r="B379" t="s">
        <v>335</v>
      </c>
      <c r="C379" s="3">
        <v>45707.608148148152</v>
      </c>
      <c r="D379" t="s">
        <v>336</v>
      </c>
      <c r="E379" s="4">
        <v>0.76734461486339567</v>
      </c>
      <c r="F379" s="4">
        <v>349091.50109145901</v>
      </c>
      <c r="G379" s="4">
        <v>349092.26843607391</v>
      </c>
      <c r="H379" s="5">
        <f t="shared" si="3"/>
        <v>0</v>
      </c>
      <c r="I379" t="s">
        <v>57</v>
      </c>
      <c r="J379" t="s">
        <v>46</v>
      </c>
      <c r="K379" s="5">
        <f>181 / 86400</f>
        <v>2.0949074074074073E-3</v>
      </c>
      <c r="L379" s="5">
        <f>50 / 86400</f>
        <v>5.7870370370370367E-4</v>
      </c>
    </row>
    <row r="380" spans="1:12" x14ac:dyDescent="0.25">
      <c r="A380" s="3">
        <v>45707.608726851853</v>
      </c>
      <c r="B380" t="s">
        <v>336</v>
      </c>
      <c r="C380" s="3">
        <v>45707.608958333338</v>
      </c>
      <c r="D380" t="s">
        <v>336</v>
      </c>
      <c r="E380" s="4">
        <v>1.4266771793365478E-2</v>
      </c>
      <c r="F380" s="4">
        <v>349092.28203899221</v>
      </c>
      <c r="G380" s="4">
        <v>349092.296305764</v>
      </c>
      <c r="H380" s="5">
        <f t="shared" si="3"/>
        <v>0</v>
      </c>
      <c r="I380" t="s">
        <v>134</v>
      </c>
      <c r="J380" t="s">
        <v>24</v>
      </c>
      <c r="K380" s="5">
        <f>20 / 86400</f>
        <v>2.3148148148148149E-4</v>
      </c>
      <c r="L380" s="5">
        <f>20 / 86400</f>
        <v>2.3148148148148149E-4</v>
      </c>
    </row>
    <row r="381" spans="1:12" x14ac:dyDescent="0.25">
      <c r="A381" s="3">
        <v>45707.609189814815</v>
      </c>
      <c r="B381" t="s">
        <v>336</v>
      </c>
      <c r="C381" s="3">
        <v>45707.609421296293</v>
      </c>
      <c r="D381" t="s">
        <v>336</v>
      </c>
      <c r="E381" s="4">
        <v>3.3494082093238832E-3</v>
      </c>
      <c r="F381" s="4">
        <v>349092.29833016038</v>
      </c>
      <c r="G381" s="4">
        <v>349092.3016795686</v>
      </c>
      <c r="H381" s="5">
        <f t="shared" si="3"/>
        <v>0</v>
      </c>
      <c r="I381" t="s">
        <v>136</v>
      </c>
      <c r="J381" t="s">
        <v>127</v>
      </c>
      <c r="K381" s="5">
        <f>20 / 86400</f>
        <v>2.3148148148148149E-4</v>
      </c>
      <c r="L381" s="5">
        <f>40 / 86400</f>
        <v>4.6296296296296298E-4</v>
      </c>
    </row>
    <row r="382" spans="1:12" x14ac:dyDescent="0.25">
      <c r="A382" s="3">
        <v>45707.609884259262</v>
      </c>
      <c r="B382" t="s">
        <v>336</v>
      </c>
      <c r="C382" s="3">
        <v>45707.610115740739</v>
      </c>
      <c r="D382" t="s">
        <v>336</v>
      </c>
      <c r="E382" s="4">
        <v>4.0332664251327517E-3</v>
      </c>
      <c r="F382" s="4">
        <v>349092.32474214415</v>
      </c>
      <c r="G382" s="4">
        <v>349092.3287754106</v>
      </c>
      <c r="H382" s="5">
        <f t="shared" si="3"/>
        <v>0</v>
      </c>
      <c r="I382" t="s">
        <v>136</v>
      </c>
      <c r="J382" t="s">
        <v>127</v>
      </c>
      <c r="K382" s="5">
        <f>20 / 86400</f>
        <v>2.3148148148148149E-4</v>
      </c>
      <c r="L382" s="5">
        <f>40 / 86400</f>
        <v>4.6296296296296298E-4</v>
      </c>
    </row>
    <row r="383" spans="1:12" x14ac:dyDescent="0.25">
      <c r="A383" s="3">
        <v>45707.610578703709</v>
      </c>
      <c r="B383" t="s">
        <v>337</v>
      </c>
      <c r="C383" s="3">
        <v>45707.611041666663</v>
      </c>
      <c r="D383" t="s">
        <v>316</v>
      </c>
      <c r="E383" s="4">
        <v>3.0170173346996308E-2</v>
      </c>
      <c r="F383" s="4">
        <v>349092.33243267873</v>
      </c>
      <c r="G383" s="4">
        <v>349092.36260285205</v>
      </c>
      <c r="H383" s="5">
        <f t="shared" si="3"/>
        <v>0</v>
      </c>
      <c r="I383" t="s">
        <v>24</v>
      </c>
      <c r="J383" t="s">
        <v>24</v>
      </c>
      <c r="K383" s="5">
        <f>40 / 86400</f>
        <v>4.6296296296296298E-4</v>
      </c>
      <c r="L383" s="5">
        <f>40 / 86400</f>
        <v>4.6296296296296298E-4</v>
      </c>
    </row>
    <row r="384" spans="1:12" x14ac:dyDescent="0.25">
      <c r="A384" s="3">
        <v>45707.611504629633</v>
      </c>
      <c r="B384" t="s">
        <v>316</v>
      </c>
      <c r="C384" s="3">
        <v>45707.611967592587</v>
      </c>
      <c r="D384" t="s">
        <v>244</v>
      </c>
      <c r="E384" s="4">
        <v>2.3411575555801391E-2</v>
      </c>
      <c r="F384" s="4">
        <v>349092.37427746429</v>
      </c>
      <c r="G384" s="4">
        <v>349092.39768903982</v>
      </c>
      <c r="H384" s="5">
        <f t="shared" si="3"/>
        <v>0</v>
      </c>
      <c r="I384" t="s">
        <v>24</v>
      </c>
      <c r="J384" t="s">
        <v>136</v>
      </c>
      <c r="K384" s="5">
        <f>40 / 86400</f>
        <v>4.6296296296296298E-4</v>
      </c>
      <c r="L384" s="5">
        <f>9 / 86400</f>
        <v>1.0416666666666667E-4</v>
      </c>
    </row>
    <row r="385" spans="1:12" x14ac:dyDescent="0.25">
      <c r="A385" s="3">
        <v>45707.612071759257</v>
      </c>
      <c r="B385" t="s">
        <v>244</v>
      </c>
      <c r="C385" s="3">
        <v>45707.612303240741</v>
      </c>
      <c r="D385" t="s">
        <v>244</v>
      </c>
      <c r="E385" s="4">
        <v>4.5357490777969359E-3</v>
      </c>
      <c r="F385" s="4">
        <v>349092.40213118441</v>
      </c>
      <c r="G385" s="4">
        <v>349092.4066669335</v>
      </c>
      <c r="H385" s="5">
        <f t="shared" si="3"/>
        <v>0</v>
      </c>
      <c r="I385" t="s">
        <v>101</v>
      </c>
      <c r="J385" t="s">
        <v>127</v>
      </c>
      <c r="K385" s="5">
        <f>20 / 86400</f>
        <v>2.3148148148148149E-4</v>
      </c>
      <c r="L385" s="5">
        <f>20 / 86400</f>
        <v>2.3148148148148149E-4</v>
      </c>
    </row>
    <row r="386" spans="1:12" x14ac:dyDescent="0.25">
      <c r="A386" s="3">
        <v>45707.612534722226</v>
      </c>
      <c r="B386" t="s">
        <v>244</v>
      </c>
      <c r="C386" s="3">
        <v>45707.613692129627</v>
      </c>
      <c r="D386" t="s">
        <v>245</v>
      </c>
      <c r="E386" s="4">
        <v>0.15810467755794524</v>
      </c>
      <c r="F386" s="4">
        <v>349092.4129984192</v>
      </c>
      <c r="G386" s="4">
        <v>349092.57110309677</v>
      </c>
      <c r="H386" s="5">
        <f t="shared" si="3"/>
        <v>0</v>
      </c>
      <c r="I386" t="s">
        <v>132</v>
      </c>
      <c r="J386" t="s">
        <v>101</v>
      </c>
      <c r="K386" s="5">
        <f>100 / 86400</f>
        <v>1.1574074074074073E-3</v>
      </c>
      <c r="L386" s="5">
        <f>20 / 86400</f>
        <v>2.3148148148148149E-4</v>
      </c>
    </row>
    <row r="387" spans="1:12" x14ac:dyDescent="0.25">
      <c r="A387" s="3">
        <v>45707.613923611112</v>
      </c>
      <c r="B387" t="s">
        <v>338</v>
      </c>
      <c r="C387" s="3">
        <v>45707.614953703705</v>
      </c>
      <c r="D387" t="s">
        <v>316</v>
      </c>
      <c r="E387" s="4">
        <v>0.35381199991703033</v>
      </c>
      <c r="F387" s="4">
        <v>349092.60392817808</v>
      </c>
      <c r="G387" s="4">
        <v>349092.95774017798</v>
      </c>
      <c r="H387" s="5">
        <f t="shared" si="3"/>
        <v>0</v>
      </c>
      <c r="I387" t="s">
        <v>149</v>
      </c>
      <c r="J387" t="s">
        <v>43</v>
      </c>
      <c r="K387" s="5">
        <f>89 / 86400</f>
        <v>1.0300925925925926E-3</v>
      </c>
      <c r="L387" s="5">
        <f>20 / 86400</f>
        <v>2.3148148148148149E-4</v>
      </c>
    </row>
    <row r="388" spans="1:12" x14ac:dyDescent="0.25">
      <c r="A388" s="3">
        <v>45707.61518518519</v>
      </c>
      <c r="B388" t="s">
        <v>339</v>
      </c>
      <c r="C388" s="3">
        <v>45707.616597222222</v>
      </c>
      <c r="D388" t="s">
        <v>248</v>
      </c>
      <c r="E388" s="4">
        <v>0.39859086287021639</v>
      </c>
      <c r="F388" s="4">
        <v>349093.0553322396</v>
      </c>
      <c r="G388" s="4">
        <v>349093.45392310253</v>
      </c>
      <c r="H388" s="5">
        <f t="shared" si="3"/>
        <v>0</v>
      </c>
      <c r="I388" t="s">
        <v>161</v>
      </c>
      <c r="J388" t="s">
        <v>148</v>
      </c>
      <c r="K388" s="5">
        <f>122 / 86400</f>
        <v>1.4120370370370369E-3</v>
      </c>
      <c r="L388" s="5">
        <f>18 / 86400</f>
        <v>2.0833333333333335E-4</v>
      </c>
    </row>
    <row r="389" spans="1:12" x14ac:dyDescent="0.25">
      <c r="A389" s="3">
        <v>45707.616805555561</v>
      </c>
      <c r="B389" t="s">
        <v>248</v>
      </c>
      <c r="C389" s="3">
        <v>45707.617754629631</v>
      </c>
      <c r="D389" t="s">
        <v>250</v>
      </c>
      <c r="E389" s="4">
        <v>0.48677728438377382</v>
      </c>
      <c r="F389" s="4">
        <v>349093.46862789063</v>
      </c>
      <c r="G389" s="4">
        <v>349093.95540517505</v>
      </c>
      <c r="H389" s="5">
        <f t="shared" si="3"/>
        <v>0</v>
      </c>
      <c r="I389" t="s">
        <v>172</v>
      </c>
      <c r="J389" t="s">
        <v>166</v>
      </c>
      <c r="K389" s="5">
        <f>82 / 86400</f>
        <v>9.4907407407407408E-4</v>
      </c>
      <c r="L389" s="5">
        <f>40 / 86400</f>
        <v>4.6296296296296298E-4</v>
      </c>
    </row>
    <row r="390" spans="1:12" x14ac:dyDescent="0.25">
      <c r="A390" s="3">
        <v>45707.618217592593</v>
      </c>
      <c r="B390" t="s">
        <v>250</v>
      </c>
      <c r="C390" s="3">
        <v>45707.618680555555</v>
      </c>
      <c r="D390" t="s">
        <v>340</v>
      </c>
      <c r="E390" s="4">
        <v>7.1273722350597382E-2</v>
      </c>
      <c r="F390" s="4">
        <v>349093.95791640558</v>
      </c>
      <c r="G390" s="4">
        <v>349094.02919012791</v>
      </c>
      <c r="H390" s="5">
        <f t="shared" si="3"/>
        <v>0</v>
      </c>
      <c r="I390" t="s">
        <v>24</v>
      </c>
      <c r="J390" t="s">
        <v>101</v>
      </c>
      <c r="K390" s="5">
        <f>40 / 86400</f>
        <v>4.6296296296296298E-4</v>
      </c>
      <c r="L390" s="5">
        <f>67 / 86400</f>
        <v>7.7546296296296293E-4</v>
      </c>
    </row>
    <row r="391" spans="1:12" x14ac:dyDescent="0.25">
      <c r="A391" s="3">
        <v>45707.619456018518</v>
      </c>
      <c r="B391" t="s">
        <v>340</v>
      </c>
      <c r="C391" s="3">
        <v>45707.62336805556</v>
      </c>
      <c r="D391" t="s">
        <v>341</v>
      </c>
      <c r="E391" s="4">
        <v>2.7253906156420706</v>
      </c>
      <c r="F391" s="4">
        <v>349094.03393263032</v>
      </c>
      <c r="G391" s="4">
        <v>349096.75932324596</v>
      </c>
      <c r="H391" s="5">
        <f t="shared" si="3"/>
        <v>0</v>
      </c>
      <c r="I391" t="s">
        <v>170</v>
      </c>
      <c r="J391" t="s">
        <v>185</v>
      </c>
      <c r="K391" s="5">
        <f>338 / 86400</f>
        <v>3.9120370370370368E-3</v>
      </c>
      <c r="L391" s="5">
        <f>20 / 86400</f>
        <v>2.3148148148148149E-4</v>
      </c>
    </row>
    <row r="392" spans="1:12" x14ac:dyDescent="0.25">
      <c r="A392" s="3">
        <v>45707.623599537037</v>
      </c>
      <c r="B392" t="s">
        <v>198</v>
      </c>
      <c r="C392" s="3">
        <v>45707.623831018514</v>
      </c>
      <c r="D392" t="s">
        <v>198</v>
      </c>
      <c r="E392" s="4">
        <v>1.1195880711078644E-2</v>
      </c>
      <c r="F392" s="4">
        <v>349097.02526617382</v>
      </c>
      <c r="G392" s="4">
        <v>349097.03646205453</v>
      </c>
      <c r="H392" s="5">
        <f t="shared" si="3"/>
        <v>0</v>
      </c>
      <c r="I392" t="s">
        <v>127</v>
      </c>
      <c r="J392" t="s">
        <v>136</v>
      </c>
      <c r="K392" s="5">
        <f>20 / 86400</f>
        <v>2.3148148148148149E-4</v>
      </c>
      <c r="L392" s="5">
        <f>20 / 86400</f>
        <v>2.3148148148148149E-4</v>
      </c>
    </row>
    <row r="393" spans="1:12" x14ac:dyDescent="0.25">
      <c r="A393" s="3">
        <v>45707.624062499999</v>
      </c>
      <c r="B393" t="s">
        <v>342</v>
      </c>
      <c r="C393" s="3">
        <v>45707.624293981484</v>
      </c>
      <c r="D393" t="s">
        <v>342</v>
      </c>
      <c r="E393" s="4">
        <v>1.5798112511634828E-2</v>
      </c>
      <c r="F393" s="4">
        <v>349097.07373545237</v>
      </c>
      <c r="G393" s="4">
        <v>349097.08953356487</v>
      </c>
      <c r="H393" s="5">
        <f t="shared" si="3"/>
        <v>0</v>
      </c>
      <c r="I393" t="s">
        <v>62</v>
      </c>
      <c r="J393" t="s">
        <v>24</v>
      </c>
      <c r="K393" s="5">
        <f>20 / 86400</f>
        <v>2.3148148148148149E-4</v>
      </c>
      <c r="L393" s="5">
        <f>20 / 86400</f>
        <v>2.3148148148148149E-4</v>
      </c>
    </row>
    <row r="394" spans="1:12" x14ac:dyDescent="0.25">
      <c r="A394" s="3">
        <v>45707.624525462961</v>
      </c>
      <c r="B394" t="s">
        <v>342</v>
      </c>
      <c r="C394" s="3">
        <v>45707.624756944446</v>
      </c>
      <c r="D394" t="s">
        <v>198</v>
      </c>
      <c r="E394" s="4">
        <v>7.9808264374732971E-3</v>
      </c>
      <c r="F394" s="4">
        <v>349097.10239677964</v>
      </c>
      <c r="G394" s="4">
        <v>349097.11037760612</v>
      </c>
      <c r="H394" s="5">
        <f t="shared" si="3"/>
        <v>0</v>
      </c>
      <c r="I394" t="s">
        <v>136</v>
      </c>
      <c r="J394" t="s">
        <v>127</v>
      </c>
      <c r="K394" s="5">
        <f>20 / 86400</f>
        <v>2.3148148148148149E-4</v>
      </c>
      <c r="L394" s="5">
        <f>40 / 86400</f>
        <v>4.6296296296296298E-4</v>
      </c>
    </row>
    <row r="395" spans="1:12" x14ac:dyDescent="0.25">
      <c r="A395" s="3">
        <v>45707.625219907408</v>
      </c>
      <c r="B395" t="s">
        <v>342</v>
      </c>
      <c r="C395" s="3">
        <v>45707.625914351855</v>
      </c>
      <c r="D395" t="s">
        <v>343</v>
      </c>
      <c r="E395" s="4">
        <v>8.8552487671375274E-2</v>
      </c>
      <c r="F395" s="4">
        <v>349097.13549283386</v>
      </c>
      <c r="G395" s="4">
        <v>349097.22404532152</v>
      </c>
      <c r="H395" s="5">
        <f t="shared" si="3"/>
        <v>0</v>
      </c>
      <c r="I395" t="s">
        <v>85</v>
      </c>
      <c r="J395" t="s">
        <v>134</v>
      </c>
      <c r="K395" s="5">
        <f>60 / 86400</f>
        <v>6.9444444444444447E-4</v>
      </c>
      <c r="L395" s="5">
        <f>20 / 86400</f>
        <v>2.3148148148148149E-4</v>
      </c>
    </row>
    <row r="396" spans="1:12" x14ac:dyDescent="0.25">
      <c r="A396" s="3">
        <v>45707.626145833332</v>
      </c>
      <c r="B396" t="s">
        <v>342</v>
      </c>
      <c r="C396" s="3">
        <v>45707.627476851849</v>
      </c>
      <c r="D396" t="s">
        <v>344</v>
      </c>
      <c r="E396" s="4">
        <v>0.31464405953884123</v>
      </c>
      <c r="F396" s="4">
        <v>349097.26687109069</v>
      </c>
      <c r="G396" s="4">
        <v>349097.58151515026</v>
      </c>
      <c r="H396" s="5">
        <f t="shared" si="3"/>
        <v>0</v>
      </c>
      <c r="I396" t="s">
        <v>37</v>
      </c>
      <c r="J396" t="s">
        <v>123</v>
      </c>
      <c r="K396" s="5">
        <f>115 / 86400</f>
        <v>1.3310185185185185E-3</v>
      </c>
      <c r="L396" s="5">
        <f>2 / 86400</f>
        <v>2.3148148148148147E-5</v>
      </c>
    </row>
    <row r="397" spans="1:12" x14ac:dyDescent="0.25">
      <c r="A397" s="3">
        <v>45707.627500000002</v>
      </c>
      <c r="B397" t="s">
        <v>344</v>
      </c>
      <c r="C397" s="3">
        <v>45707.628495370373</v>
      </c>
      <c r="D397" t="s">
        <v>112</v>
      </c>
      <c r="E397" s="4">
        <v>0.16862848371267319</v>
      </c>
      <c r="F397" s="4">
        <v>349097.58349981369</v>
      </c>
      <c r="G397" s="4">
        <v>349097.7521282974</v>
      </c>
      <c r="H397" s="5">
        <f t="shared" si="3"/>
        <v>0</v>
      </c>
      <c r="I397" t="s">
        <v>20</v>
      </c>
      <c r="J397" t="s">
        <v>85</v>
      </c>
      <c r="K397" s="5">
        <f>86 / 86400</f>
        <v>9.9537037037037042E-4</v>
      </c>
      <c r="L397" s="5">
        <f>18 / 86400</f>
        <v>2.0833333333333335E-4</v>
      </c>
    </row>
    <row r="398" spans="1:12" x14ac:dyDescent="0.25">
      <c r="A398" s="3">
        <v>45707.628703703704</v>
      </c>
      <c r="B398" t="s">
        <v>112</v>
      </c>
      <c r="C398" s="3">
        <v>45707.629398148143</v>
      </c>
      <c r="D398" t="s">
        <v>112</v>
      </c>
      <c r="E398" s="4">
        <v>0.49076076060533524</v>
      </c>
      <c r="F398" s="4">
        <v>349097.75628086971</v>
      </c>
      <c r="G398" s="4">
        <v>349098.24704163033</v>
      </c>
      <c r="H398" s="5">
        <f t="shared" si="3"/>
        <v>0</v>
      </c>
      <c r="I398" t="s">
        <v>181</v>
      </c>
      <c r="J398" t="s">
        <v>185</v>
      </c>
      <c r="K398" s="5">
        <f>60 / 86400</f>
        <v>6.9444444444444447E-4</v>
      </c>
      <c r="L398" s="5">
        <f>40 / 86400</f>
        <v>4.6296296296296298E-4</v>
      </c>
    </row>
    <row r="399" spans="1:12" x14ac:dyDescent="0.25">
      <c r="A399" s="3">
        <v>45707.629861111112</v>
      </c>
      <c r="B399" t="s">
        <v>112</v>
      </c>
      <c r="C399" s="3">
        <v>45707.63009259259</v>
      </c>
      <c r="D399" t="s">
        <v>112</v>
      </c>
      <c r="E399" s="4">
        <v>8.5956144332885748E-3</v>
      </c>
      <c r="F399" s="4">
        <v>349098.28409344988</v>
      </c>
      <c r="G399" s="4">
        <v>349098.29268906434</v>
      </c>
      <c r="H399" s="5">
        <f t="shared" si="3"/>
        <v>0</v>
      </c>
      <c r="I399" t="s">
        <v>58</v>
      </c>
      <c r="J399" t="s">
        <v>136</v>
      </c>
      <c r="K399" s="5">
        <f>20 / 86400</f>
        <v>2.3148148148148149E-4</v>
      </c>
      <c r="L399" s="5">
        <f>40 / 86400</f>
        <v>4.6296296296296298E-4</v>
      </c>
    </row>
    <row r="400" spans="1:12" x14ac:dyDescent="0.25">
      <c r="A400" s="3">
        <v>45707.630555555559</v>
      </c>
      <c r="B400" t="s">
        <v>345</v>
      </c>
      <c r="C400" s="3">
        <v>45707.630787037036</v>
      </c>
      <c r="D400" t="s">
        <v>112</v>
      </c>
      <c r="E400" s="4">
        <v>3.037026846408844E-2</v>
      </c>
      <c r="F400" s="4">
        <v>349098.30971877556</v>
      </c>
      <c r="G400" s="4">
        <v>349098.34008904401</v>
      </c>
      <c r="H400" s="5">
        <f t="shared" si="3"/>
        <v>0</v>
      </c>
      <c r="I400" t="s">
        <v>43</v>
      </c>
      <c r="J400" t="s">
        <v>134</v>
      </c>
      <c r="K400" s="5">
        <f>20 / 86400</f>
        <v>2.3148148148148149E-4</v>
      </c>
      <c r="L400" s="5">
        <f>15 / 86400</f>
        <v>1.7361111111111112E-4</v>
      </c>
    </row>
    <row r="401" spans="1:12" x14ac:dyDescent="0.25">
      <c r="A401" s="3">
        <v>45707.630960648152</v>
      </c>
      <c r="B401" t="s">
        <v>112</v>
      </c>
      <c r="C401" s="3">
        <v>45707.634652777779</v>
      </c>
      <c r="D401" t="s">
        <v>260</v>
      </c>
      <c r="E401" s="4">
        <v>2.3253025687336923</v>
      </c>
      <c r="F401" s="4">
        <v>349098.34562527941</v>
      </c>
      <c r="G401" s="4">
        <v>349100.67092784814</v>
      </c>
      <c r="H401" s="5">
        <f t="shared" si="3"/>
        <v>0</v>
      </c>
      <c r="I401" t="s">
        <v>68</v>
      </c>
      <c r="J401" t="s">
        <v>155</v>
      </c>
      <c r="K401" s="5">
        <f>319 / 86400</f>
        <v>3.6921296296296298E-3</v>
      </c>
      <c r="L401" s="5">
        <f>40 / 86400</f>
        <v>4.6296296296296298E-4</v>
      </c>
    </row>
    <row r="402" spans="1:12" x14ac:dyDescent="0.25">
      <c r="A402" s="3">
        <v>45707.635115740741</v>
      </c>
      <c r="B402" t="s">
        <v>310</v>
      </c>
      <c r="C402" s="3">
        <v>45707.637731481482</v>
      </c>
      <c r="D402" t="s">
        <v>190</v>
      </c>
      <c r="E402" s="4">
        <v>1.5680855473279953</v>
      </c>
      <c r="F402" s="4">
        <v>349100.68024183466</v>
      </c>
      <c r="G402" s="4">
        <v>349102.24832738197</v>
      </c>
      <c r="H402" s="5">
        <f t="shared" si="3"/>
        <v>0</v>
      </c>
      <c r="I402" t="s">
        <v>153</v>
      </c>
      <c r="J402" t="s">
        <v>30</v>
      </c>
      <c r="K402" s="5">
        <f>226 / 86400</f>
        <v>2.6157407407407405E-3</v>
      </c>
      <c r="L402" s="5">
        <f>40 / 86400</f>
        <v>4.6296296296296298E-4</v>
      </c>
    </row>
    <row r="403" spans="1:12" x14ac:dyDescent="0.25">
      <c r="A403" s="3">
        <v>45707.638194444444</v>
      </c>
      <c r="B403" t="s">
        <v>190</v>
      </c>
      <c r="C403" s="3">
        <v>45707.641527777778</v>
      </c>
      <c r="D403" t="s">
        <v>186</v>
      </c>
      <c r="E403" s="4">
        <v>1.4806523967981338</v>
      </c>
      <c r="F403" s="4">
        <v>349102.31910907634</v>
      </c>
      <c r="G403" s="4">
        <v>349103.79976147314</v>
      </c>
      <c r="H403" s="5">
        <f t="shared" si="3"/>
        <v>0</v>
      </c>
      <c r="I403" t="s">
        <v>153</v>
      </c>
      <c r="J403" t="s">
        <v>33</v>
      </c>
      <c r="K403" s="5">
        <f>288 / 86400</f>
        <v>3.3333333333333335E-3</v>
      </c>
      <c r="L403" s="5">
        <f>60 / 86400</f>
        <v>6.9444444444444447E-4</v>
      </c>
    </row>
    <row r="404" spans="1:12" x14ac:dyDescent="0.25">
      <c r="A404" s="3">
        <v>45707.642222222217</v>
      </c>
      <c r="B404" t="s">
        <v>346</v>
      </c>
      <c r="C404" s="3">
        <v>45707.643148148149</v>
      </c>
      <c r="D404" t="s">
        <v>307</v>
      </c>
      <c r="E404" s="4">
        <v>0.18543232089281081</v>
      </c>
      <c r="F404" s="4">
        <v>349103.90875103866</v>
      </c>
      <c r="G404" s="4">
        <v>349104.09418335959</v>
      </c>
      <c r="H404" s="5">
        <f t="shared" si="3"/>
        <v>0</v>
      </c>
      <c r="I404" t="s">
        <v>84</v>
      </c>
      <c r="J404" t="s">
        <v>31</v>
      </c>
      <c r="K404" s="5">
        <f>80 / 86400</f>
        <v>9.2592592592592596E-4</v>
      </c>
      <c r="L404" s="5">
        <f>6 / 86400</f>
        <v>6.9444444444444444E-5</v>
      </c>
    </row>
    <row r="405" spans="1:12" x14ac:dyDescent="0.25">
      <c r="A405" s="3">
        <v>45707.643217592587</v>
      </c>
      <c r="B405" t="s">
        <v>307</v>
      </c>
      <c r="C405" s="3">
        <v>45707.644675925927</v>
      </c>
      <c r="D405" t="s">
        <v>347</v>
      </c>
      <c r="E405" s="4">
        <v>0.16865964132547379</v>
      </c>
      <c r="F405" s="4">
        <v>349104.10316616914</v>
      </c>
      <c r="G405" s="4">
        <v>349104.27182581049</v>
      </c>
      <c r="H405" s="5">
        <f t="shared" si="3"/>
        <v>0</v>
      </c>
      <c r="I405" t="s">
        <v>62</v>
      </c>
      <c r="J405" t="s">
        <v>134</v>
      </c>
      <c r="K405" s="5">
        <f>126 / 86400</f>
        <v>1.4583333333333334E-3</v>
      </c>
      <c r="L405" s="5">
        <f>27 / 86400</f>
        <v>3.1250000000000001E-4</v>
      </c>
    </row>
    <row r="406" spans="1:12" x14ac:dyDescent="0.25">
      <c r="A406" s="3">
        <v>45707.644988425927</v>
      </c>
      <c r="B406" t="s">
        <v>348</v>
      </c>
      <c r="C406" s="3">
        <v>45707.647303240738</v>
      </c>
      <c r="D406" t="s">
        <v>104</v>
      </c>
      <c r="E406" s="4">
        <v>0.76346471881866451</v>
      </c>
      <c r="F406" s="4">
        <v>349104.28734727594</v>
      </c>
      <c r="G406" s="4">
        <v>349105.0508119947</v>
      </c>
      <c r="H406" s="5">
        <f t="shared" si="3"/>
        <v>0</v>
      </c>
      <c r="I406" t="s">
        <v>57</v>
      </c>
      <c r="J406" t="s">
        <v>43</v>
      </c>
      <c r="K406" s="5">
        <f>200 / 86400</f>
        <v>2.3148148148148147E-3</v>
      </c>
      <c r="L406" s="5">
        <f>40 / 86400</f>
        <v>4.6296296296296298E-4</v>
      </c>
    </row>
    <row r="407" spans="1:12" x14ac:dyDescent="0.25">
      <c r="A407" s="3">
        <v>45707.647766203707</v>
      </c>
      <c r="B407" t="s">
        <v>91</v>
      </c>
      <c r="C407" s="3">
        <v>45707.647997685184</v>
      </c>
      <c r="D407" t="s">
        <v>349</v>
      </c>
      <c r="E407" s="4">
        <v>0.17434482222795486</v>
      </c>
      <c r="F407" s="4">
        <v>349105.11040591658</v>
      </c>
      <c r="G407" s="4">
        <v>349105.28475073882</v>
      </c>
      <c r="H407" s="5">
        <f t="shared" si="3"/>
        <v>0</v>
      </c>
      <c r="I407" t="s">
        <v>142</v>
      </c>
      <c r="J407" t="s">
        <v>57</v>
      </c>
      <c r="K407" s="5">
        <f>20 / 86400</f>
        <v>2.3148148148148149E-4</v>
      </c>
      <c r="L407" s="5">
        <f>20 / 86400</f>
        <v>2.3148148148148149E-4</v>
      </c>
    </row>
    <row r="408" spans="1:12" x14ac:dyDescent="0.25">
      <c r="A408" s="3">
        <v>45707.648229166662</v>
      </c>
      <c r="B408" t="s">
        <v>91</v>
      </c>
      <c r="C408" s="3">
        <v>45707.649386574078</v>
      </c>
      <c r="D408" t="s">
        <v>91</v>
      </c>
      <c r="E408" s="4">
        <v>0.46028007113933561</v>
      </c>
      <c r="F408" s="4">
        <v>349105.33736495965</v>
      </c>
      <c r="G408" s="4">
        <v>349105.79764503078</v>
      </c>
      <c r="H408" s="5">
        <f t="shared" si="3"/>
        <v>0</v>
      </c>
      <c r="I408" t="s">
        <v>57</v>
      </c>
      <c r="J408" t="s">
        <v>37</v>
      </c>
      <c r="K408" s="5">
        <f>100 / 86400</f>
        <v>1.1574074074074073E-3</v>
      </c>
      <c r="L408" s="5">
        <f>20 / 86400</f>
        <v>2.3148148148148149E-4</v>
      </c>
    </row>
    <row r="409" spans="1:12" x14ac:dyDescent="0.25">
      <c r="A409" s="3">
        <v>45707.649618055555</v>
      </c>
      <c r="B409" t="s">
        <v>91</v>
      </c>
      <c r="C409" s="3">
        <v>45707.653784722221</v>
      </c>
      <c r="D409" t="s">
        <v>350</v>
      </c>
      <c r="E409" s="4">
        <v>2.2231488159894943</v>
      </c>
      <c r="F409" s="4">
        <v>349105.86886612757</v>
      </c>
      <c r="G409" s="4">
        <v>349108.09201494354</v>
      </c>
      <c r="H409" s="5">
        <f t="shared" si="3"/>
        <v>0</v>
      </c>
      <c r="I409" t="s">
        <v>282</v>
      </c>
      <c r="J409" t="s">
        <v>129</v>
      </c>
      <c r="K409" s="5">
        <f>360 / 86400</f>
        <v>4.1666666666666666E-3</v>
      </c>
      <c r="L409" s="5">
        <f>20 / 86400</f>
        <v>2.3148148148148149E-4</v>
      </c>
    </row>
    <row r="410" spans="1:12" x14ac:dyDescent="0.25">
      <c r="A410" s="3">
        <v>45707.654016203705</v>
      </c>
      <c r="B410" t="s">
        <v>350</v>
      </c>
      <c r="C410" s="3">
        <v>45707.654479166667</v>
      </c>
      <c r="D410" t="s">
        <v>118</v>
      </c>
      <c r="E410" s="4">
        <v>0.13551770049333572</v>
      </c>
      <c r="F410" s="4">
        <v>349108.11179838557</v>
      </c>
      <c r="G410" s="4">
        <v>349108.24731608608</v>
      </c>
      <c r="H410" s="5">
        <f t="shared" si="3"/>
        <v>0</v>
      </c>
      <c r="I410" t="s">
        <v>35</v>
      </c>
      <c r="J410" t="s">
        <v>148</v>
      </c>
      <c r="K410" s="5">
        <f>40 / 86400</f>
        <v>4.6296296296296298E-4</v>
      </c>
      <c r="L410" s="5">
        <f>94 / 86400</f>
        <v>1.0879629629629629E-3</v>
      </c>
    </row>
    <row r="411" spans="1:12" x14ac:dyDescent="0.25">
      <c r="A411" s="3">
        <v>45707.65556712963</v>
      </c>
      <c r="B411" t="s">
        <v>118</v>
      </c>
      <c r="C411" s="3">
        <v>45707.656527777777</v>
      </c>
      <c r="D411" t="s">
        <v>118</v>
      </c>
      <c r="E411" s="4">
        <v>0.50016880559921262</v>
      </c>
      <c r="F411" s="4">
        <v>349108.29749978101</v>
      </c>
      <c r="G411" s="4">
        <v>349108.7976685866</v>
      </c>
      <c r="H411" s="5">
        <f t="shared" si="3"/>
        <v>0</v>
      </c>
      <c r="I411" t="s">
        <v>202</v>
      </c>
      <c r="J411" t="s">
        <v>129</v>
      </c>
      <c r="K411" s="5">
        <f>83 / 86400</f>
        <v>9.6064814814814819E-4</v>
      </c>
      <c r="L411" s="5">
        <f>20 / 86400</f>
        <v>2.3148148148148149E-4</v>
      </c>
    </row>
    <row r="412" spans="1:12" x14ac:dyDescent="0.25">
      <c r="A412" s="3">
        <v>45707.656759259262</v>
      </c>
      <c r="B412" t="s">
        <v>118</v>
      </c>
      <c r="C412" s="3">
        <v>45707.657222222224</v>
      </c>
      <c r="D412" t="s">
        <v>118</v>
      </c>
      <c r="E412" s="4">
        <v>0.32961652415990828</v>
      </c>
      <c r="F412" s="4">
        <v>349108.89919031365</v>
      </c>
      <c r="G412" s="4">
        <v>349109.22880683781</v>
      </c>
      <c r="H412" s="5">
        <f t="shared" si="3"/>
        <v>0</v>
      </c>
      <c r="I412" t="s">
        <v>147</v>
      </c>
      <c r="J412" t="s">
        <v>161</v>
      </c>
      <c r="K412" s="5">
        <f>40 / 86400</f>
        <v>4.6296296296296298E-4</v>
      </c>
      <c r="L412" s="5">
        <f>40 / 86400</f>
        <v>4.6296296296296298E-4</v>
      </c>
    </row>
    <row r="413" spans="1:12" x14ac:dyDescent="0.25">
      <c r="A413" s="3">
        <v>45707.657685185186</v>
      </c>
      <c r="B413" t="s">
        <v>118</v>
      </c>
      <c r="C413" s="3">
        <v>45707.658379629633</v>
      </c>
      <c r="D413" t="s">
        <v>351</v>
      </c>
      <c r="E413" s="4">
        <v>0.68900665855407717</v>
      </c>
      <c r="F413" s="4">
        <v>349109.35619685397</v>
      </c>
      <c r="G413" s="4">
        <v>349110.04520351253</v>
      </c>
      <c r="H413" s="5">
        <f t="shared" si="3"/>
        <v>0</v>
      </c>
      <c r="I413" t="s">
        <v>352</v>
      </c>
      <c r="J413" t="s">
        <v>202</v>
      </c>
      <c r="K413" s="5">
        <f>60 / 86400</f>
        <v>6.9444444444444447E-4</v>
      </c>
      <c r="L413" s="5">
        <f>20 / 86400</f>
        <v>2.3148148148148149E-4</v>
      </c>
    </row>
    <row r="414" spans="1:12" x14ac:dyDescent="0.25">
      <c r="A414" s="3">
        <v>45707.65861111111</v>
      </c>
      <c r="B414" t="s">
        <v>351</v>
      </c>
      <c r="C414" s="3">
        <v>45707.66</v>
      </c>
      <c r="D414" t="s">
        <v>118</v>
      </c>
      <c r="E414" s="4">
        <v>1.1487611600160599</v>
      </c>
      <c r="F414" s="4">
        <v>349110.05218499148</v>
      </c>
      <c r="G414" s="4">
        <v>349111.20094615151</v>
      </c>
      <c r="H414" s="5">
        <f t="shared" si="3"/>
        <v>0</v>
      </c>
      <c r="I414" t="s">
        <v>68</v>
      </c>
      <c r="J414" t="s">
        <v>191</v>
      </c>
      <c r="K414" s="5">
        <f>120 / 86400</f>
        <v>1.3888888888888889E-3</v>
      </c>
      <c r="L414" s="5">
        <f>20 / 86400</f>
        <v>2.3148148148148149E-4</v>
      </c>
    </row>
    <row r="415" spans="1:12" x14ac:dyDescent="0.25">
      <c r="A415" s="3">
        <v>45707.660231481481</v>
      </c>
      <c r="B415" t="s">
        <v>118</v>
      </c>
      <c r="C415" s="3">
        <v>45707.661157407405</v>
      </c>
      <c r="D415" t="s">
        <v>118</v>
      </c>
      <c r="E415" s="4">
        <v>0.54369171476364131</v>
      </c>
      <c r="F415" s="4">
        <v>349111.34779391432</v>
      </c>
      <c r="G415" s="4">
        <v>349111.89148562908</v>
      </c>
      <c r="H415" s="5">
        <f t="shared" si="3"/>
        <v>0</v>
      </c>
      <c r="I415" t="s">
        <v>213</v>
      </c>
      <c r="J415" t="s">
        <v>151</v>
      </c>
      <c r="K415" s="5">
        <f>80 / 86400</f>
        <v>9.2592592592592596E-4</v>
      </c>
      <c r="L415" s="5">
        <f>20 / 86400</f>
        <v>2.3148148148148149E-4</v>
      </c>
    </row>
    <row r="416" spans="1:12" x14ac:dyDescent="0.25">
      <c r="A416" s="3">
        <v>45707.66138888889</v>
      </c>
      <c r="B416" t="s">
        <v>266</v>
      </c>
      <c r="C416" s="3">
        <v>45707.662546296298</v>
      </c>
      <c r="D416" t="s">
        <v>267</v>
      </c>
      <c r="E416" s="4">
        <v>0.92678313648700716</v>
      </c>
      <c r="F416" s="4">
        <v>349111.93423197063</v>
      </c>
      <c r="G416" s="4">
        <v>349112.86101510708</v>
      </c>
      <c r="H416" s="5">
        <f t="shared" si="3"/>
        <v>0</v>
      </c>
      <c r="I416" t="s">
        <v>177</v>
      </c>
      <c r="J416" t="s">
        <v>169</v>
      </c>
      <c r="K416" s="5">
        <f>100 / 86400</f>
        <v>1.1574074074074073E-3</v>
      </c>
      <c r="L416" s="5">
        <f>15 / 86400</f>
        <v>1.7361111111111112E-4</v>
      </c>
    </row>
    <row r="417" spans="1:12" x14ac:dyDescent="0.25">
      <c r="A417" s="3">
        <v>45707.662719907406</v>
      </c>
      <c r="B417" t="s">
        <v>267</v>
      </c>
      <c r="C417" s="3">
        <v>45707.662951388891</v>
      </c>
      <c r="D417" t="s">
        <v>268</v>
      </c>
      <c r="E417" s="4">
        <v>4.7958989620208739E-2</v>
      </c>
      <c r="F417" s="4">
        <v>349112.86801276886</v>
      </c>
      <c r="G417" s="4">
        <v>349112.91597175848</v>
      </c>
      <c r="H417" s="5">
        <f t="shared" si="3"/>
        <v>0</v>
      </c>
      <c r="I417" t="s">
        <v>85</v>
      </c>
      <c r="J417" t="s">
        <v>132</v>
      </c>
      <c r="K417" s="5">
        <f>20 / 86400</f>
        <v>2.3148148148148149E-4</v>
      </c>
      <c r="L417" s="5">
        <f>20 / 86400</f>
        <v>2.3148148148148149E-4</v>
      </c>
    </row>
    <row r="418" spans="1:12" x14ac:dyDescent="0.25">
      <c r="A418" s="3">
        <v>45707.663182870368</v>
      </c>
      <c r="B418" t="s">
        <v>176</v>
      </c>
      <c r="C418" s="3">
        <v>45707.664108796293</v>
      </c>
      <c r="D418" t="s">
        <v>269</v>
      </c>
      <c r="E418" s="4">
        <v>0.60902143198251724</v>
      </c>
      <c r="F418" s="4">
        <v>349113.07228311826</v>
      </c>
      <c r="G418" s="4">
        <v>349113.68130455021</v>
      </c>
      <c r="H418" s="5">
        <f t="shared" si="3"/>
        <v>0</v>
      </c>
      <c r="I418" t="s">
        <v>100</v>
      </c>
      <c r="J418" t="s">
        <v>84</v>
      </c>
      <c r="K418" s="5">
        <f>80 / 86400</f>
        <v>9.2592592592592596E-4</v>
      </c>
      <c r="L418" s="5">
        <f>40 / 86400</f>
        <v>4.6296296296296298E-4</v>
      </c>
    </row>
    <row r="419" spans="1:12" x14ac:dyDescent="0.25">
      <c r="A419" s="3">
        <v>45707.664571759262</v>
      </c>
      <c r="B419" t="s">
        <v>270</v>
      </c>
      <c r="C419" s="3">
        <v>45707.668217592596</v>
      </c>
      <c r="D419" t="s">
        <v>139</v>
      </c>
      <c r="E419" s="4">
        <v>2.5072854456305502</v>
      </c>
      <c r="F419" s="4">
        <v>349113.69488118298</v>
      </c>
      <c r="G419" s="4">
        <v>349116.20216662862</v>
      </c>
      <c r="H419" s="5">
        <f t="shared" si="3"/>
        <v>0</v>
      </c>
      <c r="I419" t="s">
        <v>293</v>
      </c>
      <c r="J419" t="s">
        <v>185</v>
      </c>
      <c r="K419" s="5">
        <f>315 / 86400</f>
        <v>3.6458333333333334E-3</v>
      </c>
      <c r="L419" s="5">
        <f>40 / 86400</f>
        <v>4.6296296296296298E-4</v>
      </c>
    </row>
    <row r="420" spans="1:12" x14ac:dyDescent="0.25">
      <c r="A420" s="3">
        <v>45707.668680555551</v>
      </c>
      <c r="B420" t="s">
        <v>139</v>
      </c>
      <c r="C420" s="3">
        <v>45707.669374999998</v>
      </c>
      <c r="D420" t="s">
        <v>82</v>
      </c>
      <c r="E420" s="4">
        <v>0.61468620043992994</v>
      </c>
      <c r="F420" s="4">
        <v>349116.23455882544</v>
      </c>
      <c r="G420" s="4">
        <v>349116.84924502589</v>
      </c>
      <c r="H420" s="5">
        <f t="shared" si="3"/>
        <v>0</v>
      </c>
      <c r="I420" t="s">
        <v>352</v>
      </c>
      <c r="J420" t="s">
        <v>194</v>
      </c>
      <c r="K420" s="5">
        <f>60 / 86400</f>
        <v>6.9444444444444447E-4</v>
      </c>
      <c r="L420" s="5">
        <f>108 / 86400</f>
        <v>1.25E-3</v>
      </c>
    </row>
    <row r="421" spans="1:12" x14ac:dyDescent="0.25">
      <c r="A421" s="3">
        <v>45707.670624999999</v>
      </c>
      <c r="B421" t="s">
        <v>82</v>
      </c>
      <c r="C421" s="3">
        <v>45707.6721412037</v>
      </c>
      <c r="D421" t="s">
        <v>175</v>
      </c>
      <c r="E421" s="4">
        <v>0.80294031488895412</v>
      </c>
      <c r="F421" s="4">
        <v>349116.86453388497</v>
      </c>
      <c r="G421" s="4">
        <v>349117.6674741999</v>
      </c>
      <c r="H421" s="5">
        <f t="shared" si="3"/>
        <v>0</v>
      </c>
      <c r="I421" t="s">
        <v>57</v>
      </c>
      <c r="J421" t="s">
        <v>129</v>
      </c>
      <c r="K421" s="5">
        <f>131 / 86400</f>
        <v>1.5162037037037036E-3</v>
      </c>
      <c r="L421" s="5">
        <f>20 / 86400</f>
        <v>2.3148148148148149E-4</v>
      </c>
    </row>
    <row r="422" spans="1:12" x14ac:dyDescent="0.25">
      <c r="A422" s="3">
        <v>45707.672372685185</v>
      </c>
      <c r="B422" t="s">
        <v>175</v>
      </c>
      <c r="C422" s="3">
        <v>45707.67260416667</v>
      </c>
      <c r="D422" t="s">
        <v>139</v>
      </c>
      <c r="E422" s="4">
        <v>6.0615332722663883E-3</v>
      </c>
      <c r="F422" s="4">
        <v>349117.7107072855</v>
      </c>
      <c r="G422" s="4">
        <v>349117.71676881879</v>
      </c>
      <c r="H422" s="5">
        <f t="shared" si="3"/>
        <v>0</v>
      </c>
      <c r="I422" t="s">
        <v>85</v>
      </c>
      <c r="J422" t="s">
        <v>127</v>
      </c>
      <c r="K422" s="5">
        <f>20 / 86400</f>
        <v>2.3148148148148149E-4</v>
      </c>
      <c r="L422" s="5">
        <f>60 / 86400</f>
        <v>6.9444444444444447E-4</v>
      </c>
    </row>
    <row r="423" spans="1:12" x14ac:dyDescent="0.25">
      <c r="A423" s="3">
        <v>45707.673298611116</v>
      </c>
      <c r="B423" t="s">
        <v>139</v>
      </c>
      <c r="C423" s="3">
        <v>45707.675613425927</v>
      </c>
      <c r="D423" t="s">
        <v>176</v>
      </c>
      <c r="E423" s="4">
        <v>1.9026538137793541</v>
      </c>
      <c r="F423" s="4">
        <v>349117.7753468008</v>
      </c>
      <c r="G423" s="4">
        <v>349119.67800061457</v>
      </c>
      <c r="H423" s="5">
        <f t="shared" si="3"/>
        <v>0</v>
      </c>
      <c r="I423" t="s">
        <v>138</v>
      </c>
      <c r="J423" t="s">
        <v>191</v>
      </c>
      <c r="K423" s="5">
        <f>200 / 86400</f>
        <v>2.3148148148148147E-3</v>
      </c>
      <c r="L423" s="5">
        <f>20 / 86400</f>
        <v>2.3148148148148149E-4</v>
      </c>
    </row>
    <row r="424" spans="1:12" x14ac:dyDescent="0.25">
      <c r="A424" s="3">
        <v>45707.675844907411</v>
      </c>
      <c r="B424" t="s">
        <v>176</v>
      </c>
      <c r="C424" s="3">
        <v>45707.676400462966</v>
      </c>
      <c r="D424" t="s">
        <v>79</v>
      </c>
      <c r="E424" s="4">
        <v>7.113300287723541E-2</v>
      </c>
      <c r="F424" s="4">
        <v>349119.68696975871</v>
      </c>
      <c r="G424" s="4">
        <v>349119.75810276158</v>
      </c>
      <c r="H424" s="5">
        <f t="shared" si="3"/>
        <v>0</v>
      </c>
      <c r="I424" t="s">
        <v>123</v>
      </c>
      <c r="J424" t="s">
        <v>134</v>
      </c>
      <c r="K424" s="5">
        <f>48 / 86400</f>
        <v>5.5555555555555556E-4</v>
      </c>
      <c r="L424" s="5">
        <f>1069 / 86400</f>
        <v>1.2372685185185184E-2</v>
      </c>
    </row>
    <row r="425" spans="1:12" x14ac:dyDescent="0.25">
      <c r="A425" s="3">
        <v>45707.688773148147</v>
      </c>
      <c r="B425" t="s">
        <v>79</v>
      </c>
      <c r="C425" s="3">
        <v>45707.689039351855</v>
      </c>
      <c r="D425" t="s">
        <v>79</v>
      </c>
      <c r="E425" s="4">
        <v>5.8149169862270353E-2</v>
      </c>
      <c r="F425" s="4">
        <v>349119.76669549622</v>
      </c>
      <c r="G425" s="4">
        <v>349119.82484466606</v>
      </c>
      <c r="H425" s="5">
        <f t="shared" si="3"/>
        <v>0</v>
      </c>
      <c r="I425" t="s">
        <v>62</v>
      </c>
      <c r="J425" t="s">
        <v>132</v>
      </c>
      <c r="K425" s="5">
        <f>23 / 86400</f>
        <v>2.6620370370370372E-4</v>
      </c>
      <c r="L425" s="5">
        <f>594 / 86400</f>
        <v>6.875E-3</v>
      </c>
    </row>
    <row r="426" spans="1:12" x14ac:dyDescent="0.25">
      <c r="A426" s="3">
        <v>45707.695914351847</v>
      </c>
      <c r="B426" t="s">
        <v>79</v>
      </c>
      <c r="C426" s="3">
        <v>45707.696516203709</v>
      </c>
      <c r="D426" t="s">
        <v>176</v>
      </c>
      <c r="E426" s="4">
        <v>9.6188347637653354E-2</v>
      </c>
      <c r="F426" s="4">
        <v>349119.83168348146</v>
      </c>
      <c r="G426" s="4">
        <v>349119.92787182907</v>
      </c>
      <c r="H426" s="5">
        <f t="shared" si="3"/>
        <v>0</v>
      </c>
      <c r="I426" t="s">
        <v>27</v>
      </c>
      <c r="J426" t="s">
        <v>85</v>
      </c>
      <c r="K426" s="5">
        <f>52 / 86400</f>
        <v>6.018518518518519E-4</v>
      </c>
      <c r="L426" s="5">
        <f>13 / 86400</f>
        <v>1.5046296296296297E-4</v>
      </c>
    </row>
    <row r="427" spans="1:12" x14ac:dyDescent="0.25">
      <c r="A427" s="3">
        <v>45707.69666666667</v>
      </c>
      <c r="B427" t="s">
        <v>176</v>
      </c>
      <c r="C427" s="3">
        <v>45707.698287037041</v>
      </c>
      <c r="D427" t="s">
        <v>176</v>
      </c>
      <c r="E427" s="4">
        <v>1.2749118638634682</v>
      </c>
      <c r="F427" s="4">
        <v>349119.93028830789</v>
      </c>
      <c r="G427" s="4">
        <v>349121.2052001718</v>
      </c>
      <c r="H427" s="5">
        <f t="shared" ref="H427:H490" si="4">0 / 86400</f>
        <v>0</v>
      </c>
      <c r="I427" t="s">
        <v>100</v>
      </c>
      <c r="J427" t="s">
        <v>169</v>
      </c>
      <c r="K427" s="5">
        <f>140 / 86400</f>
        <v>1.6203703703703703E-3</v>
      </c>
      <c r="L427" s="5">
        <f>60 / 86400</f>
        <v>6.9444444444444447E-4</v>
      </c>
    </row>
    <row r="428" spans="1:12" x14ac:dyDescent="0.25">
      <c r="A428" s="3">
        <v>45707.698981481481</v>
      </c>
      <c r="B428" t="s">
        <v>176</v>
      </c>
      <c r="C428" s="3">
        <v>45707.703414351854</v>
      </c>
      <c r="D428" t="s">
        <v>28</v>
      </c>
      <c r="E428" s="4">
        <v>1.9094317250251771</v>
      </c>
      <c r="F428" s="4">
        <v>349121.21781604621</v>
      </c>
      <c r="G428" s="4">
        <v>349123.12724777119</v>
      </c>
      <c r="H428" s="5">
        <f t="shared" si="4"/>
        <v>0</v>
      </c>
      <c r="I428" t="s">
        <v>261</v>
      </c>
      <c r="J428" t="s">
        <v>27</v>
      </c>
      <c r="K428" s="5">
        <f>383 / 86400</f>
        <v>4.43287037037037E-3</v>
      </c>
      <c r="L428" s="5">
        <f>5018 / 86400</f>
        <v>5.8078703703703702E-2</v>
      </c>
    </row>
    <row r="429" spans="1:12" x14ac:dyDescent="0.25">
      <c r="A429" s="3">
        <v>45707.761493055557</v>
      </c>
      <c r="B429" t="s">
        <v>28</v>
      </c>
      <c r="C429" s="3">
        <v>45707.763078703705</v>
      </c>
      <c r="D429" t="s">
        <v>28</v>
      </c>
      <c r="E429" s="4">
        <v>0.24873706400394441</v>
      </c>
      <c r="F429" s="4">
        <v>349123.1367198411</v>
      </c>
      <c r="G429" s="4">
        <v>349123.38545690512</v>
      </c>
      <c r="H429" s="5">
        <f t="shared" si="4"/>
        <v>0</v>
      </c>
      <c r="I429" t="s">
        <v>62</v>
      </c>
      <c r="J429" t="s">
        <v>85</v>
      </c>
      <c r="K429" s="5">
        <f>137 / 86400</f>
        <v>1.5856481481481481E-3</v>
      </c>
      <c r="L429" s="5">
        <f>48 / 86400</f>
        <v>5.5555555555555556E-4</v>
      </c>
    </row>
    <row r="430" spans="1:12" x14ac:dyDescent="0.25">
      <c r="A430" s="3">
        <v>45707.76363425926</v>
      </c>
      <c r="B430" t="s">
        <v>28</v>
      </c>
      <c r="C430" s="3">
        <v>45707.763865740737</v>
      </c>
      <c r="D430" t="s">
        <v>28</v>
      </c>
      <c r="E430" s="4">
        <v>9.4332818984985359E-3</v>
      </c>
      <c r="F430" s="4">
        <v>349123.39861187176</v>
      </c>
      <c r="G430" s="4">
        <v>349123.40804515366</v>
      </c>
      <c r="H430" s="5">
        <f t="shared" si="4"/>
        <v>0</v>
      </c>
      <c r="I430" t="s">
        <v>85</v>
      </c>
      <c r="J430" t="s">
        <v>136</v>
      </c>
      <c r="K430" s="5">
        <f>20 / 86400</f>
        <v>2.3148148148148149E-4</v>
      </c>
      <c r="L430" s="5">
        <f>117 / 86400</f>
        <v>1.3541666666666667E-3</v>
      </c>
    </row>
    <row r="431" spans="1:12" x14ac:dyDescent="0.25">
      <c r="A431" s="3">
        <v>45707.765219907407</v>
      </c>
      <c r="B431" t="s">
        <v>28</v>
      </c>
      <c r="C431" s="3">
        <v>45707.766863425924</v>
      </c>
      <c r="D431" t="s">
        <v>353</v>
      </c>
      <c r="E431" s="4">
        <v>0.59535019427537916</v>
      </c>
      <c r="F431" s="4">
        <v>349123.41816988803</v>
      </c>
      <c r="G431" s="4">
        <v>349124.01352008228</v>
      </c>
      <c r="H431" s="5">
        <f t="shared" si="4"/>
        <v>0</v>
      </c>
      <c r="I431" t="s">
        <v>149</v>
      </c>
      <c r="J431" t="s">
        <v>46</v>
      </c>
      <c r="K431" s="5">
        <f>142 / 86400</f>
        <v>1.6435185185185185E-3</v>
      </c>
      <c r="L431" s="5">
        <f>220 / 86400</f>
        <v>2.5462962962962965E-3</v>
      </c>
    </row>
    <row r="432" spans="1:12" x14ac:dyDescent="0.25">
      <c r="A432" s="3">
        <v>45707.769409722227</v>
      </c>
      <c r="B432" t="s">
        <v>353</v>
      </c>
      <c r="C432" s="3">
        <v>45707.771296296298</v>
      </c>
      <c r="D432" t="s">
        <v>354</v>
      </c>
      <c r="E432" s="4">
        <v>0.76285867935419083</v>
      </c>
      <c r="F432" s="4">
        <v>349124.03123719717</v>
      </c>
      <c r="G432" s="4">
        <v>349124.79409587651</v>
      </c>
      <c r="H432" s="5">
        <f t="shared" si="4"/>
        <v>0</v>
      </c>
      <c r="I432" t="s">
        <v>235</v>
      </c>
      <c r="J432" t="s">
        <v>37</v>
      </c>
      <c r="K432" s="5">
        <f>163 / 86400</f>
        <v>1.8865740740740742E-3</v>
      </c>
      <c r="L432" s="5">
        <f>20 / 86400</f>
        <v>2.3148148148148149E-4</v>
      </c>
    </row>
    <row r="433" spans="1:12" x14ac:dyDescent="0.25">
      <c r="A433" s="3">
        <v>45707.771527777775</v>
      </c>
      <c r="B433" t="s">
        <v>354</v>
      </c>
      <c r="C433" s="3">
        <v>45707.771990740745</v>
      </c>
      <c r="D433" t="s">
        <v>179</v>
      </c>
      <c r="E433" s="4">
        <v>4.8698572218418119E-2</v>
      </c>
      <c r="F433" s="4">
        <v>349124.81693406083</v>
      </c>
      <c r="G433" s="4">
        <v>349124.86563263304</v>
      </c>
      <c r="H433" s="5">
        <f t="shared" si="4"/>
        <v>0</v>
      </c>
      <c r="I433" t="s">
        <v>85</v>
      </c>
      <c r="J433" t="s">
        <v>58</v>
      </c>
      <c r="K433" s="5">
        <f>40 / 86400</f>
        <v>4.6296296296296298E-4</v>
      </c>
      <c r="L433" s="5">
        <f>40 / 86400</f>
        <v>4.6296296296296298E-4</v>
      </c>
    </row>
    <row r="434" spans="1:12" x14ac:dyDescent="0.25">
      <c r="A434" s="3">
        <v>45707.772453703699</v>
      </c>
      <c r="B434" t="s">
        <v>179</v>
      </c>
      <c r="C434" s="3">
        <v>45707.772685185184</v>
      </c>
      <c r="D434" t="s">
        <v>355</v>
      </c>
      <c r="E434" s="4">
        <v>3.4109092593193051E-2</v>
      </c>
      <c r="F434" s="4">
        <v>349124.87691326503</v>
      </c>
      <c r="G434" s="4">
        <v>349124.91102235764</v>
      </c>
      <c r="H434" s="5">
        <f t="shared" si="4"/>
        <v>0</v>
      </c>
      <c r="I434" t="s">
        <v>137</v>
      </c>
      <c r="J434" t="s">
        <v>101</v>
      </c>
      <c r="K434" s="5">
        <f>20 / 86400</f>
        <v>2.3148148148148149E-4</v>
      </c>
      <c r="L434" s="5">
        <f>20 / 86400</f>
        <v>2.3148148148148149E-4</v>
      </c>
    </row>
    <row r="435" spans="1:12" x14ac:dyDescent="0.25">
      <c r="A435" s="3">
        <v>45707.772916666669</v>
      </c>
      <c r="B435" t="s">
        <v>355</v>
      </c>
      <c r="C435" s="3">
        <v>45707.773148148146</v>
      </c>
      <c r="D435" t="s">
        <v>355</v>
      </c>
      <c r="E435" s="4">
        <v>1.0755253791809081E-2</v>
      </c>
      <c r="F435" s="4">
        <v>349124.92017232825</v>
      </c>
      <c r="G435" s="4">
        <v>349124.93092758203</v>
      </c>
      <c r="H435" s="5">
        <f t="shared" si="4"/>
        <v>0</v>
      </c>
      <c r="I435" t="s">
        <v>127</v>
      </c>
      <c r="J435" t="s">
        <v>136</v>
      </c>
      <c r="K435" s="5">
        <f>20 / 86400</f>
        <v>2.3148148148148149E-4</v>
      </c>
      <c r="L435" s="5">
        <f>20 / 86400</f>
        <v>2.3148148148148149E-4</v>
      </c>
    </row>
    <row r="436" spans="1:12" x14ac:dyDescent="0.25">
      <c r="A436" s="3">
        <v>45707.773379629631</v>
      </c>
      <c r="B436" t="s">
        <v>355</v>
      </c>
      <c r="C436" s="3">
        <v>45707.781388888892</v>
      </c>
      <c r="D436" t="s">
        <v>156</v>
      </c>
      <c r="E436" s="4">
        <v>4.886603855371475</v>
      </c>
      <c r="F436" s="4">
        <v>349124.93247798015</v>
      </c>
      <c r="G436" s="4">
        <v>349129.81908183551</v>
      </c>
      <c r="H436" s="5">
        <f t="shared" si="4"/>
        <v>0</v>
      </c>
      <c r="I436" t="s">
        <v>265</v>
      </c>
      <c r="J436" t="s">
        <v>30</v>
      </c>
      <c r="K436" s="5">
        <f>692 / 86400</f>
        <v>8.0092592592592594E-3</v>
      </c>
      <c r="L436" s="5">
        <f>20 / 86400</f>
        <v>2.3148148148148149E-4</v>
      </c>
    </row>
    <row r="437" spans="1:12" x14ac:dyDescent="0.25">
      <c r="A437" s="3">
        <v>45707.78162037037</v>
      </c>
      <c r="B437" t="s">
        <v>156</v>
      </c>
      <c r="C437" s="3">
        <v>45707.782546296294</v>
      </c>
      <c r="D437" t="s">
        <v>156</v>
      </c>
      <c r="E437" s="4">
        <v>5.0936317622661591E-2</v>
      </c>
      <c r="F437" s="4">
        <v>349129.82992088021</v>
      </c>
      <c r="G437" s="4">
        <v>349129.8808571978</v>
      </c>
      <c r="H437" s="5">
        <f t="shared" si="4"/>
        <v>0</v>
      </c>
      <c r="I437" t="s">
        <v>134</v>
      </c>
      <c r="J437" t="s">
        <v>136</v>
      </c>
      <c r="K437" s="5">
        <f>80 / 86400</f>
        <v>9.2592592592592596E-4</v>
      </c>
      <c r="L437" s="5">
        <f>20 / 86400</f>
        <v>2.3148148148148149E-4</v>
      </c>
    </row>
    <row r="438" spans="1:12" x14ac:dyDescent="0.25">
      <c r="A438" s="3">
        <v>45707.782777777778</v>
      </c>
      <c r="B438" t="s">
        <v>156</v>
      </c>
      <c r="C438" s="3">
        <v>45707.78324074074</v>
      </c>
      <c r="D438" t="s">
        <v>156</v>
      </c>
      <c r="E438" s="4">
        <v>0.17390269941091538</v>
      </c>
      <c r="F438" s="4">
        <v>349129.92178963765</v>
      </c>
      <c r="G438" s="4">
        <v>349130.09569233702</v>
      </c>
      <c r="H438" s="5">
        <f t="shared" si="4"/>
        <v>0</v>
      </c>
      <c r="I438" t="s">
        <v>62</v>
      </c>
      <c r="J438" t="s">
        <v>20</v>
      </c>
      <c r="K438" s="5">
        <f>40 / 86400</f>
        <v>4.6296296296296298E-4</v>
      </c>
      <c r="L438" s="5">
        <f>20 / 86400</f>
        <v>2.3148148148148149E-4</v>
      </c>
    </row>
    <row r="439" spans="1:12" x14ac:dyDescent="0.25">
      <c r="A439" s="3">
        <v>45707.783472222218</v>
      </c>
      <c r="B439" t="s">
        <v>156</v>
      </c>
      <c r="C439" s="3">
        <v>45707.78907407407</v>
      </c>
      <c r="D439" t="s">
        <v>270</v>
      </c>
      <c r="E439" s="4">
        <v>2.3659706030488015</v>
      </c>
      <c r="F439" s="4">
        <v>349130.1270384668</v>
      </c>
      <c r="G439" s="4">
        <v>349132.49300906988</v>
      </c>
      <c r="H439" s="5">
        <f t="shared" si="4"/>
        <v>0</v>
      </c>
      <c r="I439" t="s">
        <v>251</v>
      </c>
      <c r="J439" t="s">
        <v>27</v>
      </c>
      <c r="K439" s="5">
        <f>484 / 86400</f>
        <v>5.6018518518518518E-3</v>
      </c>
      <c r="L439" s="5">
        <f>72 / 86400</f>
        <v>8.3333333333333339E-4</v>
      </c>
    </row>
    <row r="440" spans="1:12" x14ac:dyDescent="0.25">
      <c r="A440" s="3">
        <v>45707.789907407408</v>
      </c>
      <c r="B440" t="s">
        <v>270</v>
      </c>
      <c r="C440" s="3">
        <v>45707.790972222225</v>
      </c>
      <c r="D440" t="s">
        <v>176</v>
      </c>
      <c r="E440" s="4">
        <v>0.7973559811115265</v>
      </c>
      <c r="F440" s="4">
        <v>349132.49948249484</v>
      </c>
      <c r="G440" s="4">
        <v>349133.29683847592</v>
      </c>
      <c r="H440" s="5">
        <f t="shared" si="4"/>
        <v>0</v>
      </c>
      <c r="I440" t="s">
        <v>352</v>
      </c>
      <c r="J440" t="s">
        <v>57</v>
      </c>
      <c r="K440" s="5">
        <f>92 / 86400</f>
        <v>1.0648148148148149E-3</v>
      </c>
      <c r="L440" s="5">
        <f>60 / 86400</f>
        <v>6.9444444444444447E-4</v>
      </c>
    </row>
    <row r="441" spans="1:12" x14ac:dyDescent="0.25">
      <c r="A441" s="3">
        <v>45707.791666666672</v>
      </c>
      <c r="B441" t="s">
        <v>176</v>
      </c>
      <c r="C441" s="3">
        <v>45707.79351851852</v>
      </c>
      <c r="D441" t="s">
        <v>176</v>
      </c>
      <c r="E441" s="4">
        <v>0.90962911117076872</v>
      </c>
      <c r="F441" s="4">
        <v>349133.31895598659</v>
      </c>
      <c r="G441" s="4">
        <v>349134.22858509771</v>
      </c>
      <c r="H441" s="5">
        <f t="shared" si="4"/>
        <v>0</v>
      </c>
      <c r="I441" t="s">
        <v>174</v>
      </c>
      <c r="J441" t="s">
        <v>149</v>
      </c>
      <c r="K441" s="5">
        <f>160 / 86400</f>
        <v>1.8518518518518519E-3</v>
      </c>
      <c r="L441" s="5">
        <f>20 / 86400</f>
        <v>2.3148148148148149E-4</v>
      </c>
    </row>
    <row r="442" spans="1:12" x14ac:dyDescent="0.25">
      <c r="A442" s="3">
        <v>45707.793749999997</v>
      </c>
      <c r="B442" t="s">
        <v>176</v>
      </c>
      <c r="C442" s="3">
        <v>45707.794444444444</v>
      </c>
      <c r="D442" t="s">
        <v>118</v>
      </c>
      <c r="E442" s="4">
        <v>0.50429284667968755</v>
      </c>
      <c r="F442" s="4">
        <v>349134.24542458769</v>
      </c>
      <c r="G442" s="4">
        <v>349134.74971743434</v>
      </c>
      <c r="H442" s="5">
        <f t="shared" si="4"/>
        <v>0</v>
      </c>
      <c r="I442" t="s">
        <v>251</v>
      </c>
      <c r="J442" t="s">
        <v>161</v>
      </c>
      <c r="K442" s="5">
        <f>60 / 86400</f>
        <v>6.9444444444444447E-4</v>
      </c>
      <c r="L442" s="5">
        <f>20 / 86400</f>
        <v>2.3148148148148149E-4</v>
      </c>
    </row>
    <row r="443" spans="1:12" x14ac:dyDescent="0.25">
      <c r="A443" s="3">
        <v>45707.794675925921</v>
      </c>
      <c r="B443" t="s">
        <v>118</v>
      </c>
      <c r="C443" s="3">
        <v>45707.795370370368</v>
      </c>
      <c r="D443" t="s">
        <v>351</v>
      </c>
      <c r="E443" s="4">
        <v>0.61637780451774593</v>
      </c>
      <c r="F443" s="4">
        <v>349134.93955626764</v>
      </c>
      <c r="G443" s="4">
        <v>349135.55593407212</v>
      </c>
      <c r="H443" s="5">
        <f t="shared" si="4"/>
        <v>0</v>
      </c>
      <c r="I443" t="s">
        <v>273</v>
      </c>
      <c r="J443" t="s">
        <v>194</v>
      </c>
      <c r="K443" s="5">
        <f>60 / 86400</f>
        <v>6.9444444444444447E-4</v>
      </c>
      <c r="L443" s="5">
        <f>20 / 86400</f>
        <v>2.3148148148148149E-4</v>
      </c>
    </row>
    <row r="444" spans="1:12" x14ac:dyDescent="0.25">
      <c r="A444" s="3">
        <v>45707.795601851853</v>
      </c>
      <c r="B444" t="s">
        <v>118</v>
      </c>
      <c r="C444" s="3">
        <v>45707.796296296292</v>
      </c>
      <c r="D444" t="s">
        <v>118</v>
      </c>
      <c r="E444" s="4">
        <v>0.40007917129993437</v>
      </c>
      <c r="F444" s="4">
        <v>349135.75382990285</v>
      </c>
      <c r="G444" s="4">
        <v>349136.15390907414</v>
      </c>
      <c r="H444" s="5">
        <f t="shared" si="4"/>
        <v>0</v>
      </c>
      <c r="I444" t="s">
        <v>251</v>
      </c>
      <c r="J444" t="s">
        <v>151</v>
      </c>
      <c r="K444" s="5">
        <f>60 / 86400</f>
        <v>6.9444444444444447E-4</v>
      </c>
      <c r="L444" s="5">
        <f>20 / 86400</f>
        <v>2.3148148148148149E-4</v>
      </c>
    </row>
    <row r="445" spans="1:12" x14ac:dyDescent="0.25">
      <c r="A445" s="3">
        <v>45707.796527777777</v>
      </c>
      <c r="B445" t="s">
        <v>118</v>
      </c>
      <c r="C445" s="3">
        <v>45707.798842592594</v>
      </c>
      <c r="D445" t="s">
        <v>184</v>
      </c>
      <c r="E445" s="4">
        <v>1.5209022032022477</v>
      </c>
      <c r="F445" s="4">
        <v>349136.31387453689</v>
      </c>
      <c r="G445" s="4">
        <v>349137.83477674006</v>
      </c>
      <c r="H445" s="5">
        <f t="shared" si="4"/>
        <v>0</v>
      </c>
      <c r="I445" t="s">
        <v>147</v>
      </c>
      <c r="J445" t="s">
        <v>84</v>
      </c>
      <c r="K445" s="5">
        <f>200 / 86400</f>
        <v>2.3148148148148147E-3</v>
      </c>
      <c r="L445" s="5">
        <f>40 / 86400</f>
        <v>4.6296296296296298E-4</v>
      </c>
    </row>
    <row r="446" spans="1:12" x14ac:dyDescent="0.25">
      <c r="A446" s="3">
        <v>45707.799305555556</v>
      </c>
      <c r="B446" t="s">
        <v>184</v>
      </c>
      <c r="C446" s="3">
        <v>45707.799768518518</v>
      </c>
      <c r="D446" t="s">
        <v>184</v>
      </c>
      <c r="E446" s="4">
        <v>1.5462039887905121E-2</v>
      </c>
      <c r="F446" s="4">
        <v>349137.86247022811</v>
      </c>
      <c r="G446" s="4">
        <v>349137.87793226802</v>
      </c>
      <c r="H446" s="5">
        <f t="shared" si="4"/>
        <v>0</v>
      </c>
      <c r="I446" t="s">
        <v>58</v>
      </c>
      <c r="J446" t="s">
        <v>127</v>
      </c>
      <c r="K446" s="5">
        <f>40 / 86400</f>
        <v>4.6296296296296298E-4</v>
      </c>
      <c r="L446" s="5">
        <f>80 / 86400</f>
        <v>9.2592592592592596E-4</v>
      </c>
    </row>
    <row r="447" spans="1:12" x14ac:dyDescent="0.25">
      <c r="A447" s="3">
        <v>45707.80069444445</v>
      </c>
      <c r="B447" t="s">
        <v>356</v>
      </c>
      <c r="C447" s="3">
        <v>45707.80300925926</v>
      </c>
      <c r="D447" t="s">
        <v>91</v>
      </c>
      <c r="E447" s="4">
        <v>1.7646928119063376</v>
      </c>
      <c r="F447" s="4">
        <v>349137.89753411227</v>
      </c>
      <c r="G447" s="4">
        <v>349139.66222692421</v>
      </c>
      <c r="H447" s="5">
        <f t="shared" si="4"/>
        <v>0</v>
      </c>
      <c r="I447" t="s">
        <v>68</v>
      </c>
      <c r="J447" t="s">
        <v>142</v>
      </c>
      <c r="K447" s="5">
        <f>200 / 86400</f>
        <v>2.3148148148148147E-3</v>
      </c>
      <c r="L447" s="5">
        <f>20 / 86400</f>
        <v>2.3148148148148149E-4</v>
      </c>
    </row>
    <row r="448" spans="1:12" x14ac:dyDescent="0.25">
      <c r="A448" s="3">
        <v>45707.803240740745</v>
      </c>
      <c r="B448" t="s">
        <v>91</v>
      </c>
      <c r="C448" s="3">
        <v>45707.804629629631</v>
      </c>
      <c r="D448" t="s">
        <v>91</v>
      </c>
      <c r="E448" s="4">
        <v>0.94664428538084033</v>
      </c>
      <c r="F448" s="4">
        <v>349139.69548185461</v>
      </c>
      <c r="G448" s="4">
        <v>349140.64212614001</v>
      </c>
      <c r="H448" s="5">
        <f t="shared" si="4"/>
        <v>0</v>
      </c>
      <c r="I448" t="s">
        <v>138</v>
      </c>
      <c r="J448" t="s">
        <v>178</v>
      </c>
      <c r="K448" s="5">
        <f>120 / 86400</f>
        <v>1.3888888888888889E-3</v>
      </c>
      <c r="L448" s="5">
        <f>20 / 86400</f>
        <v>2.3148148148148149E-4</v>
      </c>
    </row>
    <row r="449" spans="1:12" x14ac:dyDescent="0.25">
      <c r="A449" s="3">
        <v>45707.804861111115</v>
      </c>
      <c r="B449" t="s">
        <v>91</v>
      </c>
      <c r="C449" s="3">
        <v>45707.80532407407</v>
      </c>
      <c r="D449" t="s">
        <v>91</v>
      </c>
      <c r="E449" s="4">
        <v>0.17147570037841797</v>
      </c>
      <c r="F449" s="4">
        <v>349140.66051976627</v>
      </c>
      <c r="G449" s="4">
        <v>349140.83199546667</v>
      </c>
      <c r="H449" s="5">
        <f t="shared" si="4"/>
        <v>0</v>
      </c>
      <c r="I449" t="s">
        <v>161</v>
      </c>
      <c r="J449" t="s">
        <v>46</v>
      </c>
      <c r="K449" s="5">
        <f>40 / 86400</f>
        <v>4.6296296296296298E-4</v>
      </c>
      <c r="L449" s="5">
        <f>20 / 86400</f>
        <v>2.3148148148148149E-4</v>
      </c>
    </row>
    <row r="450" spans="1:12" x14ac:dyDescent="0.25">
      <c r="A450" s="3">
        <v>45707.805555555555</v>
      </c>
      <c r="B450" t="s">
        <v>91</v>
      </c>
      <c r="C450" s="3">
        <v>45707.806018518517</v>
      </c>
      <c r="D450" t="s">
        <v>91</v>
      </c>
      <c r="E450" s="4">
        <v>0.23780588299036026</v>
      </c>
      <c r="F450" s="4">
        <v>349140.89876953373</v>
      </c>
      <c r="G450" s="4">
        <v>349141.13657541672</v>
      </c>
      <c r="H450" s="5">
        <f t="shared" si="4"/>
        <v>0</v>
      </c>
      <c r="I450" t="s">
        <v>35</v>
      </c>
      <c r="J450" t="s">
        <v>166</v>
      </c>
      <c r="K450" s="5">
        <f>40 / 86400</f>
        <v>4.6296296296296298E-4</v>
      </c>
      <c r="L450" s="5">
        <f>20 / 86400</f>
        <v>2.3148148148148149E-4</v>
      </c>
    </row>
    <row r="451" spans="1:12" x14ac:dyDescent="0.25">
      <c r="A451" s="3">
        <v>45707.806250000001</v>
      </c>
      <c r="B451" t="s">
        <v>186</v>
      </c>
      <c r="C451" s="3">
        <v>45707.807175925926</v>
      </c>
      <c r="D451" t="s">
        <v>357</v>
      </c>
      <c r="E451" s="4">
        <v>0.55689186125993728</v>
      </c>
      <c r="F451" s="4">
        <v>349141.28033102886</v>
      </c>
      <c r="G451" s="4">
        <v>349141.83722289011</v>
      </c>
      <c r="H451" s="5">
        <f t="shared" si="4"/>
        <v>0</v>
      </c>
      <c r="I451" t="s">
        <v>169</v>
      </c>
      <c r="J451" t="s">
        <v>30</v>
      </c>
      <c r="K451" s="5">
        <f>80 / 86400</f>
        <v>9.2592592592592596E-4</v>
      </c>
      <c r="L451" s="5">
        <f>60 / 86400</f>
        <v>6.9444444444444447E-4</v>
      </c>
    </row>
    <row r="452" spans="1:12" x14ac:dyDescent="0.25">
      <c r="A452" s="3">
        <v>45707.807870370365</v>
      </c>
      <c r="B452" t="s">
        <v>347</v>
      </c>
      <c r="C452" s="3">
        <v>45707.809027777781</v>
      </c>
      <c r="D452" t="s">
        <v>189</v>
      </c>
      <c r="E452" s="4">
        <v>0.44262565910816193</v>
      </c>
      <c r="F452" s="4">
        <v>349141.97534512251</v>
      </c>
      <c r="G452" s="4">
        <v>349142.41797078162</v>
      </c>
      <c r="H452" s="5">
        <f t="shared" si="4"/>
        <v>0</v>
      </c>
      <c r="I452" t="s">
        <v>172</v>
      </c>
      <c r="J452" t="s">
        <v>20</v>
      </c>
      <c r="K452" s="5">
        <f>100 / 86400</f>
        <v>1.1574074074074073E-3</v>
      </c>
      <c r="L452" s="5">
        <f>40 / 86400</f>
        <v>4.6296296296296298E-4</v>
      </c>
    </row>
    <row r="453" spans="1:12" x14ac:dyDescent="0.25">
      <c r="A453" s="3">
        <v>45707.809490740736</v>
      </c>
      <c r="B453" t="s">
        <v>189</v>
      </c>
      <c r="C453" s="3">
        <v>45707.809953703705</v>
      </c>
      <c r="D453" t="s">
        <v>190</v>
      </c>
      <c r="E453" s="4">
        <v>3.7418922424316409E-2</v>
      </c>
      <c r="F453" s="4">
        <v>349142.43688714359</v>
      </c>
      <c r="G453" s="4">
        <v>349142.47430606605</v>
      </c>
      <c r="H453" s="5">
        <f t="shared" si="4"/>
        <v>0</v>
      </c>
      <c r="I453" t="s">
        <v>58</v>
      </c>
      <c r="J453" t="s">
        <v>24</v>
      </c>
      <c r="K453" s="5">
        <f>40 / 86400</f>
        <v>4.6296296296296298E-4</v>
      </c>
      <c r="L453" s="5">
        <f>40 / 86400</f>
        <v>4.6296296296296298E-4</v>
      </c>
    </row>
    <row r="454" spans="1:12" x14ac:dyDescent="0.25">
      <c r="A454" s="3">
        <v>45707.810416666667</v>
      </c>
      <c r="B454" t="s">
        <v>190</v>
      </c>
      <c r="C454" s="3">
        <v>45707.811747685184</v>
      </c>
      <c r="D454" t="s">
        <v>190</v>
      </c>
      <c r="E454" s="4">
        <v>0.94846353399753569</v>
      </c>
      <c r="F454" s="4">
        <v>349142.64010782051</v>
      </c>
      <c r="G454" s="4">
        <v>349143.58857135451</v>
      </c>
      <c r="H454" s="5">
        <f t="shared" si="4"/>
        <v>0</v>
      </c>
      <c r="I454" t="s">
        <v>177</v>
      </c>
      <c r="J454" t="s">
        <v>161</v>
      </c>
      <c r="K454" s="5">
        <f>115 / 86400</f>
        <v>1.3310185185185185E-3</v>
      </c>
      <c r="L454" s="5">
        <f>60 / 86400</f>
        <v>6.9444444444444447E-4</v>
      </c>
    </row>
    <row r="455" spans="1:12" x14ac:dyDescent="0.25">
      <c r="A455" s="3">
        <v>45707.812442129631</v>
      </c>
      <c r="B455" t="s">
        <v>190</v>
      </c>
      <c r="C455" s="3">
        <v>45707.812673611115</v>
      </c>
      <c r="D455" t="s">
        <v>190</v>
      </c>
      <c r="E455" s="4">
        <v>2.7738753139972688E-2</v>
      </c>
      <c r="F455" s="4">
        <v>349143.6621554126</v>
      </c>
      <c r="G455" s="4">
        <v>349143.68989416573</v>
      </c>
      <c r="H455" s="5">
        <f t="shared" si="4"/>
        <v>0</v>
      </c>
      <c r="I455" t="s">
        <v>31</v>
      </c>
      <c r="J455" t="s">
        <v>134</v>
      </c>
      <c r="K455" s="5">
        <f>20 / 86400</f>
        <v>2.3148148148148149E-4</v>
      </c>
      <c r="L455" s="5">
        <f>20 / 86400</f>
        <v>2.3148148148148149E-4</v>
      </c>
    </row>
    <row r="456" spans="1:12" x14ac:dyDescent="0.25">
      <c r="A456" s="3">
        <v>45707.812905092593</v>
      </c>
      <c r="B456" t="s">
        <v>104</v>
      </c>
      <c r="C456" s="3">
        <v>45707.81313657407</v>
      </c>
      <c r="D456" t="s">
        <v>104</v>
      </c>
      <c r="E456" s="4">
        <v>1.8060837864875792E-2</v>
      </c>
      <c r="F456" s="4">
        <v>349143.71919731773</v>
      </c>
      <c r="G456" s="4">
        <v>349143.7372581556</v>
      </c>
      <c r="H456" s="5">
        <f t="shared" si="4"/>
        <v>0</v>
      </c>
      <c r="I456" t="s">
        <v>101</v>
      </c>
      <c r="J456" t="s">
        <v>24</v>
      </c>
      <c r="K456" s="5">
        <f>20 / 86400</f>
        <v>2.3148148148148149E-4</v>
      </c>
      <c r="L456" s="5">
        <f>60 / 86400</f>
        <v>6.9444444444444447E-4</v>
      </c>
    </row>
    <row r="457" spans="1:12" x14ac:dyDescent="0.25">
      <c r="A457" s="3">
        <v>45707.813831018517</v>
      </c>
      <c r="B457" t="s">
        <v>104</v>
      </c>
      <c r="C457" s="3">
        <v>45707.816608796296</v>
      </c>
      <c r="D457" t="s">
        <v>309</v>
      </c>
      <c r="E457" s="4">
        <v>1.0425560889840126</v>
      </c>
      <c r="F457" s="4">
        <v>349143.76959432027</v>
      </c>
      <c r="G457" s="4">
        <v>349144.81215040927</v>
      </c>
      <c r="H457" s="5">
        <f t="shared" si="4"/>
        <v>0</v>
      </c>
      <c r="I457" t="s">
        <v>256</v>
      </c>
      <c r="J457" t="s">
        <v>20</v>
      </c>
      <c r="K457" s="5">
        <f>240 / 86400</f>
        <v>2.7777777777777779E-3</v>
      </c>
      <c r="L457" s="5">
        <f>20 / 86400</f>
        <v>2.3148148148148149E-4</v>
      </c>
    </row>
    <row r="458" spans="1:12" x14ac:dyDescent="0.25">
      <c r="A458" s="3">
        <v>45707.816840277781</v>
      </c>
      <c r="B458" t="s">
        <v>164</v>
      </c>
      <c r="C458" s="3">
        <v>45707.817303240736</v>
      </c>
      <c r="D458" t="s">
        <v>164</v>
      </c>
      <c r="E458" s="4">
        <v>0.46620040392875672</v>
      </c>
      <c r="F458" s="4">
        <v>349145.00305684929</v>
      </c>
      <c r="G458" s="4">
        <v>349145.46925725322</v>
      </c>
      <c r="H458" s="5">
        <f t="shared" si="4"/>
        <v>0</v>
      </c>
      <c r="I458" t="s">
        <v>141</v>
      </c>
      <c r="J458" t="s">
        <v>171</v>
      </c>
      <c r="K458" s="5">
        <f>40 / 86400</f>
        <v>4.6296296296296298E-4</v>
      </c>
      <c r="L458" s="5">
        <f>40 / 86400</f>
        <v>4.6296296296296298E-4</v>
      </c>
    </row>
    <row r="459" spans="1:12" x14ac:dyDescent="0.25">
      <c r="A459" s="3">
        <v>45707.817766203705</v>
      </c>
      <c r="B459" t="s">
        <v>164</v>
      </c>
      <c r="C459" s="3">
        <v>45707.818865740745</v>
      </c>
      <c r="D459" t="s">
        <v>192</v>
      </c>
      <c r="E459" s="4">
        <v>0.59854462844133383</v>
      </c>
      <c r="F459" s="4">
        <v>349145.49826199748</v>
      </c>
      <c r="G459" s="4">
        <v>349146.09680662589</v>
      </c>
      <c r="H459" s="5">
        <f t="shared" si="4"/>
        <v>0</v>
      </c>
      <c r="I459" t="s">
        <v>256</v>
      </c>
      <c r="J459" t="s">
        <v>35</v>
      </c>
      <c r="K459" s="5">
        <f>95 / 86400</f>
        <v>1.0995370370370371E-3</v>
      </c>
      <c r="L459" s="5">
        <f>20 / 86400</f>
        <v>2.3148148148148149E-4</v>
      </c>
    </row>
    <row r="460" spans="1:12" x14ac:dyDescent="0.25">
      <c r="A460" s="3">
        <v>45707.819097222222</v>
      </c>
      <c r="B460" t="s">
        <v>192</v>
      </c>
      <c r="C460" s="3">
        <v>45707.821412037039</v>
      </c>
      <c r="D460" t="s">
        <v>312</v>
      </c>
      <c r="E460" s="4">
        <v>1.5981564610004424</v>
      </c>
      <c r="F460" s="4">
        <v>349146.19387480273</v>
      </c>
      <c r="G460" s="4">
        <v>349147.7920312637</v>
      </c>
      <c r="H460" s="5">
        <f t="shared" si="4"/>
        <v>0</v>
      </c>
      <c r="I460" t="s">
        <v>251</v>
      </c>
      <c r="J460" t="s">
        <v>185</v>
      </c>
      <c r="K460" s="5">
        <f>200 / 86400</f>
        <v>2.3148148148148147E-3</v>
      </c>
      <c r="L460" s="5">
        <f>48 / 86400</f>
        <v>5.5555555555555556E-4</v>
      </c>
    </row>
    <row r="461" spans="1:12" x14ac:dyDescent="0.25">
      <c r="A461" s="3">
        <v>45707.821967592594</v>
      </c>
      <c r="B461" t="s">
        <v>312</v>
      </c>
      <c r="C461" s="3">
        <v>45707.824340277773</v>
      </c>
      <c r="D461" t="s">
        <v>344</v>
      </c>
      <c r="E461" s="4">
        <v>0.79464285451173777</v>
      </c>
      <c r="F461" s="4">
        <v>349147.80098881625</v>
      </c>
      <c r="G461" s="4">
        <v>349148.59563167079</v>
      </c>
      <c r="H461" s="5">
        <f t="shared" si="4"/>
        <v>0</v>
      </c>
      <c r="I461" t="s">
        <v>131</v>
      </c>
      <c r="J461" t="s">
        <v>43</v>
      </c>
      <c r="K461" s="5">
        <f>205 / 86400</f>
        <v>2.3726851851851851E-3</v>
      </c>
      <c r="L461" s="5">
        <f>20 / 86400</f>
        <v>2.3148148148148149E-4</v>
      </c>
    </row>
    <row r="462" spans="1:12" x14ac:dyDescent="0.25">
      <c r="A462" s="3">
        <v>45707.824571759258</v>
      </c>
      <c r="B462" t="s">
        <v>358</v>
      </c>
      <c r="C462" s="3">
        <v>45707.825983796298</v>
      </c>
      <c r="D462" t="s">
        <v>162</v>
      </c>
      <c r="E462" s="4">
        <v>0.80752036464214327</v>
      </c>
      <c r="F462" s="4">
        <v>349148.77305847581</v>
      </c>
      <c r="G462" s="4">
        <v>349149.58057884045</v>
      </c>
      <c r="H462" s="5">
        <f t="shared" si="4"/>
        <v>0</v>
      </c>
      <c r="I462" t="s">
        <v>147</v>
      </c>
      <c r="J462" t="s">
        <v>151</v>
      </c>
      <c r="K462" s="5">
        <f>122 / 86400</f>
        <v>1.4120370370370369E-3</v>
      </c>
      <c r="L462" s="5">
        <f>8 / 86400</f>
        <v>9.2592592592592588E-5</v>
      </c>
    </row>
    <row r="463" spans="1:12" x14ac:dyDescent="0.25">
      <c r="A463" s="3">
        <v>45707.82607638889</v>
      </c>
      <c r="B463" t="s">
        <v>158</v>
      </c>
      <c r="C463" s="3">
        <v>45707.827280092592</v>
      </c>
      <c r="D463" t="s">
        <v>257</v>
      </c>
      <c r="E463" s="4">
        <v>0.60591595065593717</v>
      </c>
      <c r="F463" s="4">
        <v>349149.59950713289</v>
      </c>
      <c r="G463" s="4">
        <v>349150.20542308356</v>
      </c>
      <c r="H463" s="5">
        <f t="shared" si="4"/>
        <v>0</v>
      </c>
      <c r="I463" t="s">
        <v>235</v>
      </c>
      <c r="J463" t="s">
        <v>166</v>
      </c>
      <c r="K463" s="5">
        <f>104 / 86400</f>
        <v>1.2037037037037038E-3</v>
      </c>
      <c r="L463" s="5">
        <f>54 / 86400</f>
        <v>6.2500000000000001E-4</v>
      </c>
    </row>
    <row r="464" spans="1:12" x14ac:dyDescent="0.25">
      <c r="A464" s="3">
        <v>45707.827905092592</v>
      </c>
      <c r="B464" t="s">
        <v>359</v>
      </c>
      <c r="C464" s="3">
        <v>45707.82813657407</v>
      </c>
      <c r="D464" t="s">
        <v>258</v>
      </c>
      <c r="E464" s="4">
        <v>2.4378635168075563E-2</v>
      </c>
      <c r="F464" s="4">
        <v>349150.26689778868</v>
      </c>
      <c r="G464" s="4">
        <v>349150.29127642384</v>
      </c>
      <c r="H464" s="5">
        <f t="shared" si="4"/>
        <v>0</v>
      </c>
      <c r="I464" t="s">
        <v>155</v>
      </c>
      <c r="J464" t="s">
        <v>58</v>
      </c>
      <c r="K464" s="5">
        <f>20 / 86400</f>
        <v>2.3148148148148149E-4</v>
      </c>
      <c r="L464" s="5">
        <f>14 / 86400</f>
        <v>1.6203703703703703E-4</v>
      </c>
    </row>
    <row r="465" spans="1:12" x14ac:dyDescent="0.25">
      <c r="A465" s="3">
        <v>45707.828298611115</v>
      </c>
      <c r="B465" t="s">
        <v>360</v>
      </c>
      <c r="C465" s="3">
        <v>45707.830023148148</v>
      </c>
      <c r="D465" t="s">
        <v>112</v>
      </c>
      <c r="E465" s="4">
        <v>0.39787678110599517</v>
      </c>
      <c r="F465" s="4">
        <v>349150.29472503904</v>
      </c>
      <c r="G465" s="4">
        <v>349150.69260182016</v>
      </c>
      <c r="H465" s="5">
        <f t="shared" si="4"/>
        <v>0</v>
      </c>
      <c r="I465" t="s">
        <v>46</v>
      </c>
      <c r="J465" t="s">
        <v>123</v>
      </c>
      <c r="K465" s="5">
        <f>149 / 86400</f>
        <v>1.724537037037037E-3</v>
      </c>
      <c r="L465" s="5">
        <f>60 / 86400</f>
        <v>6.9444444444444447E-4</v>
      </c>
    </row>
    <row r="466" spans="1:12" x14ac:dyDescent="0.25">
      <c r="A466" s="3">
        <v>45707.830717592587</v>
      </c>
      <c r="B466" t="s">
        <v>361</v>
      </c>
      <c r="C466" s="3">
        <v>45707.83148148148</v>
      </c>
      <c r="D466" t="s">
        <v>112</v>
      </c>
      <c r="E466" s="4">
        <v>0.30422884261608124</v>
      </c>
      <c r="F466" s="4">
        <v>349150.72452028259</v>
      </c>
      <c r="G466" s="4">
        <v>349151.02874912519</v>
      </c>
      <c r="H466" s="5">
        <f t="shared" si="4"/>
        <v>0</v>
      </c>
      <c r="I466" t="s">
        <v>172</v>
      </c>
      <c r="J466" t="s">
        <v>37</v>
      </c>
      <c r="K466" s="5">
        <f>66 / 86400</f>
        <v>7.6388888888888893E-4</v>
      </c>
      <c r="L466" s="5">
        <f>20 / 86400</f>
        <v>2.3148148148148149E-4</v>
      </c>
    </row>
    <row r="467" spans="1:12" x14ac:dyDescent="0.25">
      <c r="A467" s="3">
        <v>45707.831712962958</v>
      </c>
      <c r="B467" t="s">
        <v>112</v>
      </c>
      <c r="C467" s="3">
        <v>45707.83194444445</v>
      </c>
      <c r="D467" t="s">
        <v>313</v>
      </c>
      <c r="E467" s="4">
        <v>9.5480229258537285E-3</v>
      </c>
      <c r="F467" s="4">
        <v>349151.03429655242</v>
      </c>
      <c r="G467" s="4">
        <v>349151.04384457535</v>
      </c>
      <c r="H467" s="5">
        <f t="shared" si="4"/>
        <v>0</v>
      </c>
      <c r="I467" t="s">
        <v>24</v>
      </c>
      <c r="J467" t="s">
        <v>136</v>
      </c>
      <c r="K467" s="5">
        <f>20 / 86400</f>
        <v>2.3148148148148149E-4</v>
      </c>
      <c r="L467" s="5">
        <f>3 / 86400</f>
        <v>3.4722222222222222E-5</v>
      </c>
    </row>
    <row r="468" spans="1:12" x14ac:dyDescent="0.25">
      <c r="A468" s="3">
        <v>45707.831979166665</v>
      </c>
      <c r="B468" t="s">
        <v>313</v>
      </c>
      <c r="C468" s="3">
        <v>45707.832442129627</v>
      </c>
      <c r="D468" t="s">
        <v>112</v>
      </c>
      <c r="E468" s="4">
        <v>2.4157944917678833E-2</v>
      </c>
      <c r="F468" s="4">
        <v>349151.04622627475</v>
      </c>
      <c r="G468" s="4">
        <v>349151.07038421964</v>
      </c>
      <c r="H468" s="5">
        <f t="shared" si="4"/>
        <v>0</v>
      </c>
      <c r="I468" t="s">
        <v>134</v>
      </c>
      <c r="J468" t="s">
        <v>136</v>
      </c>
      <c r="K468" s="5">
        <f>40 / 86400</f>
        <v>4.6296296296296298E-4</v>
      </c>
      <c r="L468" s="5">
        <f>20 / 86400</f>
        <v>2.3148148148148149E-4</v>
      </c>
    </row>
    <row r="469" spans="1:12" x14ac:dyDescent="0.25">
      <c r="A469" s="3">
        <v>45707.832673611112</v>
      </c>
      <c r="B469" t="s">
        <v>112</v>
      </c>
      <c r="C469" s="3">
        <v>45707.833599537036</v>
      </c>
      <c r="D469" t="s">
        <v>362</v>
      </c>
      <c r="E469" s="4">
        <v>6.4683017671108248E-2</v>
      </c>
      <c r="F469" s="4">
        <v>349151.08342765598</v>
      </c>
      <c r="G469" s="4">
        <v>349151.14811067365</v>
      </c>
      <c r="H469" s="5">
        <f t="shared" si="4"/>
        <v>0</v>
      </c>
      <c r="I469" t="s">
        <v>101</v>
      </c>
      <c r="J469" t="s">
        <v>24</v>
      </c>
      <c r="K469" s="5">
        <f>80 / 86400</f>
        <v>9.2592592592592596E-4</v>
      </c>
      <c r="L469" s="5">
        <f>80 / 86400</f>
        <v>9.2592592592592596E-4</v>
      </c>
    </row>
    <row r="470" spans="1:12" x14ac:dyDescent="0.25">
      <c r="A470" s="3">
        <v>45707.834525462968</v>
      </c>
      <c r="B470" t="s">
        <v>362</v>
      </c>
      <c r="C470" s="3">
        <v>45707.839363425926</v>
      </c>
      <c r="D470" t="s">
        <v>363</v>
      </c>
      <c r="E470" s="4">
        <v>2.4722790136337278</v>
      </c>
      <c r="F470" s="4">
        <v>349151.16067535087</v>
      </c>
      <c r="G470" s="4">
        <v>349153.63295436447</v>
      </c>
      <c r="H470" s="5">
        <f t="shared" si="4"/>
        <v>0</v>
      </c>
      <c r="I470" t="s">
        <v>171</v>
      </c>
      <c r="J470" t="s">
        <v>166</v>
      </c>
      <c r="K470" s="5">
        <f>418 / 86400</f>
        <v>4.8379629629629632E-3</v>
      </c>
      <c r="L470" s="5">
        <f>69 / 86400</f>
        <v>7.9861111111111116E-4</v>
      </c>
    </row>
    <row r="471" spans="1:12" x14ac:dyDescent="0.25">
      <c r="A471" s="3">
        <v>45707.840162037042</v>
      </c>
      <c r="B471" t="s">
        <v>363</v>
      </c>
      <c r="C471" s="3">
        <v>45707.844398148147</v>
      </c>
      <c r="D471" t="s">
        <v>190</v>
      </c>
      <c r="E471" s="4">
        <v>1.6700223079323768</v>
      </c>
      <c r="F471" s="4">
        <v>349153.64347974345</v>
      </c>
      <c r="G471" s="4">
        <v>349155.31350205134</v>
      </c>
      <c r="H471" s="5">
        <f t="shared" si="4"/>
        <v>0</v>
      </c>
      <c r="I471" t="s">
        <v>282</v>
      </c>
      <c r="J471" t="s">
        <v>20</v>
      </c>
      <c r="K471" s="5">
        <f>366 / 86400</f>
        <v>4.2361111111111115E-3</v>
      </c>
      <c r="L471" s="5">
        <f>80 / 86400</f>
        <v>9.2592592592592596E-4</v>
      </c>
    </row>
    <row r="472" spans="1:12" x14ac:dyDescent="0.25">
      <c r="A472" s="3">
        <v>45707.845324074078</v>
      </c>
      <c r="B472" t="s">
        <v>190</v>
      </c>
      <c r="C472" s="3">
        <v>45707.847557870366</v>
      </c>
      <c r="D472" t="s">
        <v>190</v>
      </c>
      <c r="E472" s="4">
        <v>1.3012681993246078</v>
      </c>
      <c r="F472" s="4">
        <v>349155.3214835609</v>
      </c>
      <c r="G472" s="4">
        <v>349156.62275176024</v>
      </c>
      <c r="H472" s="5">
        <f t="shared" si="4"/>
        <v>0</v>
      </c>
      <c r="I472" t="s">
        <v>177</v>
      </c>
      <c r="J472" t="s">
        <v>151</v>
      </c>
      <c r="K472" s="5">
        <f>193 / 86400</f>
        <v>2.2337962962962962E-3</v>
      </c>
      <c r="L472" s="5">
        <f>20 / 86400</f>
        <v>2.3148148148148149E-4</v>
      </c>
    </row>
    <row r="473" spans="1:12" x14ac:dyDescent="0.25">
      <c r="A473" s="3">
        <v>45707.84778935185</v>
      </c>
      <c r="B473" t="s">
        <v>190</v>
      </c>
      <c r="C473" s="3">
        <v>45707.848020833335</v>
      </c>
      <c r="D473" t="s">
        <v>190</v>
      </c>
      <c r="E473" s="4">
        <v>5.463138633966446E-2</v>
      </c>
      <c r="F473" s="4">
        <v>349156.64472229645</v>
      </c>
      <c r="G473" s="4">
        <v>349156.69935368281</v>
      </c>
      <c r="H473" s="5">
        <f t="shared" si="4"/>
        <v>0</v>
      </c>
      <c r="I473" t="s">
        <v>62</v>
      </c>
      <c r="J473" t="s">
        <v>123</v>
      </c>
      <c r="K473" s="5">
        <f>20 / 86400</f>
        <v>2.3148148148148149E-4</v>
      </c>
      <c r="L473" s="5">
        <f>70 / 86400</f>
        <v>8.1018518518518516E-4</v>
      </c>
    </row>
    <row r="474" spans="1:12" x14ac:dyDescent="0.25">
      <c r="A474" s="3">
        <v>45707.84883101852</v>
      </c>
      <c r="B474" t="s">
        <v>190</v>
      </c>
      <c r="C474" s="3">
        <v>45707.850752314815</v>
      </c>
      <c r="D474" t="s">
        <v>364</v>
      </c>
      <c r="E474" s="4">
        <v>0.55174410426616671</v>
      </c>
      <c r="F474" s="4">
        <v>349156.71975771233</v>
      </c>
      <c r="G474" s="4">
        <v>349157.27150181658</v>
      </c>
      <c r="H474" s="5">
        <f t="shared" si="4"/>
        <v>0</v>
      </c>
      <c r="I474" t="s">
        <v>142</v>
      </c>
      <c r="J474" t="s">
        <v>148</v>
      </c>
      <c r="K474" s="5">
        <f>166 / 86400</f>
        <v>1.9212962962962964E-3</v>
      </c>
      <c r="L474" s="5">
        <f>24 / 86400</f>
        <v>2.7777777777777778E-4</v>
      </c>
    </row>
    <row r="475" spans="1:12" x14ac:dyDescent="0.25">
      <c r="A475" s="3">
        <v>45707.851030092592</v>
      </c>
      <c r="B475" t="s">
        <v>365</v>
      </c>
      <c r="C475" s="3">
        <v>45707.851701388892</v>
      </c>
      <c r="D475" t="s">
        <v>366</v>
      </c>
      <c r="E475" s="4">
        <v>0.29594176322221755</v>
      </c>
      <c r="F475" s="4">
        <v>349157.29166319582</v>
      </c>
      <c r="G475" s="4">
        <v>349157.58760495909</v>
      </c>
      <c r="H475" s="5">
        <f t="shared" si="4"/>
        <v>0</v>
      </c>
      <c r="I475" t="s">
        <v>278</v>
      </c>
      <c r="J475" t="s">
        <v>27</v>
      </c>
      <c r="K475" s="5">
        <f>58 / 86400</f>
        <v>6.7129629629629625E-4</v>
      </c>
      <c r="L475" s="5">
        <f>4 / 86400</f>
        <v>4.6296296296296294E-5</v>
      </c>
    </row>
    <row r="476" spans="1:12" x14ac:dyDescent="0.25">
      <c r="A476" s="3">
        <v>45707.851747685185</v>
      </c>
      <c r="B476" t="s">
        <v>366</v>
      </c>
      <c r="C476" s="3">
        <v>45707.852210648147</v>
      </c>
      <c r="D476" t="s">
        <v>367</v>
      </c>
      <c r="E476" s="4">
        <v>0.23636616134643554</v>
      </c>
      <c r="F476" s="4">
        <v>349157.59307855525</v>
      </c>
      <c r="G476" s="4">
        <v>349157.82944471657</v>
      </c>
      <c r="H476" s="5">
        <f t="shared" si="4"/>
        <v>0</v>
      </c>
      <c r="I476" t="s">
        <v>30</v>
      </c>
      <c r="J476" t="s">
        <v>166</v>
      </c>
      <c r="K476" s="5">
        <f>40 / 86400</f>
        <v>4.6296296296296298E-4</v>
      </c>
      <c r="L476" s="5">
        <f>20 / 86400</f>
        <v>2.3148148148148149E-4</v>
      </c>
    </row>
    <row r="477" spans="1:12" x14ac:dyDescent="0.25">
      <c r="A477" s="3">
        <v>45707.852442129632</v>
      </c>
      <c r="B477" t="s">
        <v>186</v>
      </c>
      <c r="C477" s="3">
        <v>45707.854525462964</v>
      </c>
      <c r="D477" t="s">
        <v>91</v>
      </c>
      <c r="E477" s="4">
        <v>0.83535350203514103</v>
      </c>
      <c r="F477" s="4">
        <v>349157.91195129079</v>
      </c>
      <c r="G477" s="4">
        <v>349158.74730479281</v>
      </c>
      <c r="H477" s="5">
        <f t="shared" si="4"/>
        <v>0</v>
      </c>
      <c r="I477" t="s">
        <v>181</v>
      </c>
      <c r="J477" t="s">
        <v>37</v>
      </c>
      <c r="K477" s="5">
        <f>180 / 86400</f>
        <v>2.0833333333333333E-3</v>
      </c>
      <c r="L477" s="5">
        <f>20 / 86400</f>
        <v>2.3148148148148149E-4</v>
      </c>
    </row>
    <row r="478" spans="1:12" x14ac:dyDescent="0.25">
      <c r="A478" s="3">
        <v>45707.854756944449</v>
      </c>
      <c r="B478" t="s">
        <v>91</v>
      </c>
      <c r="C478" s="3">
        <v>45707.855451388888</v>
      </c>
      <c r="D478" t="s">
        <v>91</v>
      </c>
      <c r="E478" s="4">
        <v>0.57944152271747584</v>
      </c>
      <c r="F478" s="4">
        <v>349158.80502565339</v>
      </c>
      <c r="G478" s="4">
        <v>349159.3844671761</v>
      </c>
      <c r="H478" s="5">
        <f t="shared" si="4"/>
        <v>0</v>
      </c>
      <c r="I478" t="s">
        <v>213</v>
      </c>
      <c r="J478" t="s">
        <v>172</v>
      </c>
      <c r="K478" s="5">
        <f>60 / 86400</f>
        <v>6.9444444444444447E-4</v>
      </c>
      <c r="L478" s="5">
        <f>20 / 86400</f>
        <v>2.3148148148148149E-4</v>
      </c>
    </row>
    <row r="479" spans="1:12" x14ac:dyDescent="0.25">
      <c r="A479" s="3">
        <v>45707.855682870373</v>
      </c>
      <c r="B479" t="s">
        <v>91</v>
      </c>
      <c r="C479" s="3">
        <v>45707.855914351851</v>
      </c>
      <c r="D479" t="s">
        <v>91</v>
      </c>
      <c r="E479" s="4">
        <v>3.8765709698200229E-2</v>
      </c>
      <c r="F479" s="4">
        <v>349159.4120696797</v>
      </c>
      <c r="G479" s="4">
        <v>349159.45083538938</v>
      </c>
      <c r="H479" s="5">
        <f t="shared" si="4"/>
        <v>0</v>
      </c>
      <c r="I479" t="s">
        <v>101</v>
      </c>
      <c r="J479" t="s">
        <v>85</v>
      </c>
      <c r="K479" s="5">
        <f>20 / 86400</f>
        <v>2.3148148148148149E-4</v>
      </c>
      <c r="L479" s="5">
        <f>20 / 86400</f>
        <v>2.3148148148148149E-4</v>
      </c>
    </row>
    <row r="480" spans="1:12" x14ac:dyDescent="0.25">
      <c r="A480" s="3">
        <v>45707.856145833328</v>
      </c>
      <c r="B480" t="s">
        <v>91</v>
      </c>
      <c r="C480" s="3">
        <v>45707.859270833331</v>
      </c>
      <c r="D480" t="s">
        <v>118</v>
      </c>
      <c r="E480" s="4">
        <v>0.95056000220775605</v>
      </c>
      <c r="F480" s="4">
        <v>349159.47997538041</v>
      </c>
      <c r="G480" s="4">
        <v>349160.43053538265</v>
      </c>
      <c r="H480" s="5">
        <f t="shared" si="4"/>
        <v>0</v>
      </c>
      <c r="I480" t="s">
        <v>235</v>
      </c>
      <c r="J480" t="s">
        <v>62</v>
      </c>
      <c r="K480" s="5">
        <f>270 / 86400</f>
        <v>3.1250000000000002E-3</v>
      </c>
      <c r="L480" s="5">
        <f>3 / 86400</f>
        <v>3.4722222222222222E-5</v>
      </c>
    </row>
    <row r="481" spans="1:12" x14ac:dyDescent="0.25">
      <c r="A481" s="3">
        <v>45707.859305555554</v>
      </c>
      <c r="B481" t="s">
        <v>118</v>
      </c>
      <c r="C481" s="3">
        <v>45707.859768518523</v>
      </c>
      <c r="D481" t="s">
        <v>118</v>
      </c>
      <c r="E481" s="4">
        <v>3.8003975033760073E-2</v>
      </c>
      <c r="F481" s="4">
        <v>349160.43282415456</v>
      </c>
      <c r="G481" s="4">
        <v>349160.47082812956</v>
      </c>
      <c r="H481" s="5">
        <f t="shared" si="4"/>
        <v>0</v>
      </c>
      <c r="I481" t="s">
        <v>134</v>
      </c>
      <c r="J481" t="s">
        <v>24</v>
      </c>
      <c r="K481" s="5">
        <f>40 / 86400</f>
        <v>4.6296296296296298E-4</v>
      </c>
      <c r="L481" s="5">
        <f>20 / 86400</f>
        <v>2.3148148148148149E-4</v>
      </c>
    </row>
    <row r="482" spans="1:12" x14ac:dyDescent="0.25">
      <c r="A482" s="3">
        <v>45707.86</v>
      </c>
      <c r="B482" t="s">
        <v>118</v>
      </c>
      <c r="C482" s="3">
        <v>45707.860231481478</v>
      </c>
      <c r="D482" t="s">
        <v>118</v>
      </c>
      <c r="E482" s="4">
        <v>1.2133435487747193E-2</v>
      </c>
      <c r="F482" s="4">
        <v>349160.5026110285</v>
      </c>
      <c r="G482" s="4">
        <v>349160.51474446396</v>
      </c>
      <c r="H482" s="5">
        <f t="shared" si="4"/>
        <v>0</v>
      </c>
      <c r="I482" t="s">
        <v>132</v>
      </c>
      <c r="J482" t="s">
        <v>136</v>
      </c>
      <c r="K482" s="5">
        <f>20 / 86400</f>
        <v>2.3148148148148149E-4</v>
      </c>
      <c r="L482" s="5">
        <f>26 / 86400</f>
        <v>3.0092592592592595E-4</v>
      </c>
    </row>
    <row r="483" spans="1:12" x14ac:dyDescent="0.25">
      <c r="A483" s="3">
        <v>45707.860532407409</v>
      </c>
      <c r="B483" t="s">
        <v>118</v>
      </c>
      <c r="C483" s="3">
        <v>45707.860995370371</v>
      </c>
      <c r="D483" t="s">
        <v>118</v>
      </c>
      <c r="E483" s="4">
        <v>7.6178337991237646E-2</v>
      </c>
      <c r="F483" s="4">
        <v>349160.52258500608</v>
      </c>
      <c r="G483" s="4">
        <v>349160.59876334405</v>
      </c>
      <c r="H483" s="5">
        <f t="shared" si="4"/>
        <v>0</v>
      </c>
      <c r="I483" t="s">
        <v>123</v>
      </c>
      <c r="J483" t="s">
        <v>85</v>
      </c>
      <c r="K483" s="5">
        <f>40 / 86400</f>
        <v>4.6296296296296298E-4</v>
      </c>
      <c r="L483" s="5">
        <f>26 / 86400</f>
        <v>3.0092592592592595E-4</v>
      </c>
    </row>
    <row r="484" spans="1:12" x14ac:dyDescent="0.25">
      <c r="A484" s="3">
        <v>45707.861296296294</v>
      </c>
      <c r="B484" t="s">
        <v>118</v>
      </c>
      <c r="C484" s="3">
        <v>45707.862013888887</v>
      </c>
      <c r="D484" t="s">
        <v>118</v>
      </c>
      <c r="E484" s="4">
        <v>0.19497189193964004</v>
      </c>
      <c r="F484" s="4">
        <v>349160.6026130169</v>
      </c>
      <c r="G484" s="4">
        <v>349160.79758490884</v>
      </c>
      <c r="H484" s="5">
        <f t="shared" si="4"/>
        <v>0</v>
      </c>
      <c r="I484" t="s">
        <v>137</v>
      </c>
      <c r="J484" t="s">
        <v>137</v>
      </c>
      <c r="K484" s="5">
        <f>62 / 86400</f>
        <v>7.1759259259259259E-4</v>
      </c>
      <c r="L484" s="5">
        <f>40 / 86400</f>
        <v>4.6296296296296298E-4</v>
      </c>
    </row>
    <row r="485" spans="1:12" x14ac:dyDescent="0.25">
      <c r="A485" s="3">
        <v>45707.862476851849</v>
      </c>
      <c r="B485" t="s">
        <v>118</v>
      </c>
      <c r="C485" s="3">
        <v>45707.863171296296</v>
      </c>
      <c r="D485" t="s">
        <v>118</v>
      </c>
      <c r="E485" s="4">
        <v>0.12072987014055252</v>
      </c>
      <c r="F485" s="4">
        <v>349160.82667651941</v>
      </c>
      <c r="G485" s="4">
        <v>349160.94740638952</v>
      </c>
      <c r="H485" s="5">
        <f t="shared" si="4"/>
        <v>0</v>
      </c>
      <c r="I485" t="s">
        <v>148</v>
      </c>
      <c r="J485" t="s">
        <v>85</v>
      </c>
      <c r="K485" s="5">
        <f>60 / 86400</f>
        <v>6.9444444444444447E-4</v>
      </c>
      <c r="L485" s="5">
        <f>20 / 86400</f>
        <v>2.3148148148148149E-4</v>
      </c>
    </row>
    <row r="486" spans="1:12" x14ac:dyDescent="0.25">
      <c r="A486" s="3">
        <v>45707.863402777773</v>
      </c>
      <c r="B486" t="s">
        <v>350</v>
      </c>
      <c r="C486" s="3">
        <v>45707.864803240736</v>
      </c>
      <c r="D486" t="s">
        <v>118</v>
      </c>
      <c r="E486" s="4">
        <v>0.22849741715192795</v>
      </c>
      <c r="F486" s="4">
        <v>349160.98509157065</v>
      </c>
      <c r="G486" s="4">
        <v>349161.21358898783</v>
      </c>
      <c r="H486" s="5">
        <f t="shared" si="4"/>
        <v>0</v>
      </c>
      <c r="I486" t="s">
        <v>151</v>
      </c>
      <c r="J486" t="s">
        <v>85</v>
      </c>
      <c r="K486" s="5">
        <f>121 / 86400</f>
        <v>1.4004629629629629E-3</v>
      </c>
      <c r="L486" s="5">
        <f>20 / 86400</f>
        <v>2.3148148148148149E-4</v>
      </c>
    </row>
    <row r="487" spans="1:12" x14ac:dyDescent="0.25">
      <c r="A487" s="3">
        <v>45707.865034722221</v>
      </c>
      <c r="B487" t="s">
        <v>118</v>
      </c>
      <c r="C487" s="3">
        <v>45707.865335648152</v>
      </c>
      <c r="D487" t="s">
        <v>118</v>
      </c>
      <c r="E487" s="4">
        <v>1.7757844984531403E-2</v>
      </c>
      <c r="F487" s="4">
        <v>349161.21556177537</v>
      </c>
      <c r="G487" s="4">
        <v>349161.23331962037</v>
      </c>
      <c r="H487" s="5">
        <f t="shared" si="4"/>
        <v>0</v>
      </c>
      <c r="I487" t="s">
        <v>85</v>
      </c>
      <c r="J487" t="s">
        <v>136</v>
      </c>
      <c r="K487" s="5">
        <f>26 / 86400</f>
        <v>3.0092592592592595E-4</v>
      </c>
      <c r="L487" s="5">
        <f>20 / 86400</f>
        <v>2.3148148148148149E-4</v>
      </c>
    </row>
    <row r="488" spans="1:12" x14ac:dyDescent="0.25">
      <c r="A488" s="3">
        <v>45707.865567129629</v>
      </c>
      <c r="B488" t="s">
        <v>118</v>
      </c>
      <c r="C488" s="3">
        <v>45707.866030092591</v>
      </c>
      <c r="D488" t="s">
        <v>118</v>
      </c>
      <c r="E488" s="4">
        <v>4.4020064949989321E-2</v>
      </c>
      <c r="F488" s="4">
        <v>349161.23627930501</v>
      </c>
      <c r="G488" s="4">
        <v>349161.28029937</v>
      </c>
      <c r="H488" s="5">
        <f t="shared" si="4"/>
        <v>0</v>
      </c>
      <c r="I488" t="s">
        <v>24</v>
      </c>
      <c r="J488" t="s">
        <v>58</v>
      </c>
      <c r="K488" s="5">
        <f>40 / 86400</f>
        <v>4.6296296296296298E-4</v>
      </c>
      <c r="L488" s="5">
        <f>60 / 86400</f>
        <v>6.9444444444444447E-4</v>
      </c>
    </row>
    <row r="489" spans="1:12" x14ac:dyDescent="0.25">
      <c r="A489" s="3">
        <v>45707.866724537038</v>
      </c>
      <c r="B489" t="s">
        <v>184</v>
      </c>
      <c r="C489" s="3">
        <v>45707.87091435185</v>
      </c>
      <c r="D489" t="s">
        <v>118</v>
      </c>
      <c r="E489" s="4">
        <v>3.3951277841329572</v>
      </c>
      <c r="F489" s="4">
        <v>349161.39211851958</v>
      </c>
      <c r="G489" s="4">
        <v>349164.78724630375</v>
      </c>
      <c r="H489" s="5">
        <f t="shared" si="4"/>
        <v>0</v>
      </c>
      <c r="I489" t="s">
        <v>183</v>
      </c>
      <c r="J489" t="s">
        <v>191</v>
      </c>
      <c r="K489" s="5">
        <f>362 / 86400</f>
        <v>4.1898148148148146E-3</v>
      </c>
      <c r="L489" s="5">
        <f>40 / 86400</f>
        <v>4.6296296296296298E-4</v>
      </c>
    </row>
    <row r="490" spans="1:12" x14ac:dyDescent="0.25">
      <c r="A490" s="3">
        <v>45707.871377314819</v>
      </c>
      <c r="B490" t="s">
        <v>118</v>
      </c>
      <c r="C490" s="3">
        <v>45707.871840277774</v>
      </c>
      <c r="D490" t="s">
        <v>118</v>
      </c>
      <c r="E490" s="4">
        <v>3.6362415909767153E-2</v>
      </c>
      <c r="F490" s="4">
        <v>349164.83223262941</v>
      </c>
      <c r="G490" s="4">
        <v>349164.86859504535</v>
      </c>
      <c r="H490" s="5">
        <f t="shared" si="4"/>
        <v>0</v>
      </c>
      <c r="I490" t="s">
        <v>123</v>
      </c>
      <c r="J490" t="s">
        <v>24</v>
      </c>
      <c r="K490" s="5">
        <f>40 / 86400</f>
        <v>4.6296296296296298E-4</v>
      </c>
      <c r="L490" s="5">
        <f>20 / 86400</f>
        <v>2.3148148148148149E-4</v>
      </c>
    </row>
    <row r="491" spans="1:12" x14ac:dyDescent="0.25">
      <c r="A491" s="3">
        <v>45707.872071759259</v>
      </c>
      <c r="B491" t="s">
        <v>118</v>
      </c>
      <c r="C491" s="3">
        <v>45707.873229166667</v>
      </c>
      <c r="D491" t="s">
        <v>179</v>
      </c>
      <c r="E491" s="4">
        <v>0.91715362989902494</v>
      </c>
      <c r="F491" s="4">
        <v>349164.88009766868</v>
      </c>
      <c r="G491" s="4">
        <v>349165.79725129856</v>
      </c>
      <c r="H491" s="5">
        <f t="shared" ref="H491:H554" si="5">0 / 86400</f>
        <v>0</v>
      </c>
      <c r="I491" t="s">
        <v>282</v>
      </c>
      <c r="J491" t="s">
        <v>169</v>
      </c>
      <c r="K491" s="5">
        <f>100 / 86400</f>
        <v>1.1574074074074073E-3</v>
      </c>
      <c r="L491" s="5">
        <f>20 / 86400</f>
        <v>2.3148148148148149E-4</v>
      </c>
    </row>
    <row r="492" spans="1:12" x14ac:dyDescent="0.25">
      <c r="A492" s="3">
        <v>45707.873460648145</v>
      </c>
      <c r="B492" t="s">
        <v>179</v>
      </c>
      <c r="C492" s="3">
        <v>45707.873692129629</v>
      </c>
      <c r="D492" t="s">
        <v>267</v>
      </c>
      <c r="E492" s="4">
        <v>4.9297733604907988E-2</v>
      </c>
      <c r="F492" s="4">
        <v>349165.79935832106</v>
      </c>
      <c r="G492" s="4">
        <v>349165.8486560547</v>
      </c>
      <c r="H492" s="5">
        <f t="shared" si="5"/>
        <v>0</v>
      </c>
      <c r="I492" t="s">
        <v>134</v>
      </c>
      <c r="J492" t="s">
        <v>132</v>
      </c>
      <c r="K492" s="5">
        <f>20 / 86400</f>
        <v>2.3148148148148149E-4</v>
      </c>
      <c r="L492" s="5">
        <f>4 / 86400</f>
        <v>4.6296296296296294E-5</v>
      </c>
    </row>
    <row r="493" spans="1:12" x14ac:dyDescent="0.25">
      <c r="A493" s="3">
        <v>45707.873738425929</v>
      </c>
      <c r="B493" t="s">
        <v>267</v>
      </c>
      <c r="C493" s="3">
        <v>45707.875034722223</v>
      </c>
      <c r="D493" t="s">
        <v>176</v>
      </c>
      <c r="E493" s="4">
        <v>0.77363191473484039</v>
      </c>
      <c r="F493" s="4">
        <v>349165.85112231429</v>
      </c>
      <c r="G493" s="4">
        <v>349166.62475422904</v>
      </c>
      <c r="H493" s="5">
        <f t="shared" si="5"/>
        <v>0</v>
      </c>
      <c r="I493" t="s">
        <v>100</v>
      </c>
      <c r="J493" t="s">
        <v>30</v>
      </c>
      <c r="K493" s="5">
        <f>112 / 86400</f>
        <v>1.2962962962962963E-3</v>
      </c>
      <c r="L493" s="5">
        <f>7 / 86400</f>
        <v>8.1018518518518516E-5</v>
      </c>
    </row>
    <row r="494" spans="1:12" x14ac:dyDescent="0.25">
      <c r="A494" s="3">
        <v>45707.875115740739</v>
      </c>
      <c r="B494" t="s">
        <v>176</v>
      </c>
      <c r="C494" s="3">
        <v>45707.87537037037</v>
      </c>
      <c r="D494" t="s">
        <v>368</v>
      </c>
      <c r="E494" s="4">
        <v>9.4427582621574406E-3</v>
      </c>
      <c r="F494" s="4">
        <v>349166.62669343071</v>
      </c>
      <c r="G494" s="4">
        <v>349166.63613618899</v>
      </c>
      <c r="H494" s="5">
        <f t="shared" si="5"/>
        <v>0</v>
      </c>
      <c r="I494" t="s">
        <v>101</v>
      </c>
      <c r="J494" t="s">
        <v>136</v>
      </c>
      <c r="K494" s="5">
        <f>22 / 86400</f>
        <v>2.5462962962962961E-4</v>
      </c>
      <c r="L494" s="5">
        <f>40 / 86400</f>
        <v>4.6296296296296298E-4</v>
      </c>
    </row>
    <row r="495" spans="1:12" x14ac:dyDescent="0.25">
      <c r="A495" s="3">
        <v>45707.875833333332</v>
      </c>
      <c r="B495" t="s">
        <v>368</v>
      </c>
      <c r="C495" s="3">
        <v>45707.879247685181</v>
      </c>
      <c r="D495" t="s">
        <v>139</v>
      </c>
      <c r="E495" s="4">
        <v>2.5209661517143251</v>
      </c>
      <c r="F495" s="4">
        <v>349166.6430463522</v>
      </c>
      <c r="G495" s="4">
        <v>349169.16401250393</v>
      </c>
      <c r="H495" s="5">
        <f t="shared" si="5"/>
        <v>0</v>
      </c>
      <c r="I495" t="s">
        <v>100</v>
      </c>
      <c r="J495" t="s">
        <v>57</v>
      </c>
      <c r="K495" s="5">
        <f>295 / 86400</f>
        <v>3.414351851851852E-3</v>
      </c>
      <c r="L495" s="5">
        <f>20 / 86400</f>
        <v>2.3148148148148149E-4</v>
      </c>
    </row>
    <row r="496" spans="1:12" x14ac:dyDescent="0.25">
      <c r="A496" s="3">
        <v>45707.879479166666</v>
      </c>
      <c r="B496" t="s">
        <v>139</v>
      </c>
      <c r="C496" s="3">
        <v>45707.882511574076</v>
      </c>
      <c r="D496" t="s">
        <v>82</v>
      </c>
      <c r="E496" s="4">
        <v>2.4893884041309358</v>
      </c>
      <c r="F496" s="4">
        <v>349169.16861400125</v>
      </c>
      <c r="G496" s="4">
        <v>349171.65800240543</v>
      </c>
      <c r="H496" s="5">
        <f t="shared" si="5"/>
        <v>0</v>
      </c>
      <c r="I496" t="s">
        <v>293</v>
      </c>
      <c r="J496" t="s">
        <v>191</v>
      </c>
      <c r="K496" s="5">
        <f>262 / 86400</f>
        <v>3.0324074074074073E-3</v>
      </c>
      <c r="L496" s="5">
        <f>20 / 86400</f>
        <v>2.3148148148148149E-4</v>
      </c>
    </row>
    <row r="497" spans="1:12" x14ac:dyDescent="0.25">
      <c r="A497" s="3">
        <v>45707.882743055554</v>
      </c>
      <c r="B497" t="s">
        <v>82</v>
      </c>
      <c r="C497" s="3">
        <v>45707.884131944447</v>
      </c>
      <c r="D497" t="s">
        <v>36</v>
      </c>
      <c r="E497" s="4">
        <v>1.2880693174004554</v>
      </c>
      <c r="F497" s="4">
        <v>349171.81940793607</v>
      </c>
      <c r="G497" s="4">
        <v>349173.10747725348</v>
      </c>
      <c r="H497" s="5">
        <f t="shared" si="5"/>
        <v>0</v>
      </c>
      <c r="I497" t="s">
        <v>293</v>
      </c>
      <c r="J497" t="s">
        <v>181</v>
      </c>
      <c r="K497" s="5">
        <f>120 / 86400</f>
        <v>1.3888888888888889E-3</v>
      </c>
      <c r="L497" s="5">
        <f>20 / 86400</f>
        <v>2.3148148148148149E-4</v>
      </c>
    </row>
    <row r="498" spans="1:12" x14ac:dyDescent="0.25">
      <c r="A498" s="3">
        <v>45707.884363425925</v>
      </c>
      <c r="B498" t="s">
        <v>173</v>
      </c>
      <c r="C498" s="3">
        <v>45707.885752314818</v>
      </c>
      <c r="D498" t="s">
        <v>369</v>
      </c>
      <c r="E498" s="4">
        <v>0.9728664380908012</v>
      </c>
      <c r="F498" s="4">
        <v>349173.25051475596</v>
      </c>
      <c r="G498" s="4">
        <v>349174.22338119405</v>
      </c>
      <c r="H498" s="5">
        <f t="shared" si="5"/>
        <v>0</v>
      </c>
      <c r="I498" t="s">
        <v>194</v>
      </c>
      <c r="J498" t="s">
        <v>185</v>
      </c>
      <c r="K498" s="5">
        <f>120 / 86400</f>
        <v>1.3888888888888889E-3</v>
      </c>
      <c r="L498" s="5">
        <f>2 / 86400</f>
        <v>2.3148148148148147E-5</v>
      </c>
    </row>
    <row r="499" spans="1:12" x14ac:dyDescent="0.25">
      <c r="A499" s="3">
        <v>45707.885775462964</v>
      </c>
      <c r="B499" t="s">
        <v>369</v>
      </c>
      <c r="C499" s="3">
        <v>45707.890173611115</v>
      </c>
      <c r="D499" t="s">
        <v>275</v>
      </c>
      <c r="E499" s="4">
        <v>3.0655922232866288</v>
      </c>
      <c r="F499" s="4">
        <v>349174.2250130513</v>
      </c>
      <c r="G499" s="4">
        <v>349177.29060527455</v>
      </c>
      <c r="H499" s="5">
        <f t="shared" si="5"/>
        <v>0</v>
      </c>
      <c r="I499" t="s">
        <v>265</v>
      </c>
      <c r="J499" t="s">
        <v>185</v>
      </c>
      <c r="K499" s="5">
        <f>380 / 86400</f>
        <v>4.3981481481481484E-3</v>
      </c>
      <c r="L499" s="5">
        <f>20 / 86400</f>
        <v>2.3148148148148149E-4</v>
      </c>
    </row>
    <row r="500" spans="1:12" x14ac:dyDescent="0.25">
      <c r="A500" s="3">
        <v>45707.890405092592</v>
      </c>
      <c r="B500" t="s">
        <v>275</v>
      </c>
      <c r="C500" s="3">
        <v>45707.891562500001</v>
      </c>
      <c r="D500" t="s">
        <v>280</v>
      </c>
      <c r="E500" s="4">
        <v>0.81176014298200605</v>
      </c>
      <c r="F500" s="4">
        <v>349177.32088203932</v>
      </c>
      <c r="G500" s="4">
        <v>349178.13264218229</v>
      </c>
      <c r="H500" s="5">
        <f t="shared" si="5"/>
        <v>0</v>
      </c>
      <c r="I500" t="s">
        <v>174</v>
      </c>
      <c r="J500" t="s">
        <v>185</v>
      </c>
      <c r="K500" s="5">
        <f>100 / 86400</f>
        <v>1.1574074074074073E-3</v>
      </c>
      <c r="L500" s="5">
        <f>20 / 86400</f>
        <v>2.3148148148148149E-4</v>
      </c>
    </row>
    <row r="501" spans="1:12" x14ac:dyDescent="0.25">
      <c r="A501" s="3">
        <v>45707.891793981486</v>
      </c>
      <c r="B501" t="s">
        <v>280</v>
      </c>
      <c r="C501" s="3">
        <v>45707.89225694444</v>
      </c>
      <c r="D501" t="s">
        <v>280</v>
      </c>
      <c r="E501" s="4">
        <v>0.43635776412487032</v>
      </c>
      <c r="F501" s="4">
        <v>349178.22264555382</v>
      </c>
      <c r="G501" s="4">
        <v>349178.65900331794</v>
      </c>
      <c r="H501" s="5">
        <f t="shared" si="5"/>
        <v>0</v>
      </c>
      <c r="I501" t="s">
        <v>301</v>
      </c>
      <c r="J501" t="s">
        <v>181</v>
      </c>
      <c r="K501" s="5">
        <f>40 / 86400</f>
        <v>4.6296296296296298E-4</v>
      </c>
      <c r="L501" s="5">
        <f>20 / 86400</f>
        <v>2.3148148148148149E-4</v>
      </c>
    </row>
    <row r="502" spans="1:12" x14ac:dyDescent="0.25">
      <c r="A502" s="3">
        <v>45707.892488425925</v>
      </c>
      <c r="B502" t="s">
        <v>280</v>
      </c>
      <c r="C502" s="3">
        <v>45707.895497685182</v>
      </c>
      <c r="D502" t="s">
        <v>281</v>
      </c>
      <c r="E502" s="4">
        <v>2.104324371278286</v>
      </c>
      <c r="F502" s="4">
        <v>349178.7671969377</v>
      </c>
      <c r="G502" s="4">
        <v>349180.87152130896</v>
      </c>
      <c r="H502" s="5">
        <f t="shared" si="5"/>
        <v>0</v>
      </c>
      <c r="I502" t="s">
        <v>68</v>
      </c>
      <c r="J502" t="s">
        <v>185</v>
      </c>
      <c r="K502" s="5">
        <f>260 / 86400</f>
        <v>3.0092592592592593E-3</v>
      </c>
      <c r="L502" s="5">
        <f>20 / 86400</f>
        <v>2.3148148148148149E-4</v>
      </c>
    </row>
    <row r="503" spans="1:12" x14ac:dyDescent="0.25">
      <c r="A503" s="3">
        <v>45707.895729166667</v>
      </c>
      <c r="B503" t="s">
        <v>281</v>
      </c>
      <c r="C503" s="3">
        <v>45707.897037037037</v>
      </c>
      <c r="D503" t="s">
        <v>286</v>
      </c>
      <c r="E503" s="4">
        <v>1.3603793491721152</v>
      </c>
      <c r="F503" s="4">
        <v>349181.02594982367</v>
      </c>
      <c r="G503" s="4">
        <v>349182.38632917288</v>
      </c>
      <c r="H503" s="5">
        <f t="shared" si="5"/>
        <v>0</v>
      </c>
      <c r="I503" t="s">
        <v>254</v>
      </c>
      <c r="J503" t="s">
        <v>174</v>
      </c>
      <c r="K503" s="5">
        <f>113 / 86400</f>
        <v>1.3078703703703703E-3</v>
      </c>
      <c r="L503" s="5">
        <f>20 / 86400</f>
        <v>2.3148148148148149E-4</v>
      </c>
    </row>
    <row r="504" spans="1:12" x14ac:dyDescent="0.25">
      <c r="A504" s="3">
        <v>45707.897268518514</v>
      </c>
      <c r="B504" t="s">
        <v>286</v>
      </c>
      <c r="C504" s="3">
        <v>45707.898645833338</v>
      </c>
      <c r="D504" t="s">
        <v>81</v>
      </c>
      <c r="E504" s="4">
        <v>0.63052608090639117</v>
      </c>
      <c r="F504" s="4">
        <v>349182.38920291926</v>
      </c>
      <c r="G504" s="4">
        <v>349183.01972900017</v>
      </c>
      <c r="H504" s="5">
        <f t="shared" si="5"/>
        <v>0</v>
      </c>
      <c r="I504" t="s">
        <v>235</v>
      </c>
      <c r="J504" t="s">
        <v>33</v>
      </c>
      <c r="K504" s="5">
        <f>119 / 86400</f>
        <v>1.3773148148148147E-3</v>
      </c>
      <c r="L504" s="5">
        <f>40 / 86400</f>
        <v>4.6296296296296298E-4</v>
      </c>
    </row>
    <row r="505" spans="1:12" x14ac:dyDescent="0.25">
      <c r="A505" s="3">
        <v>45707.899108796293</v>
      </c>
      <c r="B505" t="s">
        <v>286</v>
      </c>
      <c r="C505" s="3">
        <v>45707.900266203702</v>
      </c>
      <c r="D505" t="s">
        <v>284</v>
      </c>
      <c r="E505" s="4">
        <v>0.59445532160997394</v>
      </c>
      <c r="F505" s="4">
        <v>349183.12727049831</v>
      </c>
      <c r="G505" s="4">
        <v>349183.72172581992</v>
      </c>
      <c r="H505" s="5">
        <f t="shared" si="5"/>
        <v>0</v>
      </c>
      <c r="I505" t="s">
        <v>251</v>
      </c>
      <c r="J505" t="s">
        <v>166</v>
      </c>
      <c r="K505" s="5">
        <f>100 / 86400</f>
        <v>1.1574074074074073E-3</v>
      </c>
      <c r="L505" s="5">
        <f>20 / 86400</f>
        <v>2.3148148148148149E-4</v>
      </c>
    </row>
    <row r="506" spans="1:12" x14ac:dyDescent="0.25">
      <c r="A506" s="3">
        <v>45707.900497685187</v>
      </c>
      <c r="B506" t="s">
        <v>297</v>
      </c>
      <c r="C506" s="3">
        <v>45707.902951388889</v>
      </c>
      <c r="D506" t="s">
        <v>81</v>
      </c>
      <c r="E506" s="4">
        <v>0.9090640195012093</v>
      </c>
      <c r="F506" s="4">
        <v>349183.81878359063</v>
      </c>
      <c r="G506" s="4">
        <v>349184.72784761013</v>
      </c>
      <c r="H506" s="5">
        <f t="shared" si="5"/>
        <v>0</v>
      </c>
      <c r="I506" t="s">
        <v>30</v>
      </c>
      <c r="J506" t="s">
        <v>46</v>
      </c>
      <c r="K506" s="5">
        <f>212 / 86400</f>
        <v>2.4537037037037036E-3</v>
      </c>
      <c r="L506" s="5">
        <f>6 / 86400</f>
        <v>6.9444444444444444E-5</v>
      </c>
    </row>
    <row r="507" spans="1:12" x14ac:dyDescent="0.25">
      <c r="A507" s="3">
        <v>45707.903020833328</v>
      </c>
      <c r="B507" t="s">
        <v>81</v>
      </c>
      <c r="C507" s="3">
        <v>45707.90357638889</v>
      </c>
      <c r="D507" t="s">
        <v>370</v>
      </c>
      <c r="E507" s="4">
        <v>9.9434135496616366E-2</v>
      </c>
      <c r="F507" s="4">
        <v>349184.73061934696</v>
      </c>
      <c r="G507" s="4">
        <v>349184.8300534825</v>
      </c>
      <c r="H507" s="5">
        <f t="shared" si="5"/>
        <v>0</v>
      </c>
      <c r="I507" t="s">
        <v>123</v>
      </c>
      <c r="J507" t="s">
        <v>85</v>
      </c>
      <c r="K507" s="5">
        <f>48 / 86400</f>
        <v>5.5555555555555556E-4</v>
      </c>
      <c r="L507" s="5">
        <f>40 / 86400</f>
        <v>4.6296296296296298E-4</v>
      </c>
    </row>
    <row r="508" spans="1:12" x14ac:dyDescent="0.25">
      <c r="A508" s="3">
        <v>45707.904039351852</v>
      </c>
      <c r="B508" t="s">
        <v>370</v>
      </c>
      <c r="C508" s="3">
        <v>45707.904733796298</v>
      </c>
      <c r="D508" t="s">
        <v>370</v>
      </c>
      <c r="E508" s="4">
        <v>3.4604864954948425E-2</v>
      </c>
      <c r="F508" s="4">
        <v>349184.8385367936</v>
      </c>
      <c r="G508" s="4">
        <v>349184.87314165855</v>
      </c>
      <c r="H508" s="5">
        <f t="shared" si="5"/>
        <v>0</v>
      </c>
      <c r="I508" t="s">
        <v>24</v>
      </c>
      <c r="J508" t="s">
        <v>136</v>
      </c>
      <c r="K508" s="5">
        <f>60 / 86400</f>
        <v>6.9444444444444447E-4</v>
      </c>
      <c r="L508" s="5">
        <f>20 / 86400</f>
        <v>2.3148148148148149E-4</v>
      </c>
    </row>
    <row r="509" spans="1:12" x14ac:dyDescent="0.25">
      <c r="A509" s="3">
        <v>45707.904965277776</v>
      </c>
      <c r="B509" t="s">
        <v>370</v>
      </c>
      <c r="C509" s="3">
        <v>45707.90519675926</v>
      </c>
      <c r="D509" t="s">
        <v>370</v>
      </c>
      <c r="E509" s="4">
        <v>2.778640031814575E-3</v>
      </c>
      <c r="F509" s="4">
        <v>349184.87599902658</v>
      </c>
      <c r="G509" s="4">
        <v>349184.8787776666</v>
      </c>
      <c r="H509" s="5">
        <f t="shared" si="5"/>
        <v>0</v>
      </c>
      <c r="I509" t="s">
        <v>127</v>
      </c>
      <c r="J509" t="s">
        <v>127</v>
      </c>
      <c r="K509" s="5">
        <f>20 / 86400</f>
        <v>2.3148148148148149E-4</v>
      </c>
      <c r="L509" s="5">
        <f>40 / 86400</f>
        <v>4.6296296296296298E-4</v>
      </c>
    </row>
    <row r="510" spans="1:12" x14ac:dyDescent="0.25">
      <c r="A510" s="3">
        <v>45707.905659722222</v>
      </c>
      <c r="B510" t="s">
        <v>370</v>
      </c>
      <c r="C510" s="3">
        <v>45707.9058912037</v>
      </c>
      <c r="D510" t="s">
        <v>371</v>
      </c>
      <c r="E510" s="4">
        <v>3.162156283855438E-3</v>
      </c>
      <c r="F510" s="4">
        <v>349184.88542591431</v>
      </c>
      <c r="G510" s="4">
        <v>349184.88858807058</v>
      </c>
      <c r="H510" s="5">
        <f t="shared" si="5"/>
        <v>0</v>
      </c>
      <c r="I510" t="s">
        <v>136</v>
      </c>
      <c r="J510" t="s">
        <v>127</v>
      </c>
      <c r="K510" s="5">
        <f>20 / 86400</f>
        <v>2.3148148148148149E-4</v>
      </c>
      <c r="L510" s="5">
        <f>214 / 86400</f>
        <v>2.476851851851852E-3</v>
      </c>
    </row>
    <row r="511" spans="1:12" x14ac:dyDescent="0.25">
      <c r="A511" s="3">
        <v>45707.908368055556</v>
      </c>
      <c r="B511" t="s">
        <v>370</v>
      </c>
      <c r="C511" s="3">
        <v>45707.910601851851</v>
      </c>
      <c r="D511" t="s">
        <v>372</v>
      </c>
      <c r="E511" s="4">
        <v>1.2097353784441949</v>
      </c>
      <c r="F511" s="4">
        <v>349184.90831396694</v>
      </c>
      <c r="G511" s="4">
        <v>349186.11804934539</v>
      </c>
      <c r="H511" s="5">
        <f t="shared" si="5"/>
        <v>0</v>
      </c>
      <c r="I511" t="s">
        <v>202</v>
      </c>
      <c r="J511" t="s">
        <v>35</v>
      </c>
      <c r="K511" s="5">
        <f>193 / 86400</f>
        <v>2.2337962962962962E-3</v>
      </c>
      <c r="L511" s="5">
        <f>20 / 86400</f>
        <v>2.3148148148148149E-4</v>
      </c>
    </row>
    <row r="512" spans="1:12" x14ac:dyDescent="0.25">
      <c r="A512" s="3">
        <v>45707.910833333328</v>
      </c>
      <c r="B512" t="s">
        <v>286</v>
      </c>
      <c r="C512" s="3">
        <v>45707.912222222221</v>
      </c>
      <c r="D512" t="s">
        <v>286</v>
      </c>
      <c r="E512" s="4">
        <v>0.55511078524589541</v>
      </c>
      <c r="F512" s="4">
        <v>349186.13882674812</v>
      </c>
      <c r="G512" s="4">
        <v>349186.69393753336</v>
      </c>
      <c r="H512" s="5">
        <f t="shared" si="5"/>
        <v>0</v>
      </c>
      <c r="I512" t="s">
        <v>30</v>
      </c>
      <c r="J512" t="s">
        <v>37</v>
      </c>
      <c r="K512" s="5">
        <f>120 / 86400</f>
        <v>1.3888888888888889E-3</v>
      </c>
      <c r="L512" s="5">
        <f>6 / 86400</f>
        <v>6.9444444444444444E-5</v>
      </c>
    </row>
    <row r="513" spans="1:12" x14ac:dyDescent="0.25">
      <c r="A513" s="3">
        <v>45707.912291666667</v>
      </c>
      <c r="B513" t="s">
        <v>286</v>
      </c>
      <c r="C513" s="3">
        <v>45707.912986111114</v>
      </c>
      <c r="D513" t="s">
        <v>286</v>
      </c>
      <c r="E513" s="4">
        <v>0.36340748101472853</v>
      </c>
      <c r="F513" s="4">
        <v>349186.69706935331</v>
      </c>
      <c r="G513" s="4">
        <v>349187.0604768343</v>
      </c>
      <c r="H513" s="5">
        <f t="shared" si="5"/>
        <v>0</v>
      </c>
      <c r="I513" t="s">
        <v>161</v>
      </c>
      <c r="J513" t="s">
        <v>129</v>
      </c>
      <c r="K513" s="5">
        <f>60 / 86400</f>
        <v>6.9444444444444447E-4</v>
      </c>
      <c r="L513" s="5">
        <f>20 / 86400</f>
        <v>2.3148148148148149E-4</v>
      </c>
    </row>
    <row r="514" spans="1:12" x14ac:dyDescent="0.25">
      <c r="A514" s="3">
        <v>45707.913217592592</v>
      </c>
      <c r="B514" t="s">
        <v>286</v>
      </c>
      <c r="C514" s="3">
        <v>45707.917615740742</v>
      </c>
      <c r="D514" t="s">
        <v>280</v>
      </c>
      <c r="E514" s="4">
        <v>3.6584755111932754</v>
      </c>
      <c r="F514" s="4">
        <v>349187.11735629407</v>
      </c>
      <c r="G514" s="4">
        <v>349190.77583180531</v>
      </c>
      <c r="H514" s="5">
        <f t="shared" si="5"/>
        <v>0</v>
      </c>
      <c r="I514" t="s">
        <v>180</v>
      </c>
      <c r="J514" t="s">
        <v>172</v>
      </c>
      <c r="K514" s="5">
        <f>380 / 86400</f>
        <v>4.3981481481481484E-3</v>
      </c>
      <c r="L514" s="5">
        <f>20 / 86400</f>
        <v>2.3148148148148149E-4</v>
      </c>
    </row>
    <row r="515" spans="1:12" x14ac:dyDescent="0.25">
      <c r="A515" s="3">
        <v>45707.917847222227</v>
      </c>
      <c r="B515" t="s">
        <v>280</v>
      </c>
      <c r="C515" s="3">
        <v>45707.918310185181</v>
      </c>
      <c r="D515" t="s">
        <v>280</v>
      </c>
      <c r="E515" s="4">
        <v>0.42062581944465638</v>
      </c>
      <c r="F515" s="4">
        <v>349190.88656980789</v>
      </c>
      <c r="G515" s="4">
        <v>349191.30719562731</v>
      </c>
      <c r="H515" s="5">
        <f t="shared" si="5"/>
        <v>0</v>
      </c>
      <c r="I515" t="s">
        <v>265</v>
      </c>
      <c r="J515" t="s">
        <v>278</v>
      </c>
      <c r="K515" s="5">
        <f>40 / 86400</f>
        <v>4.6296296296296298E-4</v>
      </c>
      <c r="L515" s="5">
        <f>40 / 86400</f>
        <v>4.6296296296296298E-4</v>
      </c>
    </row>
    <row r="516" spans="1:12" x14ac:dyDescent="0.25">
      <c r="A516" s="3">
        <v>45707.918773148151</v>
      </c>
      <c r="B516" t="s">
        <v>280</v>
      </c>
      <c r="C516" s="3">
        <v>45707.919004629628</v>
      </c>
      <c r="D516" t="s">
        <v>373</v>
      </c>
      <c r="E516" s="4">
        <v>0.22865315705537795</v>
      </c>
      <c r="F516" s="4">
        <v>349191.43560297368</v>
      </c>
      <c r="G516" s="4">
        <v>349191.66425613075</v>
      </c>
      <c r="H516" s="5">
        <f t="shared" si="5"/>
        <v>0</v>
      </c>
      <c r="I516" t="s">
        <v>265</v>
      </c>
      <c r="J516" t="s">
        <v>202</v>
      </c>
      <c r="K516" s="5">
        <f>20 / 86400</f>
        <v>2.3148148148148149E-4</v>
      </c>
      <c r="L516" s="5">
        <f>20 / 86400</f>
        <v>2.3148148148148149E-4</v>
      </c>
    </row>
    <row r="517" spans="1:12" x14ac:dyDescent="0.25">
      <c r="A517" s="3">
        <v>45707.919236111113</v>
      </c>
      <c r="B517" t="s">
        <v>373</v>
      </c>
      <c r="C517" s="3">
        <v>45707.920810185184</v>
      </c>
      <c r="D517" t="s">
        <v>275</v>
      </c>
      <c r="E517" s="4">
        <v>1.0662677392959594</v>
      </c>
      <c r="F517" s="4">
        <v>349191.72154399351</v>
      </c>
      <c r="G517" s="4">
        <v>349192.78781173285</v>
      </c>
      <c r="H517" s="5">
        <f t="shared" si="5"/>
        <v>0</v>
      </c>
      <c r="I517" t="s">
        <v>174</v>
      </c>
      <c r="J517" t="s">
        <v>178</v>
      </c>
      <c r="K517" s="5">
        <f>136 / 86400</f>
        <v>1.5740740740740741E-3</v>
      </c>
      <c r="L517" s="5">
        <f>20 / 86400</f>
        <v>2.3148148148148149E-4</v>
      </c>
    </row>
    <row r="518" spans="1:12" x14ac:dyDescent="0.25">
      <c r="A518" s="3">
        <v>45707.921041666668</v>
      </c>
      <c r="B518" t="s">
        <v>374</v>
      </c>
      <c r="C518" s="3">
        <v>45707.922916666663</v>
      </c>
      <c r="D518" t="s">
        <v>140</v>
      </c>
      <c r="E518" s="4">
        <v>1.5168722615242005</v>
      </c>
      <c r="F518" s="4">
        <v>349192.95551091246</v>
      </c>
      <c r="G518" s="4">
        <v>349194.472383174</v>
      </c>
      <c r="H518" s="5">
        <f t="shared" si="5"/>
        <v>0</v>
      </c>
      <c r="I518" t="s">
        <v>254</v>
      </c>
      <c r="J518" t="s">
        <v>191</v>
      </c>
      <c r="K518" s="5">
        <f>162 / 86400</f>
        <v>1.8749999999999999E-3</v>
      </c>
      <c r="L518" s="5">
        <f>20 / 86400</f>
        <v>2.3148148148148149E-4</v>
      </c>
    </row>
    <row r="519" spans="1:12" x14ac:dyDescent="0.25">
      <c r="A519" s="3">
        <v>45707.923148148147</v>
      </c>
      <c r="B519" t="s">
        <v>140</v>
      </c>
      <c r="C519" s="3">
        <v>45707.925000000003</v>
      </c>
      <c r="D519" t="s">
        <v>375</v>
      </c>
      <c r="E519" s="4">
        <v>1.0303102516531943</v>
      </c>
      <c r="F519" s="4">
        <v>349194.67575800925</v>
      </c>
      <c r="G519" s="4">
        <v>349195.70606826089</v>
      </c>
      <c r="H519" s="5">
        <f t="shared" si="5"/>
        <v>0</v>
      </c>
      <c r="I519" t="s">
        <v>147</v>
      </c>
      <c r="J519" t="s">
        <v>35</v>
      </c>
      <c r="K519" s="5">
        <f>160 / 86400</f>
        <v>1.8518518518518519E-3</v>
      </c>
      <c r="L519" s="5">
        <f>10 / 86400</f>
        <v>1.1574074074074075E-4</v>
      </c>
    </row>
    <row r="520" spans="1:12" x14ac:dyDescent="0.25">
      <c r="A520" s="3">
        <v>45707.925115740742</v>
      </c>
      <c r="B520" t="s">
        <v>275</v>
      </c>
      <c r="C520" s="3">
        <v>45707.925578703704</v>
      </c>
      <c r="D520" t="s">
        <v>275</v>
      </c>
      <c r="E520" s="4">
        <v>0.41892051249742507</v>
      </c>
      <c r="F520" s="4">
        <v>349195.71056715556</v>
      </c>
      <c r="G520" s="4">
        <v>349196.12948766805</v>
      </c>
      <c r="H520" s="5">
        <f t="shared" si="5"/>
        <v>0</v>
      </c>
      <c r="I520" t="s">
        <v>293</v>
      </c>
      <c r="J520" t="s">
        <v>278</v>
      </c>
      <c r="K520" s="5">
        <f>40 / 86400</f>
        <v>4.6296296296296298E-4</v>
      </c>
      <c r="L520" s="5">
        <f>20 / 86400</f>
        <v>2.3148148148148149E-4</v>
      </c>
    </row>
    <row r="521" spans="1:12" x14ac:dyDescent="0.25">
      <c r="A521" s="3">
        <v>45707.925810185188</v>
      </c>
      <c r="B521" t="s">
        <v>173</v>
      </c>
      <c r="C521" s="3">
        <v>45707.927662037036</v>
      </c>
      <c r="D521" t="s">
        <v>271</v>
      </c>
      <c r="E521" s="4">
        <v>1.4753452846407891</v>
      </c>
      <c r="F521" s="4">
        <v>349196.32479053276</v>
      </c>
      <c r="G521" s="4">
        <v>349197.80013581744</v>
      </c>
      <c r="H521" s="5">
        <f t="shared" si="5"/>
        <v>0</v>
      </c>
      <c r="I521" t="s">
        <v>293</v>
      </c>
      <c r="J521" t="s">
        <v>169</v>
      </c>
      <c r="K521" s="5">
        <f>160 / 86400</f>
        <v>1.8518518518518519E-3</v>
      </c>
      <c r="L521" s="5">
        <f>40 / 86400</f>
        <v>4.6296296296296298E-4</v>
      </c>
    </row>
    <row r="522" spans="1:12" x14ac:dyDescent="0.25">
      <c r="A522" s="3">
        <v>45707.928124999999</v>
      </c>
      <c r="B522" t="s">
        <v>82</v>
      </c>
      <c r="C522" s="3">
        <v>45707.929745370369</v>
      </c>
      <c r="D522" t="s">
        <v>82</v>
      </c>
      <c r="E522" s="4">
        <v>1.7962784197926522</v>
      </c>
      <c r="F522" s="4">
        <v>349197.89036741905</v>
      </c>
      <c r="G522" s="4">
        <v>349199.68664583884</v>
      </c>
      <c r="H522" s="5">
        <f t="shared" si="5"/>
        <v>0</v>
      </c>
      <c r="I522" t="s">
        <v>180</v>
      </c>
      <c r="J522" t="s">
        <v>213</v>
      </c>
      <c r="K522" s="5">
        <f>140 / 86400</f>
        <v>1.6203703703703703E-3</v>
      </c>
      <c r="L522" s="5">
        <f>20 / 86400</f>
        <v>2.3148148148148149E-4</v>
      </c>
    </row>
    <row r="523" spans="1:12" x14ac:dyDescent="0.25">
      <c r="A523" s="3">
        <v>45707.929976851854</v>
      </c>
      <c r="B523" t="s">
        <v>82</v>
      </c>
      <c r="C523" s="3">
        <v>45707.931134259255</v>
      </c>
      <c r="D523" t="s">
        <v>139</v>
      </c>
      <c r="E523" s="4">
        <v>0.48673100197315217</v>
      </c>
      <c r="F523" s="4">
        <v>349199.81313027663</v>
      </c>
      <c r="G523" s="4">
        <v>349200.29986127862</v>
      </c>
      <c r="H523" s="5">
        <f t="shared" si="5"/>
        <v>0</v>
      </c>
      <c r="I523" t="s">
        <v>235</v>
      </c>
      <c r="J523" t="s">
        <v>27</v>
      </c>
      <c r="K523" s="5">
        <f>100 / 86400</f>
        <v>1.1574074074074073E-3</v>
      </c>
      <c r="L523" s="5">
        <f>60 / 86400</f>
        <v>6.9444444444444447E-4</v>
      </c>
    </row>
    <row r="524" spans="1:12" x14ac:dyDescent="0.25">
      <c r="A524" s="3">
        <v>45707.931828703702</v>
      </c>
      <c r="B524" t="s">
        <v>139</v>
      </c>
      <c r="C524" s="3">
        <v>45707.933449074073</v>
      </c>
      <c r="D524" t="s">
        <v>175</v>
      </c>
      <c r="E524" s="4">
        <v>1.0964553048610688</v>
      </c>
      <c r="F524" s="4">
        <v>349200.3072281658</v>
      </c>
      <c r="G524" s="4">
        <v>349201.40368347068</v>
      </c>
      <c r="H524" s="5">
        <f t="shared" si="5"/>
        <v>0</v>
      </c>
      <c r="I524" t="s">
        <v>183</v>
      </c>
      <c r="J524" t="s">
        <v>178</v>
      </c>
      <c r="K524" s="5">
        <f>140 / 86400</f>
        <v>1.6203703703703703E-3</v>
      </c>
      <c r="L524" s="5">
        <f>20 / 86400</f>
        <v>2.3148148148148149E-4</v>
      </c>
    </row>
    <row r="525" spans="1:12" x14ac:dyDescent="0.25">
      <c r="A525" s="3">
        <v>45707.93368055555</v>
      </c>
      <c r="B525" t="s">
        <v>175</v>
      </c>
      <c r="C525" s="3">
        <v>45707.935069444444</v>
      </c>
      <c r="D525" t="s">
        <v>176</v>
      </c>
      <c r="E525" s="4">
        <v>1.3205021751523018</v>
      </c>
      <c r="F525" s="4">
        <v>349201.46761187224</v>
      </c>
      <c r="G525" s="4">
        <v>349202.78811404743</v>
      </c>
      <c r="H525" s="5">
        <f t="shared" si="5"/>
        <v>0</v>
      </c>
      <c r="I525" t="s">
        <v>273</v>
      </c>
      <c r="J525" t="s">
        <v>256</v>
      </c>
      <c r="K525" s="5">
        <f>120 / 86400</f>
        <v>1.3888888888888889E-3</v>
      </c>
      <c r="L525" s="5">
        <f>20 / 86400</f>
        <v>2.3148148148148149E-4</v>
      </c>
    </row>
    <row r="526" spans="1:12" x14ac:dyDescent="0.25">
      <c r="A526" s="3">
        <v>45707.935300925921</v>
      </c>
      <c r="B526" t="s">
        <v>176</v>
      </c>
      <c r="C526" s="3">
        <v>45707.935995370368</v>
      </c>
      <c r="D526" t="s">
        <v>176</v>
      </c>
      <c r="E526" s="4">
        <v>0.69450010633468628</v>
      </c>
      <c r="F526" s="4">
        <v>349202.92452380282</v>
      </c>
      <c r="G526" s="4">
        <v>349203.61902390915</v>
      </c>
      <c r="H526" s="5">
        <f t="shared" si="5"/>
        <v>0</v>
      </c>
      <c r="I526" t="s">
        <v>141</v>
      </c>
      <c r="J526" t="s">
        <v>171</v>
      </c>
      <c r="K526" s="5">
        <f>60 / 86400</f>
        <v>6.9444444444444447E-4</v>
      </c>
      <c r="L526" s="5">
        <f>100 / 86400</f>
        <v>1.1574074074074073E-3</v>
      </c>
    </row>
    <row r="527" spans="1:12" x14ac:dyDescent="0.25">
      <c r="A527" s="3">
        <v>45707.937152777777</v>
      </c>
      <c r="B527" t="s">
        <v>176</v>
      </c>
      <c r="C527" s="3">
        <v>45707.938078703708</v>
      </c>
      <c r="D527" t="s">
        <v>176</v>
      </c>
      <c r="E527" s="4">
        <v>0.91322410857677461</v>
      </c>
      <c r="F527" s="4">
        <v>349203.64565801015</v>
      </c>
      <c r="G527" s="4">
        <v>349204.55888211873</v>
      </c>
      <c r="H527" s="5">
        <f t="shared" si="5"/>
        <v>0</v>
      </c>
      <c r="I527" t="s">
        <v>193</v>
      </c>
      <c r="J527" t="s">
        <v>202</v>
      </c>
      <c r="K527" s="5">
        <f>80 / 86400</f>
        <v>9.2592592592592596E-4</v>
      </c>
      <c r="L527" s="5">
        <f t="shared" ref="L527:L532" si="6">20 / 86400</f>
        <v>2.3148148148148149E-4</v>
      </c>
    </row>
    <row r="528" spans="1:12" x14ac:dyDescent="0.25">
      <c r="A528" s="3">
        <v>45707.938310185185</v>
      </c>
      <c r="B528" t="s">
        <v>176</v>
      </c>
      <c r="C528" s="3">
        <v>45707.939699074079</v>
      </c>
      <c r="D528" t="s">
        <v>118</v>
      </c>
      <c r="E528" s="4">
        <v>1.2622557784914969</v>
      </c>
      <c r="F528" s="4">
        <v>349204.57516372192</v>
      </c>
      <c r="G528" s="4">
        <v>349205.8374195004</v>
      </c>
      <c r="H528" s="5">
        <f t="shared" si="5"/>
        <v>0</v>
      </c>
      <c r="I528" t="s">
        <v>193</v>
      </c>
      <c r="J528" t="s">
        <v>278</v>
      </c>
      <c r="K528" s="5">
        <f>120 / 86400</f>
        <v>1.3888888888888889E-3</v>
      </c>
      <c r="L528" s="5">
        <f t="shared" si="6"/>
        <v>2.3148148148148149E-4</v>
      </c>
    </row>
    <row r="529" spans="1:12" x14ac:dyDescent="0.25">
      <c r="A529" s="3">
        <v>45707.939930555556</v>
      </c>
      <c r="B529" t="s">
        <v>118</v>
      </c>
      <c r="C529" s="3">
        <v>45707.940393518518</v>
      </c>
      <c r="D529" t="s">
        <v>118</v>
      </c>
      <c r="E529" s="4">
        <v>0.51343883180618288</v>
      </c>
      <c r="F529" s="4">
        <v>349205.95222275192</v>
      </c>
      <c r="G529" s="4">
        <v>349206.4656615837</v>
      </c>
      <c r="H529" s="5">
        <f t="shared" si="5"/>
        <v>0</v>
      </c>
      <c r="I529" t="s">
        <v>273</v>
      </c>
      <c r="J529" t="s">
        <v>213</v>
      </c>
      <c r="K529" s="5">
        <f>40 / 86400</f>
        <v>4.6296296296296298E-4</v>
      </c>
      <c r="L529" s="5">
        <f t="shared" si="6"/>
        <v>2.3148148148148149E-4</v>
      </c>
    </row>
    <row r="530" spans="1:12" x14ac:dyDescent="0.25">
      <c r="A530" s="3">
        <v>45707.940625000003</v>
      </c>
      <c r="B530" t="s">
        <v>118</v>
      </c>
      <c r="C530" s="3">
        <v>45707.94131944445</v>
      </c>
      <c r="D530" t="s">
        <v>118</v>
      </c>
      <c r="E530" s="4">
        <v>0.74568380749225616</v>
      </c>
      <c r="F530" s="4">
        <v>349206.52845292579</v>
      </c>
      <c r="G530" s="4">
        <v>349207.27413673332</v>
      </c>
      <c r="H530" s="5">
        <f t="shared" si="5"/>
        <v>0</v>
      </c>
      <c r="I530" t="s">
        <v>282</v>
      </c>
      <c r="J530" t="s">
        <v>235</v>
      </c>
      <c r="K530" s="5">
        <f>60 / 86400</f>
        <v>6.9444444444444447E-4</v>
      </c>
      <c r="L530" s="5">
        <f t="shared" si="6"/>
        <v>2.3148148148148149E-4</v>
      </c>
    </row>
    <row r="531" spans="1:12" x14ac:dyDescent="0.25">
      <c r="A531" s="3">
        <v>45707.941550925927</v>
      </c>
      <c r="B531" t="s">
        <v>118</v>
      </c>
      <c r="C531" s="3">
        <v>45707.942708333328</v>
      </c>
      <c r="D531" t="s">
        <v>118</v>
      </c>
      <c r="E531" s="4">
        <v>0.76430669629573822</v>
      </c>
      <c r="F531" s="4">
        <v>349207.33231521992</v>
      </c>
      <c r="G531" s="4">
        <v>349208.09662191622</v>
      </c>
      <c r="H531" s="5">
        <f t="shared" si="5"/>
        <v>0</v>
      </c>
      <c r="I531" t="s">
        <v>301</v>
      </c>
      <c r="J531" t="s">
        <v>178</v>
      </c>
      <c r="K531" s="5">
        <f>100 / 86400</f>
        <v>1.1574074074074073E-3</v>
      </c>
      <c r="L531" s="5">
        <f t="shared" si="6"/>
        <v>2.3148148148148149E-4</v>
      </c>
    </row>
    <row r="532" spans="1:12" x14ac:dyDescent="0.25">
      <c r="A532" s="3">
        <v>45707.942939814813</v>
      </c>
      <c r="B532" t="s">
        <v>118</v>
      </c>
      <c r="C532" s="3">
        <v>45707.943194444444</v>
      </c>
      <c r="D532" t="s">
        <v>184</v>
      </c>
      <c r="E532" s="4">
        <v>4.4880321145057675E-2</v>
      </c>
      <c r="F532" s="4">
        <v>349208.10077498568</v>
      </c>
      <c r="G532" s="4">
        <v>349208.14565530681</v>
      </c>
      <c r="H532" s="5">
        <f t="shared" si="5"/>
        <v>0</v>
      </c>
      <c r="I532" t="s">
        <v>137</v>
      </c>
      <c r="J532" t="s">
        <v>85</v>
      </c>
      <c r="K532" s="5">
        <f>22 / 86400</f>
        <v>2.5462962962962961E-4</v>
      </c>
      <c r="L532" s="5">
        <f t="shared" si="6"/>
        <v>2.3148148148148149E-4</v>
      </c>
    </row>
    <row r="533" spans="1:12" x14ac:dyDescent="0.25">
      <c r="A533" s="3">
        <v>45707.943425925929</v>
      </c>
      <c r="B533" t="s">
        <v>184</v>
      </c>
      <c r="C533" s="3">
        <v>45707.943657407406</v>
      </c>
      <c r="D533" t="s">
        <v>184</v>
      </c>
      <c r="E533" s="4">
        <v>1.9086658358573913E-2</v>
      </c>
      <c r="F533" s="4">
        <v>349208.14984298404</v>
      </c>
      <c r="G533" s="4">
        <v>349208.16892964236</v>
      </c>
      <c r="H533" s="5">
        <f t="shared" si="5"/>
        <v>0</v>
      </c>
      <c r="I533" t="s">
        <v>31</v>
      </c>
      <c r="J533" t="s">
        <v>24</v>
      </c>
      <c r="K533" s="5">
        <f>20 / 86400</f>
        <v>2.3148148148148149E-4</v>
      </c>
      <c r="L533" s="5">
        <f>40 / 86400</f>
        <v>4.6296296296296298E-4</v>
      </c>
    </row>
    <row r="534" spans="1:12" x14ac:dyDescent="0.25">
      <c r="A534" s="3">
        <v>45707.944120370375</v>
      </c>
      <c r="B534" t="s">
        <v>184</v>
      </c>
      <c r="C534" s="3">
        <v>45707.944351851853</v>
      </c>
      <c r="D534" t="s">
        <v>184</v>
      </c>
      <c r="E534" s="4">
        <v>8.4162662625312801E-3</v>
      </c>
      <c r="F534" s="4">
        <v>349208.17823892483</v>
      </c>
      <c r="G534" s="4">
        <v>349208.18665519106</v>
      </c>
      <c r="H534" s="5">
        <f t="shared" si="5"/>
        <v>0</v>
      </c>
      <c r="I534" t="s">
        <v>136</v>
      </c>
      <c r="J534" t="s">
        <v>136</v>
      </c>
      <c r="K534" s="5">
        <f>20 / 86400</f>
        <v>2.3148148148148149E-4</v>
      </c>
      <c r="L534" s="5">
        <f>40 / 86400</f>
        <v>4.6296296296296298E-4</v>
      </c>
    </row>
    <row r="535" spans="1:12" x14ac:dyDescent="0.25">
      <c r="A535" s="3">
        <v>45707.944814814815</v>
      </c>
      <c r="B535" t="s">
        <v>184</v>
      </c>
      <c r="C535" s="3">
        <v>45707.9450462963</v>
      </c>
      <c r="D535" t="s">
        <v>184</v>
      </c>
      <c r="E535" s="4">
        <v>1.3281895875930786E-2</v>
      </c>
      <c r="F535" s="4">
        <v>349208.19468123658</v>
      </c>
      <c r="G535" s="4">
        <v>349208.20796313242</v>
      </c>
      <c r="H535" s="5">
        <f t="shared" si="5"/>
        <v>0</v>
      </c>
      <c r="I535" t="s">
        <v>58</v>
      </c>
      <c r="J535" t="s">
        <v>136</v>
      </c>
      <c r="K535" s="5">
        <f>20 / 86400</f>
        <v>2.3148148148148149E-4</v>
      </c>
      <c r="L535" s="5">
        <f>20 / 86400</f>
        <v>2.3148148148148149E-4</v>
      </c>
    </row>
    <row r="536" spans="1:12" x14ac:dyDescent="0.25">
      <c r="A536" s="3">
        <v>45707.945277777777</v>
      </c>
      <c r="B536" t="s">
        <v>118</v>
      </c>
      <c r="C536" s="3">
        <v>45707.949212962965</v>
      </c>
      <c r="D536" t="s">
        <v>91</v>
      </c>
      <c r="E536" s="4">
        <v>2.8947924501895903</v>
      </c>
      <c r="F536" s="4">
        <v>349208.23622221482</v>
      </c>
      <c r="G536" s="4">
        <v>349211.13101466501</v>
      </c>
      <c r="H536" s="5">
        <f t="shared" si="5"/>
        <v>0</v>
      </c>
      <c r="I536" t="s">
        <v>301</v>
      </c>
      <c r="J536" t="s">
        <v>57</v>
      </c>
      <c r="K536" s="5">
        <f>340 / 86400</f>
        <v>3.9351851851851848E-3</v>
      </c>
      <c r="L536" s="5">
        <f>20 / 86400</f>
        <v>2.3148148148148149E-4</v>
      </c>
    </row>
    <row r="537" spans="1:12" x14ac:dyDescent="0.25">
      <c r="A537" s="3">
        <v>45707.949444444443</v>
      </c>
      <c r="B537" t="s">
        <v>91</v>
      </c>
      <c r="C537" s="3">
        <v>45707.949907407412</v>
      </c>
      <c r="D537" t="s">
        <v>91</v>
      </c>
      <c r="E537" s="4">
        <v>0.24568566274642945</v>
      </c>
      <c r="F537" s="4">
        <v>349211.21285558213</v>
      </c>
      <c r="G537" s="4">
        <v>349211.45854124485</v>
      </c>
      <c r="H537" s="5">
        <f t="shared" si="5"/>
        <v>0</v>
      </c>
      <c r="I537" t="s">
        <v>169</v>
      </c>
      <c r="J537" t="s">
        <v>129</v>
      </c>
      <c r="K537" s="5">
        <f>40 / 86400</f>
        <v>4.6296296296296298E-4</v>
      </c>
      <c r="L537" s="5">
        <f>20 / 86400</f>
        <v>2.3148148148148149E-4</v>
      </c>
    </row>
    <row r="538" spans="1:12" x14ac:dyDescent="0.25">
      <c r="A538" s="3">
        <v>45707.950138888889</v>
      </c>
      <c r="B538" t="s">
        <v>376</v>
      </c>
      <c r="C538" s="3">
        <v>45707.951064814813</v>
      </c>
      <c r="D538" t="s">
        <v>357</v>
      </c>
      <c r="E538" s="4">
        <v>0.61215952861309053</v>
      </c>
      <c r="F538" s="4">
        <v>349211.4624218063</v>
      </c>
      <c r="G538" s="4">
        <v>349212.07458133489</v>
      </c>
      <c r="H538" s="5">
        <f t="shared" si="5"/>
        <v>0</v>
      </c>
      <c r="I538" t="s">
        <v>181</v>
      </c>
      <c r="J538" t="s">
        <v>178</v>
      </c>
      <c r="K538" s="5">
        <f>80 / 86400</f>
        <v>9.2592592592592596E-4</v>
      </c>
      <c r="L538" s="5">
        <f>20 / 86400</f>
        <v>2.3148148148148149E-4</v>
      </c>
    </row>
    <row r="539" spans="1:12" x14ac:dyDescent="0.25">
      <c r="A539" s="3">
        <v>45707.951296296298</v>
      </c>
      <c r="B539" t="s">
        <v>357</v>
      </c>
      <c r="C539" s="3">
        <v>45707.953969907408</v>
      </c>
      <c r="D539" t="s">
        <v>377</v>
      </c>
      <c r="E539" s="4">
        <v>1.0069527878165245</v>
      </c>
      <c r="F539" s="4">
        <v>349212.16254772421</v>
      </c>
      <c r="G539" s="4">
        <v>349213.16950051201</v>
      </c>
      <c r="H539" s="5">
        <f t="shared" si="5"/>
        <v>0</v>
      </c>
      <c r="I539" t="s">
        <v>178</v>
      </c>
      <c r="J539" t="s">
        <v>20</v>
      </c>
      <c r="K539" s="5">
        <f>231 / 86400</f>
        <v>2.673611111111111E-3</v>
      </c>
      <c r="L539" s="5">
        <f>180 / 86400</f>
        <v>2.0833333333333333E-3</v>
      </c>
    </row>
    <row r="540" spans="1:12" x14ac:dyDescent="0.25">
      <c r="A540" s="3">
        <v>45707.956053240741</v>
      </c>
      <c r="B540" t="s">
        <v>378</v>
      </c>
      <c r="C540" s="3">
        <v>45707.957905092597</v>
      </c>
      <c r="D540" t="s">
        <v>379</v>
      </c>
      <c r="E540" s="4">
        <v>0.93926321274042135</v>
      </c>
      <c r="F540" s="4">
        <v>349213.25364642817</v>
      </c>
      <c r="G540" s="4">
        <v>349214.1929096409</v>
      </c>
      <c r="H540" s="5">
        <f t="shared" si="5"/>
        <v>0</v>
      </c>
      <c r="I540" t="s">
        <v>100</v>
      </c>
      <c r="J540" t="s">
        <v>166</v>
      </c>
      <c r="K540" s="5">
        <f>160 / 86400</f>
        <v>1.8518518518518519E-3</v>
      </c>
      <c r="L540" s="5">
        <f>20 / 86400</f>
        <v>2.3148148148148149E-4</v>
      </c>
    </row>
    <row r="541" spans="1:12" x14ac:dyDescent="0.25">
      <c r="A541" s="3">
        <v>45707.958136574074</v>
      </c>
      <c r="B541" t="s">
        <v>379</v>
      </c>
      <c r="C541" s="3">
        <v>45707.959062499998</v>
      </c>
      <c r="D541" t="s">
        <v>379</v>
      </c>
      <c r="E541" s="4">
        <v>0.58720120573043821</v>
      </c>
      <c r="F541" s="4">
        <v>349214.23127699364</v>
      </c>
      <c r="G541" s="4">
        <v>349214.81847819936</v>
      </c>
      <c r="H541" s="5">
        <f t="shared" si="5"/>
        <v>0</v>
      </c>
      <c r="I541" t="s">
        <v>254</v>
      </c>
      <c r="J541" t="s">
        <v>155</v>
      </c>
      <c r="K541" s="5">
        <f>80 / 86400</f>
        <v>9.2592592592592596E-4</v>
      </c>
      <c r="L541" s="5">
        <f>20 / 86400</f>
        <v>2.3148148148148149E-4</v>
      </c>
    </row>
    <row r="542" spans="1:12" x14ac:dyDescent="0.25">
      <c r="A542" s="3">
        <v>45707.959293981483</v>
      </c>
      <c r="B542" t="s">
        <v>380</v>
      </c>
      <c r="C542" s="3">
        <v>45707.960219907407</v>
      </c>
      <c r="D542" t="s">
        <v>381</v>
      </c>
      <c r="E542" s="4">
        <v>0.67571582978963851</v>
      </c>
      <c r="F542" s="4">
        <v>349214.95188018971</v>
      </c>
      <c r="G542" s="4">
        <v>349215.62759601953</v>
      </c>
      <c r="H542" s="5">
        <f t="shared" si="5"/>
        <v>0</v>
      </c>
      <c r="I542" t="s">
        <v>382</v>
      </c>
      <c r="J542" t="s">
        <v>161</v>
      </c>
      <c r="K542" s="5">
        <f>80 / 86400</f>
        <v>9.2592592592592596E-4</v>
      </c>
      <c r="L542" s="5">
        <f>40 / 86400</f>
        <v>4.6296296296296298E-4</v>
      </c>
    </row>
    <row r="543" spans="1:12" x14ac:dyDescent="0.25">
      <c r="A543" s="3">
        <v>45707.960682870369</v>
      </c>
      <c r="B543" t="s">
        <v>380</v>
      </c>
      <c r="C543" s="3">
        <v>45707.962071759262</v>
      </c>
      <c r="D543" t="s">
        <v>383</v>
      </c>
      <c r="E543" s="4">
        <v>0.59574651128053668</v>
      </c>
      <c r="F543" s="4">
        <v>349215.62932685134</v>
      </c>
      <c r="G543" s="4">
        <v>349216.22507336264</v>
      </c>
      <c r="H543" s="5">
        <f t="shared" si="5"/>
        <v>0</v>
      </c>
      <c r="I543" t="s">
        <v>131</v>
      </c>
      <c r="J543" t="s">
        <v>27</v>
      </c>
      <c r="K543" s="5">
        <f>120 / 86400</f>
        <v>1.3888888888888889E-3</v>
      </c>
      <c r="L543" s="5">
        <f>40 / 86400</f>
        <v>4.6296296296296298E-4</v>
      </c>
    </row>
    <row r="544" spans="1:12" x14ac:dyDescent="0.25">
      <c r="A544" s="3">
        <v>45707.962534722217</v>
      </c>
      <c r="B544" t="s">
        <v>383</v>
      </c>
      <c r="C544" s="3">
        <v>45707.963692129633</v>
      </c>
      <c r="D544" t="s">
        <v>383</v>
      </c>
      <c r="E544" s="4">
        <v>0.6753971371054649</v>
      </c>
      <c r="F544" s="4">
        <v>349216.2706371824</v>
      </c>
      <c r="G544" s="4">
        <v>349216.94603431952</v>
      </c>
      <c r="H544" s="5">
        <f t="shared" si="5"/>
        <v>0</v>
      </c>
      <c r="I544" t="s">
        <v>235</v>
      </c>
      <c r="J544" t="s">
        <v>151</v>
      </c>
      <c r="K544" s="5">
        <f>100 / 86400</f>
        <v>1.1574074074074073E-3</v>
      </c>
      <c r="L544" s="5">
        <f>60 / 86400</f>
        <v>6.9444444444444447E-4</v>
      </c>
    </row>
    <row r="545" spans="1:12" x14ac:dyDescent="0.25">
      <c r="A545" s="3">
        <v>45707.964386574073</v>
      </c>
      <c r="B545" t="s">
        <v>384</v>
      </c>
      <c r="C545" s="3">
        <v>45707.965312500004</v>
      </c>
      <c r="D545" t="s">
        <v>384</v>
      </c>
      <c r="E545" s="4">
        <v>0.4565232414007187</v>
      </c>
      <c r="F545" s="4">
        <v>349217.10445748194</v>
      </c>
      <c r="G545" s="4">
        <v>349217.5609807233</v>
      </c>
      <c r="H545" s="5">
        <f t="shared" si="5"/>
        <v>0</v>
      </c>
      <c r="I545" t="s">
        <v>278</v>
      </c>
      <c r="J545" t="s">
        <v>166</v>
      </c>
      <c r="K545" s="5">
        <f>80 / 86400</f>
        <v>9.2592592592592596E-4</v>
      </c>
      <c r="L545" s="5">
        <f>20 / 86400</f>
        <v>2.3148148148148149E-4</v>
      </c>
    </row>
    <row r="546" spans="1:12" x14ac:dyDescent="0.25">
      <c r="A546" s="3">
        <v>45707.965543981481</v>
      </c>
      <c r="B546" t="s">
        <v>385</v>
      </c>
      <c r="C546" s="3">
        <v>45707.968784722223</v>
      </c>
      <c r="D546" t="s">
        <v>386</v>
      </c>
      <c r="E546" s="4">
        <v>1.812844593167305</v>
      </c>
      <c r="F546" s="4">
        <v>349217.5945146968</v>
      </c>
      <c r="G546" s="4">
        <v>349219.40735928994</v>
      </c>
      <c r="H546" s="5">
        <f t="shared" si="5"/>
        <v>0</v>
      </c>
      <c r="I546" t="s">
        <v>213</v>
      </c>
      <c r="J546" t="s">
        <v>35</v>
      </c>
      <c r="K546" s="5">
        <f>280 / 86400</f>
        <v>3.2407407407407406E-3</v>
      </c>
      <c r="L546" s="5">
        <f>20 / 86400</f>
        <v>2.3148148148148149E-4</v>
      </c>
    </row>
    <row r="547" spans="1:12" x14ac:dyDescent="0.25">
      <c r="A547" s="3">
        <v>45707.9690162037</v>
      </c>
      <c r="B547" t="s">
        <v>386</v>
      </c>
      <c r="C547" s="3">
        <v>45707.970312500001</v>
      </c>
      <c r="D547" t="s">
        <v>195</v>
      </c>
      <c r="E547" s="4">
        <v>0.85245831286907192</v>
      </c>
      <c r="F547" s="4">
        <v>349219.41451855475</v>
      </c>
      <c r="G547" s="4">
        <v>349220.26697686763</v>
      </c>
      <c r="H547" s="5">
        <f t="shared" si="5"/>
        <v>0</v>
      </c>
      <c r="I547" t="s">
        <v>251</v>
      </c>
      <c r="J547" t="s">
        <v>84</v>
      </c>
      <c r="K547" s="5">
        <f>112 / 86400</f>
        <v>1.2962962962962963E-3</v>
      </c>
      <c r="L547" s="5">
        <f>31 / 86400</f>
        <v>3.5879629629629629E-4</v>
      </c>
    </row>
    <row r="548" spans="1:12" x14ac:dyDescent="0.25">
      <c r="A548" s="3">
        <v>45707.970671296294</v>
      </c>
      <c r="B548" t="s">
        <v>195</v>
      </c>
      <c r="C548" s="3">
        <v>45707.971909722226</v>
      </c>
      <c r="D548" t="s">
        <v>342</v>
      </c>
      <c r="E548" s="4">
        <v>0.3976206729412079</v>
      </c>
      <c r="F548" s="4">
        <v>349220.29438051663</v>
      </c>
      <c r="G548" s="4">
        <v>349220.69200118957</v>
      </c>
      <c r="H548" s="5">
        <f t="shared" si="5"/>
        <v>0</v>
      </c>
      <c r="I548" t="s">
        <v>142</v>
      </c>
      <c r="J548" t="s">
        <v>62</v>
      </c>
      <c r="K548" s="5">
        <f>107 / 86400</f>
        <v>1.238425925925926E-3</v>
      </c>
      <c r="L548" s="5">
        <f>463 / 86400</f>
        <v>5.3587962962962964E-3</v>
      </c>
    </row>
    <row r="549" spans="1:12" x14ac:dyDescent="0.25">
      <c r="A549" s="3">
        <v>45707.977268518516</v>
      </c>
      <c r="B549" t="s">
        <v>343</v>
      </c>
      <c r="C549" s="3">
        <v>45707.978414351848</v>
      </c>
      <c r="D549" t="s">
        <v>257</v>
      </c>
      <c r="E549" s="4">
        <v>3.3250048756599425E-3</v>
      </c>
      <c r="F549" s="4">
        <v>349220.83735448477</v>
      </c>
      <c r="G549" s="4">
        <v>349220.84067948966</v>
      </c>
      <c r="H549" s="5">
        <f t="shared" si="5"/>
        <v>0</v>
      </c>
      <c r="I549" t="s">
        <v>134</v>
      </c>
      <c r="J549" t="s">
        <v>72</v>
      </c>
      <c r="K549" s="5">
        <f>99 / 86400</f>
        <v>1.1458333333333333E-3</v>
      </c>
      <c r="L549" s="5">
        <f>115 / 86400</f>
        <v>1.3310185185185185E-3</v>
      </c>
    </row>
    <row r="550" spans="1:12" x14ac:dyDescent="0.25">
      <c r="A550" s="3">
        <v>45707.979745370365</v>
      </c>
      <c r="B550" t="s">
        <v>257</v>
      </c>
      <c r="C550" s="3">
        <v>45707.979976851857</v>
      </c>
      <c r="D550" t="s">
        <v>257</v>
      </c>
      <c r="E550" s="4">
        <v>7.7608078718185427E-4</v>
      </c>
      <c r="F550" s="4">
        <v>349220.86037186376</v>
      </c>
      <c r="G550" s="4">
        <v>349220.86114794458</v>
      </c>
      <c r="H550" s="5">
        <f t="shared" si="5"/>
        <v>0</v>
      </c>
      <c r="I550" t="s">
        <v>136</v>
      </c>
      <c r="J550" t="s">
        <v>72</v>
      </c>
      <c r="K550" s="5">
        <f>20 / 86400</f>
        <v>2.3148148148148149E-4</v>
      </c>
      <c r="L550" s="5">
        <f>200 / 86400</f>
        <v>2.3148148148148147E-3</v>
      </c>
    </row>
    <row r="551" spans="1:12" x14ac:dyDescent="0.25">
      <c r="A551" s="3">
        <v>45707.982291666667</v>
      </c>
      <c r="B551" t="s">
        <v>257</v>
      </c>
      <c r="C551" s="3">
        <v>45707.982523148152</v>
      </c>
      <c r="D551" t="s">
        <v>342</v>
      </c>
      <c r="E551" s="4">
        <v>3.2368503808975222E-3</v>
      </c>
      <c r="F551" s="4">
        <v>349220.87688602071</v>
      </c>
      <c r="G551" s="4">
        <v>349220.88012287108</v>
      </c>
      <c r="H551" s="5">
        <f t="shared" si="5"/>
        <v>0</v>
      </c>
      <c r="I551" t="s">
        <v>127</v>
      </c>
      <c r="J551" t="s">
        <v>127</v>
      </c>
      <c r="K551" s="5">
        <f>20 / 86400</f>
        <v>2.3148148148148149E-4</v>
      </c>
      <c r="L551" s="5">
        <f>140 / 86400</f>
        <v>1.6203703703703703E-3</v>
      </c>
    </row>
    <row r="552" spans="1:12" x14ac:dyDescent="0.25">
      <c r="A552" s="3">
        <v>45707.984143518523</v>
      </c>
      <c r="B552" t="s">
        <v>257</v>
      </c>
      <c r="C552" s="3">
        <v>45707.984375</v>
      </c>
      <c r="D552" t="s">
        <v>257</v>
      </c>
      <c r="E552" s="4">
        <v>5.9994685649871829E-3</v>
      </c>
      <c r="F552" s="4">
        <v>349220.89182150731</v>
      </c>
      <c r="G552" s="4">
        <v>349220.89782097592</v>
      </c>
      <c r="H552" s="5">
        <f t="shared" si="5"/>
        <v>0</v>
      </c>
      <c r="I552" t="s">
        <v>127</v>
      </c>
      <c r="J552" t="s">
        <v>127</v>
      </c>
      <c r="K552" s="5">
        <f>20 / 86400</f>
        <v>2.3148148148148149E-4</v>
      </c>
      <c r="L552" s="5">
        <f>100 / 86400</f>
        <v>1.1574074074074073E-3</v>
      </c>
    </row>
    <row r="553" spans="1:12" x14ac:dyDescent="0.25">
      <c r="A553" s="3">
        <v>45707.985532407409</v>
      </c>
      <c r="B553" t="s">
        <v>342</v>
      </c>
      <c r="C553" s="3">
        <v>45707.985763888893</v>
      </c>
      <c r="D553" t="s">
        <v>342</v>
      </c>
      <c r="E553" s="4">
        <v>7.1860224008560183E-4</v>
      </c>
      <c r="F553" s="4">
        <v>349220.90416499309</v>
      </c>
      <c r="G553" s="4">
        <v>349220.90488359536</v>
      </c>
      <c r="H553" s="5">
        <f t="shared" si="5"/>
        <v>0</v>
      </c>
      <c r="I553" t="s">
        <v>127</v>
      </c>
      <c r="J553" t="s">
        <v>72</v>
      </c>
      <c r="K553" s="5">
        <f>20 / 86400</f>
        <v>2.3148148148148149E-4</v>
      </c>
      <c r="L553" s="5">
        <f>320 / 86400</f>
        <v>3.7037037037037038E-3</v>
      </c>
    </row>
    <row r="554" spans="1:12" x14ac:dyDescent="0.25">
      <c r="A554" s="3">
        <v>45707.98946759259</v>
      </c>
      <c r="B554" t="s">
        <v>342</v>
      </c>
      <c r="C554" s="3">
        <v>45707.989699074074</v>
      </c>
      <c r="D554" t="s">
        <v>342</v>
      </c>
      <c r="E554" s="4">
        <v>1.5501312017440795E-3</v>
      </c>
      <c r="F554" s="4">
        <v>349220.92546410818</v>
      </c>
      <c r="G554" s="4">
        <v>349220.92701423937</v>
      </c>
      <c r="H554" s="5">
        <f t="shared" si="5"/>
        <v>0</v>
      </c>
      <c r="I554" t="s">
        <v>127</v>
      </c>
      <c r="J554" t="s">
        <v>72</v>
      </c>
      <c r="K554" s="5">
        <f>20 / 86400</f>
        <v>2.3148148148148149E-4</v>
      </c>
      <c r="L554" s="5">
        <f>40 / 86400</f>
        <v>4.6296296296296298E-4</v>
      </c>
    </row>
    <row r="555" spans="1:12" x14ac:dyDescent="0.25">
      <c r="A555" s="3">
        <v>45707.990162037036</v>
      </c>
      <c r="B555" t="s">
        <v>342</v>
      </c>
      <c r="C555" s="3">
        <v>45707.992569444439</v>
      </c>
      <c r="D555" t="s">
        <v>387</v>
      </c>
      <c r="E555" s="4">
        <v>1.0682628681659698</v>
      </c>
      <c r="F555" s="4">
        <v>349220.93675218889</v>
      </c>
      <c r="G555" s="4">
        <v>349222.0050150571</v>
      </c>
      <c r="H555" s="5">
        <f t="shared" ref="H555:H561" si="7">0 / 86400</f>
        <v>0</v>
      </c>
      <c r="I555" t="s">
        <v>171</v>
      </c>
      <c r="J555" t="s">
        <v>27</v>
      </c>
      <c r="K555" s="5">
        <f>208 / 86400</f>
        <v>2.4074074074074076E-3</v>
      </c>
      <c r="L555" s="5">
        <f>40 / 86400</f>
        <v>4.6296296296296298E-4</v>
      </c>
    </row>
    <row r="556" spans="1:12" x14ac:dyDescent="0.25">
      <c r="A556" s="3">
        <v>45707.993032407408</v>
      </c>
      <c r="B556" t="s">
        <v>388</v>
      </c>
      <c r="C556" s="3">
        <v>45707.993495370371</v>
      </c>
      <c r="D556" t="s">
        <v>389</v>
      </c>
      <c r="E556" s="4">
        <v>0.32255022114515303</v>
      </c>
      <c r="F556" s="4">
        <v>349222.056030937</v>
      </c>
      <c r="G556" s="4">
        <v>349222.37858115818</v>
      </c>
      <c r="H556" s="5">
        <f t="shared" si="7"/>
        <v>0</v>
      </c>
      <c r="I556" t="s">
        <v>256</v>
      </c>
      <c r="J556" t="s">
        <v>185</v>
      </c>
      <c r="K556" s="5">
        <f>40 / 86400</f>
        <v>4.6296296296296298E-4</v>
      </c>
      <c r="L556" s="5">
        <f>20 / 86400</f>
        <v>2.3148148148148149E-4</v>
      </c>
    </row>
    <row r="557" spans="1:12" x14ac:dyDescent="0.25">
      <c r="A557" s="3">
        <v>45707.993726851855</v>
      </c>
      <c r="B557" t="s">
        <v>389</v>
      </c>
      <c r="C557" s="3">
        <v>45707.994803240741</v>
      </c>
      <c r="D557" t="s">
        <v>390</v>
      </c>
      <c r="E557" s="4">
        <v>0.58777713310718538</v>
      </c>
      <c r="F557" s="4">
        <v>349222.46408793604</v>
      </c>
      <c r="G557" s="4">
        <v>349223.05186506914</v>
      </c>
      <c r="H557" s="5">
        <f t="shared" si="7"/>
        <v>0</v>
      </c>
      <c r="I557" t="s">
        <v>185</v>
      </c>
      <c r="J557" t="s">
        <v>35</v>
      </c>
      <c r="K557" s="5">
        <f>93 / 86400</f>
        <v>1.0763888888888889E-3</v>
      </c>
      <c r="L557" s="5">
        <f>60 / 86400</f>
        <v>6.9444444444444447E-4</v>
      </c>
    </row>
    <row r="558" spans="1:12" x14ac:dyDescent="0.25">
      <c r="A558" s="3">
        <v>45707.995497685188</v>
      </c>
      <c r="B558" t="s">
        <v>390</v>
      </c>
      <c r="C558" s="3">
        <v>45707.996701388889</v>
      </c>
      <c r="D558" t="s">
        <v>390</v>
      </c>
      <c r="E558" s="4">
        <v>0.46530341142415999</v>
      </c>
      <c r="F558" s="4">
        <v>349223.07415862865</v>
      </c>
      <c r="G558" s="4">
        <v>349223.53946204006</v>
      </c>
      <c r="H558" s="5">
        <f t="shared" si="7"/>
        <v>0</v>
      </c>
      <c r="I558" t="s">
        <v>30</v>
      </c>
      <c r="J558" t="s">
        <v>20</v>
      </c>
      <c r="K558" s="5">
        <f>104 / 86400</f>
        <v>1.2037037037037038E-3</v>
      </c>
      <c r="L558" s="5">
        <f>19 / 86400</f>
        <v>2.199074074074074E-4</v>
      </c>
    </row>
    <row r="559" spans="1:12" x14ac:dyDescent="0.25">
      <c r="A559" s="3">
        <v>45707.996921296297</v>
      </c>
      <c r="B559" t="s">
        <v>391</v>
      </c>
      <c r="C559" s="3">
        <v>45707.997719907406</v>
      </c>
      <c r="D559" t="s">
        <v>384</v>
      </c>
      <c r="E559" s="4">
        <v>0.54497707688808439</v>
      </c>
      <c r="F559" s="4">
        <v>349223.56205110659</v>
      </c>
      <c r="G559" s="4">
        <v>349224.10702818347</v>
      </c>
      <c r="H559" s="5">
        <f t="shared" si="7"/>
        <v>0</v>
      </c>
      <c r="I559" t="s">
        <v>301</v>
      </c>
      <c r="J559" t="s">
        <v>178</v>
      </c>
      <c r="K559" s="5">
        <f>69 / 86400</f>
        <v>7.9861111111111116E-4</v>
      </c>
      <c r="L559" s="5">
        <f>20 / 86400</f>
        <v>2.3148148148148149E-4</v>
      </c>
    </row>
    <row r="560" spans="1:12" x14ac:dyDescent="0.25">
      <c r="A560" s="3">
        <v>45707.99795138889</v>
      </c>
      <c r="B560" t="s">
        <v>392</v>
      </c>
      <c r="C560" s="3">
        <v>45707.998877314814</v>
      </c>
      <c r="D560" t="s">
        <v>393</v>
      </c>
      <c r="E560" s="4">
        <v>0.51360211318731308</v>
      </c>
      <c r="F560" s="4">
        <v>349224.12428416597</v>
      </c>
      <c r="G560" s="4">
        <v>349224.63788627915</v>
      </c>
      <c r="H560" s="5">
        <f t="shared" si="7"/>
        <v>0</v>
      </c>
      <c r="I560" t="s">
        <v>256</v>
      </c>
      <c r="J560" t="s">
        <v>35</v>
      </c>
      <c r="K560" s="5">
        <f>80 / 86400</f>
        <v>9.2592592592592596E-4</v>
      </c>
      <c r="L560" s="5">
        <f>32 / 86400</f>
        <v>3.7037037037037035E-4</v>
      </c>
    </row>
    <row r="561" spans="1:12" x14ac:dyDescent="0.25">
      <c r="A561" s="3">
        <v>45707.999247685184</v>
      </c>
      <c r="B561" t="s">
        <v>393</v>
      </c>
      <c r="C561" s="3">
        <v>45707.99998842593</v>
      </c>
      <c r="D561" t="s">
        <v>34</v>
      </c>
      <c r="E561" s="4">
        <v>0.52225791591405868</v>
      </c>
      <c r="F561" s="4">
        <v>349224.64804145519</v>
      </c>
      <c r="G561" s="4">
        <v>349225.17029937112</v>
      </c>
      <c r="H561" s="5">
        <f t="shared" si="7"/>
        <v>0</v>
      </c>
      <c r="I561" t="s">
        <v>194</v>
      </c>
      <c r="J561" t="s">
        <v>185</v>
      </c>
      <c r="K561" s="5">
        <f>64 / 86400</f>
        <v>7.407407407407407E-4</v>
      </c>
      <c r="L561" s="5">
        <f>0 / 86400</f>
        <v>0</v>
      </c>
    </row>
    <row r="562" spans="1:12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</row>
    <row r="563" spans="1:12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</row>
    <row r="564" spans="1:12" s="10" customFormat="1" ht="20.100000000000001" customHeight="1" x14ac:dyDescent="0.35">
      <c r="A564" s="15" t="s">
        <v>469</v>
      </c>
      <c r="B564" s="15"/>
      <c r="C564" s="15"/>
      <c r="D564" s="15"/>
      <c r="E564" s="15"/>
      <c r="F564" s="15"/>
      <c r="G564" s="15"/>
      <c r="H564" s="15"/>
      <c r="I564" s="15"/>
      <c r="J564" s="15"/>
    </row>
    <row r="565" spans="1:12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</row>
    <row r="566" spans="1:12" ht="30" x14ac:dyDescent="0.25">
      <c r="A566" s="2" t="s">
        <v>6</v>
      </c>
      <c r="B566" s="2" t="s">
        <v>7</v>
      </c>
      <c r="C566" s="2" t="s">
        <v>8</v>
      </c>
      <c r="D566" s="2" t="s">
        <v>9</v>
      </c>
      <c r="E566" s="2" t="s">
        <v>10</v>
      </c>
      <c r="F566" s="2" t="s">
        <v>11</v>
      </c>
      <c r="G566" s="2" t="s">
        <v>12</v>
      </c>
      <c r="H566" s="2" t="s">
        <v>13</v>
      </c>
      <c r="I566" s="2" t="s">
        <v>14</v>
      </c>
      <c r="J566" s="2" t="s">
        <v>15</v>
      </c>
      <c r="K566" s="2" t="s">
        <v>16</v>
      </c>
      <c r="L566" s="2" t="s">
        <v>17</v>
      </c>
    </row>
    <row r="567" spans="1:12" x14ac:dyDescent="0.25">
      <c r="A567" s="3">
        <v>45707.17150462963</v>
      </c>
      <c r="B567" t="s">
        <v>36</v>
      </c>
      <c r="C567" s="3">
        <v>45707.353865740741</v>
      </c>
      <c r="D567" t="s">
        <v>120</v>
      </c>
      <c r="E567" s="4">
        <v>82.73</v>
      </c>
      <c r="F567" s="4">
        <v>484896.087</v>
      </c>
      <c r="G567" s="4">
        <v>484978.81699999998</v>
      </c>
      <c r="H567" s="5">
        <f>4021 / 86400</f>
        <v>4.6539351851851853E-2</v>
      </c>
      <c r="I567" t="s">
        <v>29</v>
      </c>
      <c r="J567" t="s">
        <v>33</v>
      </c>
      <c r="K567" s="5">
        <f>15756 / 86400</f>
        <v>0.18236111111111111</v>
      </c>
      <c r="L567" s="5">
        <f>15877 / 86400</f>
        <v>0.18376157407407406</v>
      </c>
    </row>
    <row r="568" spans="1:12" x14ac:dyDescent="0.25">
      <c r="A568" s="3">
        <v>45707.366122685184</v>
      </c>
      <c r="B568" t="s">
        <v>120</v>
      </c>
      <c r="C568" s="3">
        <v>45707.369976851856</v>
      </c>
      <c r="D568" t="s">
        <v>144</v>
      </c>
      <c r="E568" s="4">
        <v>1.329</v>
      </c>
      <c r="F568" s="4">
        <v>484978.81699999998</v>
      </c>
      <c r="G568" s="4">
        <v>484980.14600000001</v>
      </c>
      <c r="H568" s="5">
        <f>0 / 86400</f>
        <v>0</v>
      </c>
      <c r="I568" t="s">
        <v>84</v>
      </c>
      <c r="J568" t="s">
        <v>43</v>
      </c>
      <c r="K568" s="5">
        <f>332 / 86400</f>
        <v>3.8425925925925928E-3</v>
      </c>
      <c r="L568" s="5">
        <f>1161 / 86400</f>
        <v>1.34375E-2</v>
      </c>
    </row>
    <row r="569" spans="1:12" x14ac:dyDescent="0.25">
      <c r="A569" s="3">
        <v>45707.383414351847</v>
      </c>
      <c r="B569" t="s">
        <v>144</v>
      </c>
      <c r="C569" s="3">
        <v>45707.630439814813</v>
      </c>
      <c r="D569" t="s">
        <v>36</v>
      </c>
      <c r="E569" s="4">
        <v>92.097999999999999</v>
      </c>
      <c r="F569" s="4">
        <v>484980.14600000001</v>
      </c>
      <c r="G569" s="4">
        <v>485072.24400000001</v>
      </c>
      <c r="H569" s="5">
        <f>6739 / 86400</f>
        <v>7.7997685185185184E-2</v>
      </c>
      <c r="I569" t="s">
        <v>302</v>
      </c>
      <c r="J569" t="s">
        <v>20</v>
      </c>
      <c r="K569" s="5">
        <f>21343 / 86400</f>
        <v>0.24702546296296296</v>
      </c>
      <c r="L569" s="5">
        <f>31929 / 86400</f>
        <v>0.36954861111111109</v>
      </c>
    </row>
    <row r="570" spans="1:12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</row>
    <row r="571" spans="1:12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</row>
    <row r="572" spans="1:12" s="10" customFormat="1" ht="20.100000000000001" customHeight="1" x14ac:dyDescent="0.35">
      <c r="A572" s="15" t="s">
        <v>470</v>
      </c>
      <c r="B572" s="15"/>
      <c r="C572" s="15"/>
      <c r="D572" s="15"/>
      <c r="E572" s="15"/>
      <c r="F572" s="15"/>
      <c r="G572" s="15"/>
      <c r="H572" s="15"/>
      <c r="I572" s="15"/>
      <c r="J572" s="15"/>
    </row>
    <row r="573" spans="1:12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</row>
    <row r="574" spans="1:12" ht="30" x14ac:dyDescent="0.25">
      <c r="A574" s="2" t="s">
        <v>6</v>
      </c>
      <c r="B574" s="2" t="s">
        <v>7</v>
      </c>
      <c r="C574" s="2" t="s">
        <v>8</v>
      </c>
      <c r="D574" s="2" t="s">
        <v>9</v>
      </c>
      <c r="E574" s="2" t="s">
        <v>10</v>
      </c>
      <c r="F574" s="2" t="s">
        <v>11</v>
      </c>
      <c r="G574" s="2" t="s">
        <v>12</v>
      </c>
      <c r="H574" s="2" t="s">
        <v>13</v>
      </c>
      <c r="I574" s="2" t="s">
        <v>14</v>
      </c>
      <c r="J574" s="2" t="s">
        <v>15</v>
      </c>
      <c r="K574" s="2" t="s">
        <v>16</v>
      </c>
      <c r="L574" s="2" t="s">
        <v>17</v>
      </c>
    </row>
    <row r="575" spans="1:12" x14ac:dyDescent="0.25">
      <c r="A575" s="3">
        <v>45707.131423611107</v>
      </c>
      <c r="B575" t="s">
        <v>38</v>
      </c>
      <c r="C575" s="3">
        <v>45707.33289351852</v>
      </c>
      <c r="D575" t="s">
        <v>130</v>
      </c>
      <c r="E575" s="4">
        <v>106.938</v>
      </c>
      <c r="F575" s="4">
        <v>509134.89399999997</v>
      </c>
      <c r="G575" s="4">
        <v>509241.83199999999</v>
      </c>
      <c r="H575" s="5">
        <f>4099 / 86400</f>
        <v>4.7442129629629633E-2</v>
      </c>
      <c r="I575" t="s">
        <v>40</v>
      </c>
      <c r="J575" t="s">
        <v>129</v>
      </c>
      <c r="K575" s="5">
        <f>17407 / 86400</f>
        <v>0.20146990740740742</v>
      </c>
      <c r="L575" s="5">
        <f>11427 / 86400</f>
        <v>0.13225694444444444</v>
      </c>
    </row>
    <row r="576" spans="1:12" x14ac:dyDescent="0.25">
      <c r="A576" s="3">
        <v>45707.333726851852</v>
      </c>
      <c r="B576" t="s">
        <v>130</v>
      </c>
      <c r="C576" s="3">
        <v>45707.344328703708</v>
      </c>
      <c r="D576" t="s">
        <v>110</v>
      </c>
      <c r="E576" s="4">
        <v>1.4490000000000001</v>
      </c>
      <c r="F576" s="4">
        <v>509241.83199999999</v>
      </c>
      <c r="G576" s="4">
        <v>509243.28100000002</v>
      </c>
      <c r="H576" s="5">
        <f>420 / 86400</f>
        <v>4.8611111111111112E-3</v>
      </c>
      <c r="I576" t="s">
        <v>185</v>
      </c>
      <c r="J576" t="s">
        <v>101</v>
      </c>
      <c r="K576" s="5">
        <f>915 / 86400</f>
        <v>1.0590277777777778E-2</v>
      </c>
      <c r="L576" s="5">
        <f>4119 / 86400</f>
        <v>4.7673611111111111E-2</v>
      </c>
    </row>
    <row r="577" spans="1:12" x14ac:dyDescent="0.25">
      <c r="A577" s="3">
        <v>45707.392002314809</v>
      </c>
      <c r="B577" t="s">
        <v>110</v>
      </c>
      <c r="C577" s="3">
        <v>45707.394201388888</v>
      </c>
      <c r="D577" t="s">
        <v>110</v>
      </c>
      <c r="E577" s="4">
        <v>0.122</v>
      </c>
      <c r="F577" s="4">
        <v>509243.28100000002</v>
      </c>
      <c r="G577" s="4">
        <v>509243.40299999999</v>
      </c>
      <c r="H577" s="5">
        <f>59 / 86400</f>
        <v>6.8287037037037036E-4</v>
      </c>
      <c r="I577" t="s">
        <v>101</v>
      </c>
      <c r="J577" t="s">
        <v>136</v>
      </c>
      <c r="K577" s="5">
        <f>189 / 86400</f>
        <v>2.1875000000000002E-3</v>
      </c>
      <c r="L577" s="5">
        <f>8876 / 86400</f>
        <v>0.10273148148148148</v>
      </c>
    </row>
    <row r="578" spans="1:12" x14ac:dyDescent="0.25">
      <c r="A578" s="3">
        <v>45707.496932870374</v>
      </c>
      <c r="B578" t="s">
        <v>110</v>
      </c>
      <c r="C578" s="3">
        <v>45707.499074074076</v>
      </c>
      <c r="D578" t="s">
        <v>110</v>
      </c>
      <c r="E578" s="4">
        <v>0.16900000000000001</v>
      </c>
      <c r="F578" s="4">
        <v>509243.40299999999</v>
      </c>
      <c r="G578" s="4">
        <v>509243.57199999999</v>
      </c>
      <c r="H578" s="5">
        <f>19 / 86400</f>
        <v>2.199074074074074E-4</v>
      </c>
      <c r="I578" t="s">
        <v>46</v>
      </c>
      <c r="J578" t="s">
        <v>24</v>
      </c>
      <c r="K578" s="5">
        <f>185 / 86400</f>
        <v>2.1412037037037038E-3</v>
      </c>
      <c r="L578" s="5">
        <f>364 / 86400</f>
        <v>4.2129629629629626E-3</v>
      </c>
    </row>
    <row r="579" spans="1:12" x14ac:dyDescent="0.25">
      <c r="A579" s="3">
        <v>45707.503287037034</v>
      </c>
      <c r="B579" t="s">
        <v>110</v>
      </c>
      <c r="C579" s="3">
        <v>45707.507291666669</v>
      </c>
      <c r="D579" t="s">
        <v>291</v>
      </c>
      <c r="E579" s="4">
        <v>1.0089999999999999</v>
      </c>
      <c r="F579" s="4">
        <v>509243.57199999999</v>
      </c>
      <c r="G579" s="4">
        <v>509244.58100000001</v>
      </c>
      <c r="H579" s="5">
        <f>80 / 86400</f>
        <v>9.2592592592592596E-4</v>
      </c>
      <c r="I579" t="s">
        <v>161</v>
      </c>
      <c r="J579" t="s">
        <v>123</v>
      </c>
      <c r="K579" s="5">
        <f>346 / 86400</f>
        <v>4.0046296296296297E-3</v>
      </c>
      <c r="L579" s="5">
        <f>463 / 86400</f>
        <v>5.3587962962962964E-3</v>
      </c>
    </row>
    <row r="580" spans="1:12" x14ac:dyDescent="0.25">
      <c r="A580" s="3">
        <v>45707.512650462959</v>
      </c>
      <c r="B580" t="s">
        <v>291</v>
      </c>
      <c r="C580" s="3">
        <v>45707.514317129629</v>
      </c>
      <c r="D580" t="s">
        <v>49</v>
      </c>
      <c r="E580" s="4">
        <v>0.156</v>
      </c>
      <c r="F580" s="4">
        <v>509244.58100000001</v>
      </c>
      <c r="G580" s="4">
        <v>509244.73700000002</v>
      </c>
      <c r="H580" s="5">
        <f>39 / 86400</f>
        <v>4.5138888888888887E-4</v>
      </c>
      <c r="I580" t="s">
        <v>85</v>
      </c>
      <c r="J580" t="s">
        <v>58</v>
      </c>
      <c r="K580" s="5">
        <f>143 / 86400</f>
        <v>1.6550925925925926E-3</v>
      </c>
      <c r="L580" s="5">
        <f>1560 / 86400</f>
        <v>1.8055555555555554E-2</v>
      </c>
    </row>
    <row r="581" spans="1:12" x14ac:dyDescent="0.25">
      <c r="A581" s="3">
        <v>45707.532372685186</v>
      </c>
      <c r="B581" t="s">
        <v>49</v>
      </c>
      <c r="C581" s="3">
        <v>45707.660810185189</v>
      </c>
      <c r="D581" t="s">
        <v>394</v>
      </c>
      <c r="E581" s="4">
        <v>50.956000000000003</v>
      </c>
      <c r="F581" s="4">
        <v>509244.73700000002</v>
      </c>
      <c r="G581" s="4">
        <v>509295.69300000003</v>
      </c>
      <c r="H581" s="5">
        <f>3619 / 86400</f>
        <v>4.1886574074074076E-2</v>
      </c>
      <c r="I581" t="s">
        <v>106</v>
      </c>
      <c r="J581" t="s">
        <v>37</v>
      </c>
      <c r="K581" s="5">
        <f>11096 / 86400</f>
        <v>0.12842592592592592</v>
      </c>
      <c r="L581" s="5">
        <f>1723 / 86400</f>
        <v>1.9942129629629629E-2</v>
      </c>
    </row>
    <row r="582" spans="1:12" x14ac:dyDescent="0.25">
      <c r="A582" s="3">
        <v>45707.680752314816</v>
      </c>
      <c r="B582" t="s">
        <v>394</v>
      </c>
      <c r="C582" s="3">
        <v>45707.854270833333</v>
      </c>
      <c r="D582" t="s">
        <v>110</v>
      </c>
      <c r="E582" s="4">
        <v>50.24</v>
      </c>
      <c r="F582" s="4">
        <v>509295.69300000003</v>
      </c>
      <c r="G582" s="4">
        <v>509345.93300000002</v>
      </c>
      <c r="H582" s="5">
        <f>5502 / 86400</f>
        <v>6.368055555555556E-2</v>
      </c>
      <c r="I582" t="s">
        <v>177</v>
      </c>
      <c r="J582" t="s">
        <v>148</v>
      </c>
      <c r="K582" s="5">
        <f>14992 / 86400</f>
        <v>0.17351851851851852</v>
      </c>
      <c r="L582" s="5">
        <f>797 / 86400</f>
        <v>9.2245370370370363E-3</v>
      </c>
    </row>
    <row r="583" spans="1:12" x14ac:dyDescent="0.25">
      <c r="A583" s="3">
        <v>45707.863495370373</v>
      </c>
      <c r="B583" t="s">
        <v>110</v>
      </c>
      <c r="C583" s="3">
        <v>45707.866099537037</v>
      </c>
      <c r="D583" t="s">
        <v>49</v>
      </c>
      <c r="E583" s="4">
        <v>0.83199999999999996</v>
      </c>
      <c r="F583" s="4">
        <v>509345.93300000002</v>
      </c>
      <c r="G583" s="4">
        <v>509346.76500000001</v>
      </c>
      <c r="H583" s="5">
        <f>20 / 86400</f>
        <v>2.3148148148148149E-4</v>
      </c>
      <c r="I583" t="s">
        <v>194</v>
      </c>
      <c r="J583" t="s">
        <v>62</v>
      </c>
      <c r="K583" s="5">
        <f>225 / 86400</f>
        <v>2.6041666666666665E-3</v>
      </c>
      <c r="L583" s="5">
        <f>1326 / 86400</f>
        <v>1.5347222222222222E-2</v>
      </c>
    </row>
    <row r="584" spans="1:12" x14ac:dyDescent="0.25">
      <c r="A584" s="3">
        <v>45707.88144675926</v>
      </c>
      <c r="B584" t="s">
        <v>49</v>
      </c>
      <c r="C584" s="3">
        <v>45707.889687499999</v>
      </c>
      <c r="D584" t="s">
        <v>39</v>
      </c>
      <c r="E584" s="4">
        <v>0.91</v>
      </c>
      <c r="F584" s="4">
        <v>509346.76500000001</v>
      </c>
      <c r="G584" s="4">
        <v>509347.67499999999</v>
      </c>
      <c r="H584" s="5">
        <f>360 / 86400</f>
        <v>4.1666666666666666E-3</v>
      </c>
      <c r="I584" t="s">
        <v>37</v>
      </c>
      <c r="J584" t="s">
        <v>134</v>
      </c>
      <c r="K584" s="5">
        <f>712 / 86400</f>
        <v>8.2407407407407412E-3</v>
      </c>
      <c r="L584" s="5">
        <f>9530 / 86400</f>
        <v>0.11030092592592593</v>
      </c>
    </row>
    <row r="585" spans="1:12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</row>
    <row r="586" spans="1:12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</row>
    <row r="587" spans="1:12" s="10" customFormat="1" ht="20.100000000000001" customHeight="1" x14ac:dyDescent="0.35">
      <c r="A587" s="15" t="s">
        <v>471</v>
      </c>
      <c r="B587" s="15"/>
      <c r="C587" s="15"/>
      <c r="D587" s="15"/>
      <c r="E587" s="15"/>
      <c r="F587" s="15"/>
      <c r="G587" s="15"/>
      <c r="H587" s="15"/>
      <c r="I587" s="15"/>
      <c r="J587" s="15"/>
    </row>
    <row r="588" spans="1:12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</row>
    <row r="589" spans="1:12" ht="30" x14ac:dyDescent="0.25">
      <c r="A589" s="2" t="s">
        <v>6</v>
      </c>
      <c r="B589" s="2" t="s">
        <v>7</v>
      </c>
      <c r="C589" s="2" t="s">
        <v>8</v>
      </c>
      <c r="D589" s="2" t="s">
        <v>9</v>
      </c>
      <c r="E589" s="2" t="s">
        <v>10</v>
      </c>
      <c r="F589" s="2" t="s">
        <v>11</v>
      </c>
      <c r="G589" s="2" t="s">
        <v>12</v>
      </c>
      <c r="H589" s="2" t="s">
        <v>13</v>
      </c>
      <c r="I589" s="2" t="s">
        <v>14</v>
      </c>
      <c r="J589" s="2" t="s">
        <v>15</v>
      </c>
      <c r="K589" s="2" t="s">
        <v>16</v>
      </c>
      <c r="L589" s="2" t="s">
        <v>17</v>
      </c>
    </row>
    <row r="590" spans="1:12" x14ac:dyDescent="0.25">
      <c r="A590" s="3">
        <v>45707.194456018522</v>
      </c>
      <c r="B590" t="s">
        <v>41</v>
      </c>
      <c r="C590" s="3">
        <v>45707.208599537036</v>
      </c>
      <c r="D590" t="s">
        <v>154</v>
      </c>
      <c r="E590" s="4">
        <v>1.105</v>
      </c>
      <c r="F590" s="4">
        <v>408374.95400000003</v>
      </c>
      <c r="G590" s="4">
        <v>408376.05900000001</v>
      </c>
      <c r="H590" s="5">
        <f>899 / 86400</f>
        <v>1.0405092592592593E-2</v>
      </c>
      <c r="I590" t="s">
        <v>166</v>
      </c>
      <c r="J590" t="s">
        <v>24</v>
      </c>
      <c r="K590" s="5">
        <f>1221 / 86400</f>
        <v>1.4131944444444445E-2</v>
      </c>
      <c r="L590" s="5">
        <f>18041 / 86400</f>
        <v>0.20880787037037038</v>
      </c>
    </row>
    <row r="591" spans="1:12" x14ac:dyDescent="0.25">
      <c r="A591" s="3">
        <v>45707.222951388889</v>
      </c>
      <c r="B591" t="s">
        <v>154</v>
      </c>
      <c r="C591" s="3">
        <v>45707.223506944443</v>
      </c>
      <c r="D591" t="s">
        <v>150</v>
      </c>
      <c r="E591" s="4">
        <v>4.2000000000000003E-2</v>
      </c>
      <c r="F591" s="4">
        <v>408376.05900000001</v>
      </c>
      <c r="G591" s="4">
        <v>408376.10100000002</v>
      </c>
      <c r="H591" s="5">
        <f>0 / 86400</f>
        <v>0</v>
      </c>
      <c r="I591" t="s">
        <v>101</v>
      </c>
      <c r="J591" t="s">
        <v>24</v>
      </c>
      <c r="K591" s="5">
        <f>48 / 86400</f>
        <v>5.5555555555555556E-4</v>
      </c>
      <c r="L591" s="5">
        <f>253 / 86400</f>
        <v>2.9282407407407408E-3</v>
      </c>
    </row>
    <row r="592" spans="1:12" x14ac:dyDescent="0.25">
      <c r="A592" s="3">
        <v>45707.226435185185</v>
      </c>
      <c r="B592" t="s">
        <v>150</v>
      </c>
      <c r="C592" s="3">
        <v>45707.337847222225</v>
      </c>
      <c r="D592" t="s">
        <v>395</v>
      </c>
      <c r="E592" s="4">
        <v>50.029000000000003</v>
      </c>
      <c r="F592" s="4">
        <v>408376.10100000002</v>
      </c>
      <c r="G592" s="4">
        <v>408426.13</v>
      </c>
      <c r="H592" s="5">
        <f>3341 / 86400</f>
        <v>3.8668981481481485E-2</v>
      </c>
      <c r="I592" t="s">
        <v>42</v>
      </c>
      <c r="J592" t="s">
        <v>33</v>
      </c>
      <c r="K592" s="5">
        <f>9625 / 86400</f>
        <v>0.11140046296296297</v>
      </c>
      <c r="L592" s="5">
        <f>217 / 86400</f>
        <v>2.5115740740740741E-3</v>
      </c>
    </row>
    <row r="593" spans="1:12" x14ac:dyDescent="0.25">
      <c r="A593" s="3">
        <v>45707.340358796297</v>
      </c>
      <c r="B593" t="s">
        <v>395</v>
      </c>
      <c r="C593" s="3">
        <v>45707.341620370367</v>
      </c>
      <c r="D593" t="s">
        <v>396</v>
      </c>
      <c r="E593" s="4">
        <v>0.26700000000000002</v>
      </c>
      <c r="F593" s="4">
        <v>408426.13</v>
      </c>
      <c r="G593" s="4">
        <v>408426.397</v>
      </c>
      <c r="H593" s="5">
        <f>0 / 86400</f>
        <v>0</v>
      </c>
      <c r="I593" t="s">
        <v>37</v>
      </c>
      <c r="J593" t="s">
        <v>132</v>
      </c>
      <c r="K593" s="5">
        <f>108 / 86400</f>
        <v>1.25E-3</v>
      </c>
      <c r="L593" s="5">
        <f>2617 / 86400</f>
        <v>3.0289351851851852E-2</v>
      </c>
    </row>
    <row r="594" spans="1:12" x14ac:dyDescent="0.25">
      <c r="A594" s="3">
        <v>45707.37190972222</v>
      </c>
      <c r="B594" t="s">
        <v>396</v>
      </c>
      <c r="C594" s="3">
        <v>45707.377233796295</v>
      </c>
      <c r="D594" t="s">
        <v>225</v>
      </c>
      <c r="E594" s="4">
        <v>0.49399999999999999</v>
      </c>
      <c r="F594" s="4">
        <v>408426.397</v>
      </c>
      <c r="G594" s="4">
        <v>408426.891</v>
      </c>
      <c r="H594" s="5">
        <f>300 / 86400</f>
        <v>3.472222222222222E-3</v>
      </c>
      <c r="I594" t="s">
        <v>148</v>
      </c>
      <c r="J594" t="s">
        <v>58</v>
      </c>
      <c r="K594" s="5">
        <f>459 / 86400</f>
        <v>5.3125000000000004E-3</v>
      </c>
      <c r="L594" s="5">
        <f>54 / 86400</f>
        <v>6.2500000000000001E-4</v>
      </c>
    </row>
    <row r="595" spans="1:12" x14ac:dyDescent="0.25">
      <c r="A595" s="3">
        <v>45707.377858796295</v>
      </c>
      <c r="B595" t="s">
        <v>225</v>
      </c>
      <c r="C595" s="3">
        <v>45707.378136574072</v>
      </c>
      <c r="D595" t="s">
        <v>225</v>
      </c>
      <c r="E595" s="4">
        <v>6.0000000000000001E-3</v>
      </c>
      <c r="F595" s="4">
        <v>408426.891</v>
      </c>
      <c r="G595" s="4">
        <v>408426.897</v>
      </c>
      <c r="H595" s="5">
        <f>0 / 86400</f>
        <v>0</v>
      </c>
      <c r="I595" t="s">
        <v>134</v>
      </c>
      <c r="J595" t="s">
        <v>127</v>
      </c>
      <c r="K595" s="5">
        <f>23 / 86400</f>
        <v>2.6620370370370372E-4</v>
      </c>
      <c r="L595" s="5">
        <f>179 / 86400</f>
        <v>2.0717592592592593E-3</v>
      </c>
    </row>
    <row r="596" spans="1:12" x14ac:dyDescent="0.25">
      <c r="A596" s="3">
        <v>45707.380208333328</v>
      </c>
      <c r="B596" t="s">
        <v>225</v>
      </c>
      <c r="C596" s="3">
        <v>45707.478842592594</v>
      </c>
      <c r="D596" t="s">
        <v>374</v>
      </c>
      <c r="E596" s="4">
        <v>37.770000000000003</v>
      </c>
      <c r="F596" s="4">
        <v>408426.897</v>
      </c>
      <c r="G596" s="4">
        <v>408464.66700000002</v>
      </c>
      <c r="H596" s="5">
        <f>2918 / 86400</f>
        <v>3.3773148148148149E-2</v>
      </c>
      <c r="I596" t="s">
        <v>273</v>
      </c>
      <c r="J596" t="s">
        <v>20</v>
      </c>
      <c r="K596" s="5">
        <f>8522 / 86400</f>
        <v>9.8634259259259255E-2</v>
      </c>
      <c r="L596" s="5">
        <f>8 / 86400</f>
        <v>9.2592592592592588E-5</v>
      </c>
    </row>
    <row r="597" spans="1:12" x14ac:dyDescent="0.25">
      <c r="A597" s="3">
        <v>45707.478935185187</v>
      </c>
      <c r="B597" t="s">
        <v>374</v>
      </c>
      <c r="C597" s="3">
        <v>45707.50403935185</v>
      </c>
      <c r="D597" t="s">
        <v>110</v>
      </c>
      <c r="E597" s="4">
        <v>11.835000000000001</v>
      </c>
      <c r="F597" s="4">
        <v>408464.72200000001</v>
      </c>
      <c r="G597" s="4">
        <v>408476.55699999997</v>
      </c>
      <c r="H597" s="5">
        <f>400 / 86400</f>
        <v>4.6296296296296294E-3</v>
      </c>
      <c r="I597" t="s">
        <v>193</v>
      </c>
      <c r="J597" t="s">
        <v>149</v>
      </c>
      <c r="K597" s="5">
        <f>2169 / 86400</f>
        <v>2.5104166666666667E-2</v>
      </c>
      <c r="L597" s="5">
        <f>49 / 86400</f>
        <v>5.6712962962962967E-4</v>
      </c>
    </row>
    <row r="598" spans="1:12" x14ac:dyDescent="0.25">
      <c r="A598" s="3">
        <v>45707.504606481481</v>
      </c>
      <c r="B598" t="s">
        <v>110</v>
      </c>
      <c r="C598" s="3">
        <v>45707.504641203705</v>
      </c>
      <c r="D598" t="s">
        <v>110</v>
      </c>
      <c r="E598" s="4">
        <v>0</v>
      </c>
      <c r="F598" s="4">
        <v>408476.55699999997</v>
      </c>
      <c r="G598" s="4">
        <v>408476.55699999997</v>
      </c>
      <c r="H598" s="5">
        <f>0 / 86400</f>
        <v>0</v>
      </c>
      <c r="I598" t="s">
        <v>72</v>
      </c>
      <c r="J598" t="s">
        <v>72</v>
      </c>
      <c r="K598" s="5">
        <f>2 / 86400</f>
        <v>2.3148148148148147E-5</v>
      </c>
      <c r="L598" s="5">
        <f>29 / 86400</f>
        <v>3.3564814814814812E-4</v>
      </c>
    </row>
    <row r="599" spans="1:12" x14ac:dyDescent="0.25">
      <c r="A599" s="3">
        <v>45707.504976851851</v>
      </c>
      <c r="B599" t="s">
        <v>110</v>
      </c>
      <c r="C599" s="3">
        <v>45707.505219907413</v>
      </c>
      <c r="D599" t="s">
        <v>110</v>
      </c>
      <c r="E599" s="4">
        <v>1.4E-2</v>
      </c>
      <c r="F599" s="4">
        <v>408476.55699999997</v>
      </c>
      <c r="G599" s="4">
        <v>408476.571</v>
      </c>
      <c r="H599" s="5">
        <f>19 / 86400</f>
        <v>2.199074074074074E-4</v>
      </c>
      <c r="I599" t="s">
        <v>72</v>
      </c>
      <c r="J599" t="s">
        <v>24</v>
      </c>
      <c r="K599" s="5">
        <f>20 / 86400</f>
        <v>2.3148148148148149E-4</v>
      </c>
      <c r="L599" s="5">
        <f>236 / 86400</f>
        <v>2.7314814814814814E-3</v>
      </c>
    </row>
    <row r="600" spans="1:12" x14ac:dyDescent="0.25">
      <c r="A600" s="3">
        <v>45707.507951388892</v>
      </c>
      <c r="B600" t="s">
        <v>110</v>
      </c>
      <c r="C600" s="3">
        <v>45707.509062500001</v>
      </c>
      <c r="D600" t="s">
        <v>120</v>
      </c>
      <c r="E600" s="4">
        <v>0.30199999999999999</v>
      </c>
      <c r="F600" s="4">
        <v>408476.571</v>
      </c>
      <c r="G600" s="4">
        <v>408476.87300000002</v>
      </c>
      <c r="H600" s="5">
        <f>19 / 86400</f>
        <v>2.199074074074074E-4</v>
      </c>
      <c r="I600" t="s">
        <v>178</v>
      </c>
      <c r="J600" t="s">
        <v>137</v>
      </c>
      <c r="K600" s="5">
        <f>95 / 86400</f>
        <v>1.0995370370370371E-3</v>
      </c>
      <c r="L600" s="5">
        <f>512 / 86400</f>
        <v>5.9259259259259256E-3</v>
      </c>
    </row>
    <row r="601" spans="1:12" x14ac:dyDescent="0.25">
      <c r="A601" s="3">
        <v>45707.51498842593</v>
      </c>
      <c r="B601" t="s">
        <v>120</v>
      </c>
      <c r="C601" s="3">
        <v>45707.516944444447</v>
      </c>
      <c r="D601" t="s">
        <v>154</v>
      </c>
      <c r="E601" s="4">
        <v>0.46500000000000002</v>
      </c>
      <c r="F601" s="4">
        <v>408476.87300000002</v>
      </c>
      <c r="G601" s="4">
        <v>408477.33799999999</v>
      </c>
      <c r="H601" s="5">
        <f>40 / 86400</f>
        <v>4.6296296296296298E-4</v>
      </c>
      <c r="I601" t="s">
        <v>84</v>
      </c>
      <c r="J601" t="s">
        <v>123</v>
      </c>
      <c r="K601" s="5">
        <f>168 / 86400</f>
        <v>1.9444444444444444E-3</v>
      </c>
      <c r="L601" s="5">
        <f>618 / 86400</f>
        <v>7.1527777777777779E-3</v>
      </c>
    </row>
    <row r="602" spans="1:12" x14ac:dyDescent="0.25">
      <c r="A602" s="3">
        <v>45707.524097222224</v>
      </c>
      <c r="B602" t="s">
        <v>154</v>
      </c>
      <c r="C602" s="3">
        <v>45707.585393518515</v>
      </c>
      <c r="D602" t="s">
        <v>91</v>
      </c>
      <c r="E602" s="4">
        <v>29.396999999999998</v>
      </c>
      <c r="F602" s="4">
        <v>408477.33799999999</v>
      </c>
      <c r="G602" s="4">
        <v>408506.73499999999</v>
      </c>
      <c r="H602" s="5">
        <f>1719 / 86400</f>
        <v>1.9895833333333335E-2</v>
      </c>
      <c r="I602" t="s">
        <v>302</v>
      </c>
      <c r="J602" t="s">
        <v>149</v>
      </c>
      <c r="K602" s="5">
        <f>5295 / 86400</f>
        <v>6.128472222222222E-2</v>
      </c>
      <c r="L602" s="5">
        <f>15 / 86400</f>
        <v>1.7361111111111112E-4</v>
      </c>
    </row>
    <row r="603" spans="1:12" x14ac:dyDescent="0.25">
      <c r="A603" s="3">
        <v>45707.58556712963</v>
      </c>
      <c r="B603" t="s">
        <v>91</v>
      </c>
      <c r="C603" s="3">
        <v>45707.589432870373</v>
      </c>
      <c r="D603" t="s">
        <v>376</v>
      </c>
      <c r="E603" s="4">
        <v>1.4810000000000001</v>
      </c>
      <c r="F603" s="4">
        <v>408506.73599999998</v>
      </c>
      <c r="G603" s="4">
        <v>408508.217</v>
      </c>
      <c r="H603" s="5">
        <f>100 / 86400</f>
        <v>1.1574074074074073E-3</v>
      </c>
      <c r="I603" t="s">
        <v>194</v>
      </c>
      <c r="J603" t="s">
        <v>20</v>
      </c>
      <c r="K603" s="5">
        <f>334 / 86400</f>
        <v>3.8657407407407408E-3</v>
      </c>
      <c r="L603" s="5">
        <f>6 / 86400</f>
        <v>6.9444444444444444E-5</v>
      </c>
    </row>
    <row r="604" spans="1:12" x14ac:dyDescent="0.25">
      <c r="A604" s="3">
        <v>45707.589502314819</v>
      </c>
      <c r="B604" t="s">
        <v>104</v>
      </c>
      <c r="C604" s="3">
        <v>45707.660752314812</v>
      </c>
      <c r="D604" t="s">
        <v>397</v>
      </c>
      <c r="E604" s="4">
        <v>18.853999999999999</v>
      </c>
      <c r="F604" s="4">
        <v>408508.22600000002</v>
      </c>
      <c r="G604" s="4">
        <v>408527.08</v>
      </c>
      <c r="H604" s="5">
        <f>2560 / 86400</f>
        <v>2.9629629629629631E-2</v>
      </c>
      <c r="I604" t="s">
        <v>265</v>
      </c>
      <c r="J604" t="s">
        <v>137</v>
      </c>
      <c r="K604" s="5">
        <f>6156 / 86400</f>
        <v>7.1249999999999994E-2</v>
      </c>
      <c r="L604" s="5">
        <f>2930 / 86400</f>
        <v>3.3912037037037039E-2</v>
      </c>
    </row>
    <row r="605" spans="1:12" x14ac:dyDescent="0.25">
      <c r="A605" s="3">
        <v>45707.694664351853</v>
      </c>
      <c r="B605" t="s">
        <v>397</v>
      </c>
      <c r="C605" s="3">
        <v>45707.88517361111</v>
      </c>
      <c r="D605" t="s">
        <v>108</v>
      </c>
      <c r="E605" s="4">
        <v>50.646999999999998</v>
      </c>
      <c r="F605" s="4">
        <v>408527.08</v>
      </c>
      <c r="G605" s="4">
        <v>408577.72700000001</v>
      </c>
      <c r="H605" s="5">
        <f>6862 / 86400</f>
        <v>7.9421296296296295E-2</v>
      </c>
      <c r="I605" t="s">
        <v>273</v>
      </c>
      <c r="J605" t="s">
        <v>137</v>
      </c>
      <c r="K605" s="5">
        <f>16459 / 86400</f>
        <v>0.19049768518518517</v>
      </c>
      <c r="L605" s="5">
        <f>645 / 86400</f>
        <v>7.4652777777777781E-3</v>
      </c>
    </row>
    <row r="606" spans="1:12" x14ac:dyDescent="0.25">
      <c r="A606" s="3">
        <v>45707.892638888894</v>
      </c>
      <c r="B606" t="s">
        <v>108</v>
      </c>
      <c r="C606" s="3">
        <v>45707.895104166666</v>
      </c>
      <c r="D606" t="s">
        <v>128</v>
      </c>
      <c r="E606" s="4">
        <v>0.63300000000000001</v>
      </c>
      <c r="F606" s="4">
        <v>408577.72700000001</v>
      </c>
      <c r="G606" s="4">
        <v>408578.36</v>
      </c>
      <c r="H606" s="5">
        <f>59 / 86400</f>
        <v>6.8287037037037036E-4</v>
      </c>
      <c r="I606" t="s">
        <v>185</v>
      </c>
      <c r="J606" t="s">
        <v>137</v>
      </c>
      <c r="K606" s="5">
        <f>213 / 86400</f>
        <v>2.4652777777777776E-3</v>
      </c>
      <c r="L606" s="5">
        <f>190 / 86400</f>
        <v>2.1990740740740742E-3</v>
      </c>
    </row>
    <row r="607" spans="1:12" x14ac:dyDescent="0.25">
      <c r="A607" s="3">
        <v>45707.897303240738</v>
      </c>
      <c r="B607" t="s">
        <v>128</v>
      </c>
      <c r="C607" s="3">
        <v>45707.901030092587</v>
      </c>
      <c r="D607" t="s">
        <v>41</v>
      </c>
      <c r="E607" s="4">
        <v>0.67200000000000004</v>
      </c>
      <c r="F607" s="4">
        <v>408578.36</v>
      </c>
      <c r="G607" s="4">
        <v>408579.03200000001</v>
      </c>
      <c r="H607" s="5">
        <f>60 / 86400</f>
        <v>6.9444444444444447E-4</v>
      </c>
      <c r="I607" t="s">
        <v>43</v>
      </c>
      <c r="J607" t="s">
        <v>31</v>
      </c>
      <c r="K607" s="5">
        <f>322 / 86400</f>
        <v>3.7268518518518519E-3</v>
      </c>
      <c r="L607" s="5">
        <f>8550 / 86400</f>
        <v>9.8958333333333329E-2</v>
      </c>
    </row>
    <row r="608" spans="1:12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</row>
    <row r="609" spans="1:12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</row>
    <row r="610" spans="1:12" s="10" customFormat="1" ht="20.100000000000001" customHeight="1" x14ac:dyDescent="0.35">
      <c r="A610" s="15" t="s">
        <v>472</v>
      </c>
      <c r="B610" s="15"/>
      <c r="C610" s="15"/>
      <c r="D610" s="15"/>
      <c r="E610" s="15"/>
      <c r="F610" s="15"/>
      <c r="G610" s="15"/>
      <c r="H610" s="15"/>
      <c r="I610" s="15"/>
      <c r="J610" s="15"/>
    </row>
    <row r="611" spans="1:12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</row>
    <row r="612" spans="1:12" ht="30" x14ac:dyDescent="0.25">
      <c r="A612" s="2" t="s">
        <v>6</v>
      </c>
      <c r="B612" s="2" t="s">
        <v>7</v>
      </c>
      <c r="C612" s="2" t="s">
        <v>8</v>
      </c>
      <c r="D612" s="2" t="s">
        <v>9</v>
      </c>
      <c r="E612" s="2" t="s">
        <v>10</v>
      </c>
      <c r="F612" s="2" t="s">
        <v>11</v>
      </c>
      <c r="G612" s="2" t="s">
        <v>12</v>
      </c>
      <c r="H612" s="2" t="s">
        <v>13</v>
      </c>
      <c r="I612" s="2" t="s">
        <v>14</v>
      </c>
      <c r="J612" s="2" t="s">
        <v>15</v>
      </c>
      <c r="K612" s="2" t="s">
        <v>16</v>
      </c>
      <c r="L612" s="2" t="s">
        <v>17</v>
      </c>
    </row>
    <row r="613" spans="1:12" x14ac:dyDescent="0.25">
      <c r="A613" s="3">
        <v>45707.280659722222</v>
      </c>
      <c r="B613" t="s">
        <v>44</v>
      </c>
      <c r="C613" s="3">
        <v>45707.285891203705</v>
      </c>
      <c r="D613" t="s">
        <v>398</v>
      </c>
      <c r="E613" s="4">
        <v>0.77400000000000002</v>
      </c>
      <c r="F613" s="4">
        <v>438498.93400000001</v>
      </c>
      <c r="G613" s="4">
        <v>438499.70799999998</v>
      </c>
      <c r="H613" s="5">
        <f>259 / 86400</f>
        <v>2.9976851851851853E-3</v>
      </c>
      <c r="I613" t="s">
        <v>161</v>
      </c>
      <c r="J613" t="s">
        <v>101</v>
      </c>
      <c r="K613" s="5">
        <f>451 / 86400</f>
        <v>5.2199074074074075E-3</v>
      </c>
      <c r="L613" s="5">
        <f>26913 / 86400</f>
        <v>0.31149305555555556</v>
      </c>
    </row>
    <row r="614" spans="1:12" x14ac:dyDescent="0.25">
      <c r="A614" s="3">
        <v>45707.316724537042</v>
      </c>
      <c r="B614" t="s">
        <v>159</v>
      </c>
      <c r="C614" s="3">
        <v>45707.579722222217</v>
      </c>
      <c r="D614" t="s">
        <v>44</v>
      </c>
      <c r="E614" s="4">
        <v>100.446</v>
      </c>
      <c r="F614" s="4">
        <v>438499.70799999998</v>
      </c>
      <c r="G614" s="4">
        <v>438600.15399999998</v>
      </c>
      <c r="H614" s="5">
        <f>7841 / 86400</f>
        <v>9.0752314814814813E-2</v>
      </c>
      <c r="I614" t="s">
        <v>45</v>
      </c>
      <c r="J614" t="s">
        <v>20</v>
      </c>
      <c r="K614" s="5">
        <f>22722 / 86400</f>
        <v>0.26298611111111109</v>
      </c>
      <c r="L614" s="5">
        <f>6608 / 86400</f>
        <v>7.6481481481481484E-2</v>
      </c>
    </row>
    <row r="615" spans="1:12" x14ac:dyDescent="0.25">
      <c r="A615" s="3">
        <v>45707.656203703707</v>
      </c>
      <c r="B615" t="s">
        <v>44</v>
      </c>
      <c r="C615" s="3">
        <v>45707.662719907406</v>
      </c>
      <c r="D615" t="s">
        <v>66</v>
      </c>
      <c r="E615" s="4">
        <v>1.056</v>
      </c>
      <c r="F615" s="4">
        <v>438600.15399999998</v>
      </c>
      <c r="G615" s="4">
        <v>438601.21</v>
      </c>
      <c r="H615" s="5">
        <f>259 / 86400</f>
        <v>2.9976851851851853E-3</v>
      </c>
      <c r="I615" t="s">
        <v>84</v>
      </c>
      <c r="J615" t="s">
        <v>85</v>
      </c>
      <c r="K615" s="5">
        <f>563 / 86400</f>
        <v>6.5162037037037037E-3</v>
      </c>
      <c r="L615" s="5">
        <f>223 / 86400</f>
        <v>2.5810185185185185E-3</v>
      </c>
    </row>
    <row r="616" spans="1:12" x14ac:dyDescent="0.25">
      <c r="A616" s="3">
        <v>45707.665300925924</v>
      </c>
      <c r="B616" t="s">
        <v>66</v>
      </c>
      <c r="C616" s="3">
        <v>45707.665578703702</v>
      </c>
      <c r="D616" t="s">
        <v>66</v>
      </c>
      <c r="E616" s="4">
        <v>0</v>
      </c>
      <c r="F616" s="4">
        <v>438601.21</v>
      </c>
      <c r="G616" s="4">
        <v>438601.21</v>
      </c>
      <c r="H616" s="5">
        <f>19 / 86400</f>
        <v>2.199074074074074E-4</v>
      </c>
      <c r="I616" t="s">
        <v>72</v>
      </c>
      <c r="J616" t="s">
        <v>72</v>
      </c>
      <c r="K616" s="5">
        <f>24 / 86400</f>
        <v>2.7777777777777778E-4</v>
      </c>
      <c r="L616" s="5">
        <f>132 / 86400</f>
        <v>1.5277777777777779E-3</v>
      </c>
    </row>
    <row r="617" spans="1:12" x14ac:dyDescent="0.25">
      <c r="A617" s="3">
        <v>45707.66710648148</v>
      </c>
      <c r="B617" t="s">
        <v>66</v>
      </c>
      <c r="C617" s="3">
        <v>45707.671041666668</v>
      </c>
      <c r="D617" t="s">
        <v>110</v>
      </c>
      <c r="E617" s="4">
        <v>0.19400000000000001</v>
      </c>
      <c r="F617" s="4">
        <v>438601.21</v>
      </c>
      <c r="G617" s="4">
        <v>438601.40399999998</v>
      </c>
      <c r="H617" s="5">
        <f>239 / 86400</f>
        <v>2.7662037037037039E-3</v>
      </c>
      <c r="I617" t="s">
        <v>84</v>
      </c>
      <c r="J617" t="s">
        <v>136</v>
      </c>
      <c r="K617" s="5">
        <f>339 / 86400</f>
        <v>3.9236111111111112E-3</v>
      </c>
      <c r="L617" s="5">
        <f>890 / 86400</f>
        <v>1.0300925925925925E-2</v>
      </c>
    </row>
    <row r="618" spans="1:12" x14ac:dyDescent="0.25">
      <c r="A618" s="3">
        <v>45707.681342592594</v>
      </c>
      <c r="B618" t="s">
        <v>110</v>
      </c>
      <c r="C618" s="3">
        <v>45707.682557870372</v>
      </c>
      <c r="D618" t="s">
        <v>110</v>
      </c>
      <c r="E618" s="4">
        <v>0.114</v>
      </c>
      <c r="F618" s="4">
        <v>438601.40399999998</v>
      </c>
      <c r="G618" s="4">
        <v>438601.51799999998</v>
      </c>
      <c r="H618" s="5">
        <f>19 / 86400</f>
        <v>2.199074074074074E-4</v>
      </c>
      <c r="I618" t="s">
        <v>31</v>
      </c>
      <c r="J618" t="s">
        <v>58</v>
      </c>
      <c r="K618" s="5">
        <f>105 / 86400</f>
        <v>1.2152777777777778E-3</v>
      </c>
      <c r="L618" s="5">
        <f>893 / 86400</f>
        <v>1.0335648148148148E-2</v>
      </c>
    </row>
    <row r="619" spans="1:12" x14ac:dyDescent="0.25">
      <c r="A619" s="3">
        <v>45707.692893518513</v>
      </c>
      <c r="B619" t="s">
        <v>120</v>
      </c>
      <c r="C619" s="3">
        <v>45707.69568287037</v>
      </c>
      <c r="D619" t="s">
        <v>44</v>
      </c>
      <c r="E619" s="4">
        <v>0.85099999999999998</v>
      </c>
      <c r="F619" s="4">
        <v>438601.51799999998</v>
      </c>
      <c r="G619" s="4">
        <v>438602.36900000001</v>
      </c>
      <c r="H619" s="5">
        <f>59 / 86400</f>
        <v>6.8287037037037036E-4</v>
      </c>
      <c r="I619" t="s">
        <v>202</v>
      </c>
      <c r="J619" t="s">
        <v>62</v>
      </c>
      <c r="K619" s="5">
        <f>240 / 86400</f>
        <v>2.7777777777777779E-3</v>
      </c>
      <c r="L619" s="5">
        <f>26292 / 86400</f>
        <v>0.30430555555555555</v>
      </c>
    </row>
    <row r="620" spans="1:12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</row>
    <row r="621" spans="1:12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</row>
    <row r="622" spans="1:12" s="10" customFormat="1" ht="20.100000000000001" customHeight="1" x14ac:dyDescent="0.35">
      <c r="A622" s="15" t="s">
        <v>473</v>
      </c>
      <c r="B622" s="15"/>
      <c r="C622" s="15"/>
      <c r="D622" s="15"/>
      <c r="E622" s="15"/>
      <c r="F622" s="15"/>
      <c r="G622" s="15"/>
      <c r="H622" s="15"/>
      <c r="I622" s="15"/>
      <c r="J622" s="15"/>
    </row>
    <row r="623" spans="1:12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</row>
    <row r="624" spans="1:12" ht="30" x14ac:dyDescent="0.25">
      <c r="A624" s="2" t="s">
        <v>6</v>
      </c>
      <c r="B624" s="2" t="s">
        <v>7</v>
      </c>
      <c r="C624" s="2" t="s">
        <v>8</v>
      </c>
      <c r="D624" s="2" t="s">
        <v>9</v>
      </c>
      <c r="E624" s="2" t="s">
        <v>10</v>
      </c>
      <c r="F624" s="2" t="s">
        <v>11</v>
      </c>
      <c r="G624" s="2" t="s">
        <v>12</v>
      </c>
      <c r="H624" s="2" t="s">
        <v>13</v>
      </c>
      <c r="I624" s="2" t="s">
        <v>14</v>
      </c>
      <c r="J624" s="2" t="s">
        <v>15</v>
      </c>
      <c r="K624" s="2" t="s">
        <v>16</v>
      </c>
      <c r="L624" s="2" t="s">
        <v>17</v>
      </c>
    </row>
    <row r="625" spans="1:12" x14ac:dyDescent="0.25">
      <c r="A625" s="3">
        <v>45707.133506944447</v>
      </c>
      <c r="B625" t="s">
        <v>21</v>
      </c>
      <c r="C625" s="3">
        <v>45707.214039351849</v>
      </c>
      <c r="D625" t="s">
        <v>22</v>
      </c>
      <c r="E625" s="4">
        <v>53.514000000000003</v>
      </c>
      <c r="F625" s="4">
        <v>55397.663</v>
      </c>
      <c r="G625" s="4">
        <v>55451.177000000003</v>
      </c>
      <c r="H625" s="5">
        <f>1479 / 86400</f>
        <v>1.7118055555555556E-2</v>
      </c>
      <c r="I625" t="s">
        <v>48</v>
      </c>
      <c r="J625" t="s">
        <v>178</v>
      </c>
      <c r="K625" s="5">
        <f>6957 / 86400</f>
        <v>8.0520833333333333E-2</v>
      </c>
      <c r="L625" s="5">
        <f>11602 / 86400</f>
        <v>0.13428240740740741</v>
      </c>
    </row>
    <row r="626" spans="1:12" x14ac:dyDescent="0.25">
      <c r="A626" s="3">
        <v>45707.214814814812</v>
      </c>
      <c r="B626" t="s">
        <v>22</v>
      </c>
      <c r="C626" s="3">
        <v>45707.315486111111</v>
      </c>
      <c r="D626" t="s">
        <v>130</v>
      </c>
      <c r="E626" s="4">
        <v>53.488999999999997</v>
      </c>
      <c r="F626" s="4">
        <v>55451.177000000003</v>
      </c>
      <c r="G626" s="4">
        <v>55504.665999999997</v>
      </c>
      <c r="H626" s="5">
        <f>1919 / 86400</f>
        <v>2.2210648148148149E-2</v>
      </c>
      <c r="I626" t="s">
        <v>96</v>
      </c>
      <c r="J626" t="s">
        <v>129</v>
      </c>
      <c r="K626" s="5">
        <f>8697 / 86400</f>
        <v>0.10065972222222222</v>
      </c>
      <c r="L626" s="5">
        <f>131 / 86400</f>
        <v>1.5162037037037036E-3</v>
      </c>
    </row>
    <row r="627" spans="1:12" x14ac:dyDescent="0.25">
      <c r="A627" s="3">
        <v>45707.317002314812</v>
      </c>
      <c r="B627" t="s">
        <v>130</v>
      </c>
      <c r="C627" s="3">
        <v>45707.317187499997</v>
      </c>
      <c r="D627" t="s">
        <v>130</v>
      </c>
      <c r="E627" s="4">
        <v>3.4000000000000002E-2</v>
      </c>
      <c r="F627" s="4">
        <v>55504.665999999997</v>
      </c>
      <c r="G627" s="4">
        <v>55504.7</v>
      </c>
      <c r="H627" s="5">
        <f>0 / 86400</f>
        <v>0</v>
      </c>
      <c r="I627" t="s">
        <v>85</v>
      </c>
      <c r="J627" t="s">
        <v>31</v>
      </c>
      <c r="K627" s="5">
        <f>16 / 86400</f>
        <v>1.8518518518518518E-4</v>
      </c>
      <c r="L627" s="5">
        <f>127 / 86400</f>
        <v>1.4699074074074074E-3</v>
      </c>
    </row>
    <row r="628" spans="1:12" x14ac:dyDescent="0.25">
      <c r="A628" s="3">
        <v>45707.318657407406</v>
      </c>
      <c r="B628" t="s">
        <v>130</v>
      </c>
      <c r="C628" s="3">
        <v>45707.3199537037</v>
      </c>
      <c r="D628" t="s">
        <v>398</v>
      </c>
      <c r="E628" s="4">
        <v>0.374</v>
      </c>
      <c r="F628" s="4">
        <v>55504.7</v>
      </c>
      <c r="G628" s="4">
        <v>55505.074000000001</v>
      </c>
      <c r="H628" s="5">
        <f>20 / 86400</f>
        <v>2.3148148148148149E-4</v>
      </c>
      <c r="I628" t="s">
        <v>149</v>
      </c>
      <c r="J628" t="s">
        <v>148</v>
      </c>
      <c r="K628" s="5">
        <f>112 / 86400</f>
        <v>1.2962962962962963E-3</v>
      </c>
      <c r="L628" s="5">
        <f>698 / 86400</f>
        <v>8.0787037037037043E-3</v>
      </c>
    </row>
    <row r="629" spans="1:12" x14ac:dyDescent="0.25">
      <c r="A629" s="3">
        <v>45707.328032407408</v>
      </c>
      <c r="B629" t="s">
        <v>398</v>
      </c>
      <c r="C629" s="3">
        <v>45707.583495370374</v>
      </c>
      <c r="D629" t="s">
        <v>110</v>
      </c>
      <c r="E629" s="4">
        <v>100.54600000000001</v>
      </c>
      <c r="F629" s="4">
        <v>55505.074000000001</v>
      </c>
      <c r="G629" s="4">
        <v>55605.62</v>
      </c>
      <c r="H629" s="5">
        <f>7978 / 86400</f>
        <v>9.2337962962962969E-2</v>
      </c>
      <c r="I629" t="s">
        <v>63</v>
      </c>
      <c r="J629" t="s">
        <v>20</v>
      </c>
      <c r="K629" s="5">
        <f>22072 / 86400</f>
        <v>0.25546296296296295</v>
      </c>
      <c r="L629" s="5">
        <f>404 / 86400</f>
        <v>4.6759259259259263E-3</v>
      </c>
    </row>
    <row r="630" spans="1:12" x14ac:dyDescent="0.25">
      <c r="A630" s="3">
        <v>45707.588171296295</v>
      </c>
      <c r="B630" t="s">
        <v>110</v>
      </c>
      <c r="C630" s="3">
        <v>45707.589317129634</v>
      </c>
      <c r="D630" t="s">
        <v>108</v>
      </c>
      <c r="E630" s="4">
        <v>0.186</v>
      </c>
      <c r="F630" s="4">
        <v>55605.62</v>
      </c>
      <c r="G630" s="4">
        <v>55605.805999999997</v>
      </c>
      <c r="H630" s="5">
        <f>58 / 86400</f>
        <v>6.7129629629629625E-4</v>
      </c>
      <c r="I630" t="s">
        <v>37</v>
      </c>
      <c r="J630" t="s">
        <v>85</v>
      </c>
      <c r="K630" s="5">
        <f>98 / 86400</f>
        <v>1.1342592592592593E-3</v>
      </c>
      <c r="L630" s="5">
        <f>12 / 86400</f>
        <v>1.3888888888888889E-4</v>
      </c>
    </row>
    <row r="631" spans="1:12" x14ac:dyDescent="0.25">
      <c r="A631" s="3">
        <v>45707.589456018519</v>
      </c>
      <c r="B631" t="s">
        <v>108</v>
      </c>
      <c r="C631" s="3">
        <v>45707.590127314819</v>
      </c>
      <c r="D631" t="s">
        <v>108</v>
      </c>
      <c r="E631" s="4">
        <v>2.8000000000000001E-2</v>
      </c>
      <c r="F631" s="4">
        <v>55605.805999999997</v>
      </c>
      <c r="G631" s="4">
        <v>55605.834000000003</v>
      </c>
      <c r="H631" s="5">
        <f>40 / 86400</f>
        <v>4.6296296296296298E-4</v>
      </c>
      <c r="I631" t="s">
        <v>85</v>
      </c>
      <c r="J631" t="s">
        <v>136</v>
      </c>
      <c r="K631" s="5">
        <f>58 / 86400</f>
        <v>6.7129629629629625E-4</v>
      </c>
      <c r="L631" s="5">
        <f>224 / 86400</f>
        <v>2.5925925925925925E-3</v>
      </c>
    </row>
    <row r="632" spans="1:12" x14ac:dyDescent="0.25">
      <c r="A632" s="3">
        <v>45707.592719907407</v>
      </c>
      <c r="B632" t="s">
        <v>108</v>
      </c>
      <c r="C632" s="3">
        <v>45707.594027777777</v>
      </c>
      <c r="D632" t="s">
        <v>120</v>
      </c>
      <c r="E632" s="4">
        <v>0.217</v>
      </c>
      <c r="F632" s="4">
        <v>55605.834000000003</v>
      </c>
      <c r="G632" s="4">
        <v>55606.050999999999</v>
      </c>
      <c r="H632" s="5">
        <f>0 / 86400</f>
        <v>0</v>
      </c>
      <c r="I632" t="s">
        <v>123</v>
      </c>
      <c r="J632" t="s">
        <v>85</v>
      </c>
      <c r="K632" s="5">
        <f>112 / 86400</f>
        <v>1.2962962962962963E-3</v>
      </c>
      <c r="L632" s="5">
        <f>574 / 86400</f>
        <v>6.6435185185185182E-3</v>
      </c>
    </row>
    <row r="633" spans="1:12" x14ac:dyDescent="0.25">
      <c r="A633" s="3">
        <v>45707.600671296299</v>
      </c>
      <c r="B633" t="s">
        <v>120</v>
      </c>
      <c r="C633" s="3">
        <v>45707.698912037042</v>
      </c>
      <c r="D633" t="s">
        <v>212</v>
      </c>
      <c r="E633" s="4">
        <v>46.554000000000002</v>
      </c>
      <c r="F633" s="4">
        <v>55606.050999999999</v>
      </c>
      <c r="G633" s="4">
        <v>55652.605000000003</v>
      </c>
      <c r="H633" s="5">
        <f>2642 / 86400</f>
        <v>3.0578703703703705E-2</v>
      </c>
      <c r="I633" t="s">
        <v>29</v>
      </c>
      <c r="J633" t="s">
        <v>149</v>
      </c>
      <c r="K633" s="5">
        <f>8487 / 86400</f>
        <v>9.8229166666666673E-2</v>
      </c>
      <c r="L633" s="5">
        <f>174 / 86400</f>
        <v>2.0138888888888888E-3</v>
      </c>
    </row>
    <row r="634" spans="1:12" x14ac:dyDescent="0.25">
      <c r="A634" s="3">
        <v>45707.700925925921</v>
      </c>
      <c r="B634" t="s">
        <v>212</v>
      </c>
      <c r="C634" s="3">
        <v>45707.847696759258</v>
      </c>
      <c r="D634" t="s">
        <v>399</v>
      </c>
      <c r="E634" s="4">
        <v>46.536999999999999</v>
      </c>
      <c r="F634" s="4">
        <v>55652.605000000003</v>
      </c>
      <c r="G634" s="4">
        <v>55699.142</v>
      </c>
      <c r="H634" s="5">
        <f>4679 / 86400</f>
        <v>5.4155092592592595E-2</v>
      </c>
      <c r="I634" t="s">
        <v>170</v>
      </c>
      <c r="J634" t="s">
        <v>62</v>
      </c>
      <c r="K634" s="5">
        <f>12681 / 86400</f>
        <v>0.14677083333333332</v>
      </c>
      <c r="L634" s="5">
        <f>564 / 86400</f>
        <v>6.5277777777777782E-3</v>
      </c>
    </row>
    <row r="635" spans="1:12" x14ac:dyDescent="0.25">
      <c r="A635" s="3">
        <v>45707.854224537034</v>
      </c>
      <c r="B635" t="s">
        <v>399</v>
      </c>
      <c r="C635" s="3">
        <v>45707.856064814812</v>
      </c>
      <c r="D635" t="s">
        <v>109</v>
      </c>
      <c r="E635" s="4">
        <v>0.43099999999999999</v>
      </c>
      <c r="F635" s="4">
        <v>55699.142</v>
      </c>
      <c r="G635" s="4">
        <v>55699.572999999997</v>
      </c>
      <c r="H635" s="5">
        <f>20 / 86400</f>
        <v>2.3148148148148149E-4</v>
      </c>
      <c r="I635" t="s">
        <v>84</v>
      </c>
      <c r="J635" t="s">
        <v>123</v>
      </c>
      <c r="K635" s="5">
        <f>159 / 86400</f>
        <v>1.8402777777777777E-3</v>
      </c>
      <c r="L635" s="5">
        <f>462 / 86400</f>
        <v>5.347222222222222E-3</v>
      </c>
    </row>
    <row r="636" spans="1:12" x14ac:dyDescent="0.25">
      <c r="A636" s="3">
        <v>45707.861412037033</v>
      </c>
      <c r="B636" t="s">
        <v>109</v>
      </c>
      <c r="C636" s="3">
        <v>45707.861747685187</v>
      </c>
      <c r="D636" t="s">
        <v>109</v>
      </c>
      <c r="E636" s="4">
        <v>7.1999999999999995E-2</v>
      </c>
      <c r="F636" s="4">
        <v>55699.572999999997</v>
      </c>
      <c r="G636" s="4">
        <v>55699.644999999997</v>
      </c>
      <c r="H636" s="5">
        <f>0 / 86400</f>
        <v>0</v>
      </c>
      <c r="I636" t="s">
        <v>62</v>
      </c>
      <c r="J636" t="s">
        <v>132</v>
      </c>
      <c r="K636" s="5">
        <f>29 / 86400</f>
        <v>3.3564814814814812E-4</v>
      </c>
      <c r="L636" s="5">
        <f>153 / 86400</f>
        <v>1.7708333333333332E-3</v>
      </c>
    </row>
    <row r="637" spans="1:12" x14ac:dyDescent="0.25">
      <c r="A637" s="3">
        <v>45707.863518518519</v>
      </c>
      <c r="B637" t="s">
        <v>109</v>
      </c>
      <c r="C637" s="3">
        <v>45707.863657407404</v>
      </c>
      <c r="D637" t="s">
        <v>109</v>
      </c>
      <c r="E637" s="4">
        <v>0</v>
      </c>
      <c r="F637" s="4">
        <v>55699.644999999997</v>
      </c>
      <c r="G637" s="4">
        <v>55699.644999999997</v>
      </c>
      <c r="H637" s="5">
        <f>0 / 86400</f>
        <v>0</v>
      </c>
      <c r="I637" t="s">
        <v>72</v>
      </c>
      <c r="J637" t="s">
        <v>72</v>
      </c>
      <c r="K637" s="5">
        <f>12 / 86400</f>
        <v>1.3888888888888889E-4</v>
      </c>
      <c r="L637" s="5">
        <f>112 / 86400</f>
        <v>1.2962962962962963E-3</v>
      </c>
    </row>
    <row r="638" spans="1:12" x14ac:dyDescent="0.25">
      <c r="A638" s="3">
        <v>45707.864953703705</v>
      </c>
      <c r="B638" t="s">
        <v>109</v>
      </c>
      <c r="C638" s="3">
        <v>45707.865150462967</v>
      </c>
      <c r="D638" t="s">
        <v>109</v>
      </c>
      <c r="E638" s="4">
        <v>0</v>
      </c>
      <c r="F638" s="4">
        <v>55699.644999999997</v>
      </c>
      <c r="G638" s="4">
        <v>55699.644999999997</v>
      </c>
      <c r="H638" s="5">
        <f>0 / 86400</f>
        <v>0</v>
      </c>
      <c r="I638" t="s">
        <v>72</v>
      </c>
      <c r="J638" t="s">
        <v>72</v>
      </c>
      <c r="K638" s="5">
        <f>17 / 86400</f>
        <v>1.9675925925925926E-4</v>
      </c>
      <c r="L638" s="5">
        <f>126 / 86400</f>
        <v>1.4583333333333334E-3</v>
      </c>
    </row>
    <row r="639" spans="1:12" x14ac:dyDescent="0.25">
      <c r="A639" s="3">
        <v>45707.866608796292</v>
      </c>
      <c r="B639" t="s">
        <v>109</v>
      </c>
      <c r="C639" s="3">
        <v>45707.866724537038</v>
      </c>
      <c r="D639" t="s">
        <v>109</v>
      </c>
      <c r="E639" s="4">
        <v>0</v>
      </c>
      <c r="F639" s="4">
        <v>55699.644999999997</v>
      </c>
      <c r="G639" s="4">
        <v>55699.644999999997</v>
      </c>
      <c r="H639" s="5">
        <f>0 / 86400</f>
        <v>0</v>
      </c>
      <c r="I639" t="s">
        <v>72</v>
      </c>
      <c r="J639" t="s">
        <v>72</v>
      </c>
      <c r="K639" s="5">
        <f>9 / 86400</f>
        <v>1.0416666666666667E-4</v>
      </c>
      <c r="L639" s="5">
        <f>308 / 86400</f>
        <v>3.5648148148148149E-3</v>
      </c>
    </row>
    <row r="640" spans="1:12" x14ac:dyDescent="0.25">
      <c r="A640" s="3">
        <v>45707.870289351849</v>
      </c>
      <c r="B640" t="s">
        <v>109</v>
      </c>
      <c r="C640" s="3">
        <v>45707.889363425929</v>
      </c>
      <c r="D640" t="s">
        <v>47</v>
      </c>
      <c r="E640" s="4">
        <v>5.7089999999999996</v>
      </c>
      <c r="F640" s="4">
        <v>55699.644999999997</v>
      </c>
      <c r="G640" s="4">
        <v>55705.353999999999</v>
      </c>
      <c r="H640" s="5">
        <f>280 / 86400</f>
        <v>3.2407407407407406E-3</v>
      </c>
      <c r="I640" t="s">
        <v>194</v>
      </c>
      <c r="J640" t="s">
        <v>148</v>
      </c>
      <c r="K640" s="5">
        <f>1648 / 86400</f>
        <v>1.9074074074074073E-2</v>
      </c>
      <c r="L640" s="5">
        <f>9558 / 86400</f>
        <v>0.110625</v>
      </c>
    </row>
    <row r="641" spans="1:12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</row>
    <row r="642" spans="1:12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</row>
    <row r="643" spans="1:12" s="10" customFormat="1" ht="20.100000000000001" customHeight="1" x14ac:dyDescent="0.35">
      <c r="A643" s="15" t="s">
        <v>474</v>
      </c>
      <c r="B643" s="15"/>
      <c r="C643" s="15"/>
      <c r="D643" s="15"/>
      <c r="E643" s="15"/>
      <c r="F643" s="15"/>
      <c r="G643" s="15"/>
      <c r="H643" s="15"/>
      <c r="I643" s="15"/>
      <c r="J643" s="15"/>
    </row>
    <row r="644" spans="1:12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</row>
    <row r="645" spans="1:12" ht="30" x14ac:dyDescent="0.25">
      <c r="A645" s="2" t="s">
        <v>6</v>
      </c>
      <c r="B645" s="2" t="s">
        <v>7</v>
      </c>
      <c r="C645" s="2" t="s">
        <v>8</v>
      </c>
      <c r="D645" s="2" t="s">
        <v>9</v>
      </c>
      <c r="E645" s="2" t="s">
        <v>10</v>
      </c>
      <c r="F645" s="2" t="s">
        <v>11</v>
      </c>
      <c r="G645" s="2" t="s">
        <v>12</v>
      </c>
      <c r="H645" s="2" t="s">
        <v>13</v>
      </c>
      <c r="I645" s="2" t="s">
        <v>14</v>
      </c>
      <c r="J645" s="2" t="s">
        <v>15</v>
      </c>
      <c r="K645" s="2" t="s">
        <v>16</v>
      </c>
      <c r="L645" s="2" t="s">
        <v>17</v>
      </c>
    </row>
    <row r="646" spans="1:12" x14ac:dyDescent="0.25">
      <c r="A646" s="3">
        <v>45707.25744212963</v>
      </c>
      <c r="B646" t="s">
        <v>49</v>
      </c>
      <c r="C646" s="3">
        <v>45707.257523148146</v>
      </c>
      <c r="D646" t="s">
        <v>49</v>
      </c>
      <c r="E646" s="4">
        <v>0</v>
      </c>
      <c r="F646" s="4">
        <v>217214.345</v>
      </c>
      <c r="G646" s="4">
        <v>217214.345</v>
      </c>
      <c r="H646" s="5">
        <f>0 / 86400</f>
        <v>0</v>
      </c>
      <c r="I646" t="s">
        <v>72</v>
      </c>
      <c r="J646" t="s">
        <v>72</v>
      </c>
      <c r="K646" s="5">
        <f>6 / 86400</f>
        <v>6.9444444444444444E-5</v>
      </c>
      <c r="L646" s="5">
        <f>23249 / 86400</f>
        <v>0.26908564814814817</v>
      </c>
    </row>
    <row r="647" spans="1:12" x14ac:dyDescent="0.25">
      <c r="A647" s="3">
        <v>45707.269166666665</v>
      </c>
      <c r="B647" t="s">
        <v>49</v>
      </c>
      <c r="C647" s="3">
        <v>45707.269201388888</v>
      </c>
      <c r="D647" t="s">
        <v>49</v>
      </c>
      <c r="E647" s="4">
        <v>0</v>
      </c>
      <c r="F647" s="4">
        <v>217214.345</v>
      </c>
      <c r="G647" s="4">
        <v>217214.345</v>
      </c>
      <c r="H647" s="5">
        <f>0 / 86400</f>
        <v>0</v>
      </c>
      <c r="I647" t="s">
        <v>72</v>
      </c>
      <c r="J647" t="s">
        <v>72</v>
      </c>
      <c r="K647" s="5">
        <f>3 / 86400</f>
        <v>3.4722222222222222E-5</v>
      </c>
      <c r="L647" s="5">
        <f>346 / 86400</f>
        <v>4.0046296296296297E-3</v>
      </c>
    </row>
    <row r="648" spans="1:12" x14ac:dyDescent="0.25">
      <c r="A648" s="3">
        <v>45707.273206018523</v>
      </c>
      <c r="B648" t="s">
        <v>49</v>
      </c>
      <c r="C648" s="3">
        <v>45707.273287037038</v>
      </c>
      <c r="D648" t="s">
        <v>49</v>
      </c>
      <c r="E648" s="4">
        <v>3.0000000000000001E-3</v>
      </c>
      <c r="F648" s="4">
        <v>217214.34599999999</v>
      </c>
      <c r="G648" s="4">
        <v>217214.34899999999</v>
      </c>
      <c r="H648" s="5">
        <f>0 / 86400</f>
        <v>0</v>
      </c>
      <c r="I648" t="s">
        <v>136</v>
      </c>
      <c r="J648" t="s">
        <v>136</v>
      </c>
      <c r="K648" s="5">
        <f>7 / 86400</f>
        <v>8.1018518518518516E-5</v>
      </c>
      <c r="L648" s="5">
        <f>229 / 86400</f>
        <v>2.650462962962963E-3</v>
      </c>
    </row>
    <row r="649" spans="1:12" x14ac:dyDescent="0.25">
      <c r="A649" s="3">
        <v>45707.275937500002</v>
      </c>
      <c r="B649" t="s">
        <v>49</v>
      </c>
      <c r="C649" s="3">
        <v>45707.277407407411</v>
      </c>
      <c r="D649" t="s">
        <v>49</v>
      </c>
      <c r="E649" s="4">
        <v>7.9000000000000001E-2</v>
      </c>
      <c r="F649" s="4">
        <v>217214.34899999999</v>
      </c>
      <c r="G649" s="4">
        <v>217214.42800000001</v>
      </c>
      <c r="H649" s="5">
        <f>60 / 86400</f>
        <v>6.9444444444444447E-4</v>
      </c>
      <c r="I649" t="s">
        <v>85</v>
      </c>
      <c r="J649" t="s">
        <v>136</v>
      </c>
      <c r="K649" s="5">
        <f>127 / 86400</f>
        <v>1.4699074074074074E-3</v>
      </c>
      <c r="L649" s="5">
        <f>4 / 86400</f>
        <v>4.6296296296296294E-5</v>
      </c>
    </row>
    <row r="650" spans="1:12" x14ac:dyDescent="0.25">
      <c r="A650" s="3">
        <v>45707.277453703704</v>
      </c>
      <c r="B650" t="s">
        <v>49</v>
      </c>
      <c r="C650" s="3">
        <v>45707.362199074079</v>
      </c>
      <c r="D650" t="s">
        <v>400</v>
      </c>
      <c r="E650" s="4">
        <v>40.466999999999999</v>
      </c>
      <c r="F650" s="4">
        <v>217214.42800000001</v>
      </c>
      <c r="G650" s="4">
        <v>217254.89499999999</v>
      </c>
      <c r="H650" s="5">
        <f>1899 / 86400</f>
        <v>2.1979166666666668E-2</v>
      </c>
      <c r="I650" t="s">
        <v>153</v>
      </c>
      <c r="J650" t="s">
        <v>149</v>
      </c>
      <c r="K650" s="5">
        <f>7322 / 86400</f>
        <v>8.4745370370370374E-2</v>
      </c>
      <c r="L650" s="5">
        <f>202 / 86400</f>
        <v>2.3379629629629631E-3</v>
      </c>
    </row>
    <row r="651" spans="1:12" x14ac:dyDescent="0.25">
      <c r="A651" s="3">
        <v>45707.364537037036</v>
      </c>
      <c r="B651" t="s">
        <v>400</v>
      </c>
      <c r="C651" s="3">
        <v>45707.365439814814</v>
      </c>
      <c r="D651" t="s">
        <v>400</v>
      </c>
      <c r="E651" s="4">
        <v>2E-3</v>
      </c>
      <c r="F651" s="4">
        <v>217254.89499999999</v>
      </c>
      <c r="G651" s="4">
        <v>217254.897</v>
      </c>
      <c r="H651" s="5">
        <f>59 / 86400</f>
        <v>6.8287037037037036E-4</v>
      </c>
      <c r="I651" t="s">
        <v>72</v>
      </c>
      <c r="J651" t="s">
        <v>72</v>
      </c>
      <c r="K651" s="5">
        <f>78 / 86400</f>
        <v>9.0277777777777774E-4</v>
      </c>
      <c r="L651" s="5">
        <f>14932 / 86400</f>
        <v>0.17282407407407407</v>
      </c>
    </row>
    <row r="652" spans="1:12" x14ac:dyDescent="0.25">
      <c r="A652" s="3">
        <v>45707.538263888884</v>
      </c>
      <c r="B652" t="s">
        <v>400</v>
      </c>
      <c r="C652" s="3">
        <v>45707.549085648148</v>
      </c>
      <c r="D652" t="s">
        <v>18</v>
      </c>
      <c r="E652" s="4">
        <v>1.012</v>
      </c>
      <c r="F652" s="4">
        <v>217254.897</v>
      </c>
      <c r="G652" s="4">
        <v>217255.90900000001</v>
      </c>
      <c r="H652" s="5">
        <f>579 / 86400</f>
        <v>6.7013888888888887E-3</v>
      </c>
      <c r="I652" t="s">
        <v>30</v>
      </c>
      <c r="J652" t="s">
        <v>58</v>
      </c>
      <c r="K652" s="5">
        <f>935 / 86400</f>
        <v>1.0821759259259258E-2</v>
      </c>
      <c r="L652" s="5">
        <f>1717 / 86400</f>
        <v>1.9872685185185184E-2</v>
      </c>
    </row>
    <row r="653" spans="1:12" x14ac:dyDescent="0.25">
      <c r="A653" s="3">
        <v>45707.56895833333</v>
      </c>
      <c r="B653" t="s">
        <v>18</v>
      </c>
      <c r="C653" s="3">
        <v>45707.646053240736</v>
      </c>
      <c r="D653" t="s">
        <v>120</v>
      </c>
      <c r="E653" s="4">
        <v>35.851999999999997</v>
      </c>
      <c r="F653" s="4">
        <v>217255.90900000001</v>
      </c>
      <c r="G653" s="4">
        <v>217291.761</v>
      </c>
      <c r="H653" s="5">
        <f>1760 / 86400</f>
        <v>2.0370370370370372E-2</v>
      </c>
      <c r="I653" t="s">
        <v>50</v>
      </c>
      <c r="J653" t="s">
        <v>33</v>
      </c>
      <c r="K653" s="5">
        <f>6661 / 86400</f>
        <v>7.7094907407407404E-2</v>
      </c>
      <c r="L653" s="5">
        <f>48 / 86400</f>
        <v>5.5555555555555556E-4</v>
      </c>
    </row>
    <row r="654" spans="1:12" x14ac:dyDescent="0.25">
      <c r="A654" s="3">
        <v>45707.646608796298</v>
      </c>
      <c r="B654" t="s">
        <v>120</v>
      </c>
      <c r="C654" s="3">
        <v>45707.647662037038</v>
      </c>
      <c r="D654" t="s">
        <v>110</v>
      </c>
      <c r="E654" s="4">
        <v>0.06</v>
      </c>
      <c r="F654" s="4">
        <v>217291.761</v>
      </c>
      <c r="G654" s="4">
        <v>217291.821</v>
      </c>
      <c r="H654" s="5">
        <f>20 / 86400</f>
        <v>2.3148148148148149E-4</v>
      </c>
      <c r="I654" t="s">
        <v>85</v>
      </c>
      <c r="J654" t="s">
        <v>136</v>
      </c>
      <c r="K654" s="5">
        <f>90 / 86400</f>
        <v>1.0416666666666667E-3</v>
      </c>
      <c r="L654" s="5">
        <f>778 / 86400</f>
        <v>9.0046296296296298E-3</v>
      </c>
    </row>
    <row r="655" spans="1:12" x14ac:dyDescent="0.25">
      <c r="A655" s="3">
        <v>45707.656666666662</v>
      </c>
      <c r="B655" t="s">
        <v>110</v>
      </c>
      <c r="C655" s="3">
        <v>45707.656805555554</v>
      </c>
      <c r="D655" t="s">
        <v>110</v>
      </c>
      <c r="E655" s="4">
        <v>0</v>
      </c>
      <c r="F655" s="4">
        <v>217291.821</v>
      </c>
      <c r="G655" s="4">
        <v>217291.821</v>
      </c>
      <c r="H655" s="5">
        <f>0 / 86400</f>
        <v>0</v>
      </c>
      <c r="I655" t="s">
        <v>72</v>
      </c>
      <c r="J655" t="s">
        <v>72</v>
      </c>
      <c r="K655" s="5">
        <f>12 / 86400</f>
        <v>1.3888888888888889E-4</v>
      </c>
      <c r="L655" s="5">
        <f>447 / 86400</f>
        <v>5.1736111111111115E-3</v>
      </c>
    </row>
    <row r="656" spans="1:12" x14ac:dyDescent="0.25">
      <c r="A656" s="3">
        <v>45707.661979166667</v>
      </c>
      <c r="B656" t="s">
        <v>110</v>
      </c>
      <c r="C656" s="3">
        <v>45707.663148148145</v>
      </c>
      <c r="D656" t="s">
        <v>108</v>
      </c>
      <c r="E656" s="4">
        <v>0.114</v>
      </c>
      <c r="F656" s="4">
        <v>217291.821</v>
      </c>
      <c r="G656" s="4">
        <v>217291.935</v>
      </c>
      <c r="H656" s="5">
        <f>39 / 86400</f>
        <v>4.5138888888888887E-4</v>
      </c>
      <c r="I656" t="s">
        <v>20</v>
      </c>
      <c r="J656" t="s">
        <v>58</v>
      </c>
      <c r="K656" s="5">
        <f>100 / 86400</f>
        <v>1.1574074074074073E-3</v>
      </c>
      <c r="L656" s="5">
        <f>395 / 86400</f>
        <v>4.5717592592592589E-3</v>
      </c>
    </row>
    <row r="657" spans="1:12" x14ac:dyDescent="0.25">
      <c r="A657" s="3">
        <v>45707.667719907404</v>
      </c>
      <c r="B657" t="s">
        <v>108</v>
      </c>
      <c r="C657" s="3">
        <v>45707.670381944445</v>
      </c>
      <c r="D657" t="s">
        <v>108</v>
      </c>
      <c r="E657" s="4">
        <v>6.8000000000000005E-2</v>
      </c>
      <c r="F657" s="4">
        <v>217291.935</v>
      </c>
      <c r="G657" s="4">
        <v>217292.003</v>
      </c>
      <c r="H657" s="5">
        <f>220 / 86400</f>
        <v>2.5462962962962965E-3</v>
      </c>
      <c r="I657" t="s">
        <v>137</v>
      </c>
      <c r="J657" t="s">
        <v>127</v>
      </c>
      <c r="K657" s="5">
        <f>230 / 86400</f>
        <v>2.662037037037037E-3</v>
      </c>
      <c r="L657" s="5">
        <f>531 / 86400</f>
        <v>6.145833333333333E-3</v>
      </c>
    </row>
    <row r="658" spans="1:12" x14ac:dyDescent="0.25">
      <c r="A658" s="3">
        <v>45707.676527777774</v>
      </c>
      <c r="B658" t="s">
        <v>108</v>
      </c>
      <c r="C658" s="3">
        <v>45707.678553240738</v>
      </c>
      <c r="D658" t="s">
        <v>401</v>
      </c>
      <c r="E658" s="4">
        <v>0.84599999999999997</v>
      </c>
      <c r="F658" s="4">
        <v>217292.003</v>
      </c>
      <c r="G658" s="4">
        <v>217292.84899999999</v>
      </c>
      <c r="H658" s="5">
        <f>19 / 86400</f>
        <v>2.199074074074074E-4</v>
      </c>
      <c r="I658" t="s">
        <v>181</v>
      </c>
      <c r="J658" t="s">
        <v>27</v>
      </c>
      <c r="K658" s="5">
        <f>174 / 86400</f>
        <v>2.0138888888888888E-3</v>
      </c>
      <c r="L658" s="5">
        <f>1161 / 86400</f>
        <v>1.34375E-2</v>
      </c>
    </row>
    <row r="659" spans="1:12" x14ac:dyDescent="0.25">
      <c r="A659" s="3">
        <v>45707.691990740743</v>
      </c>
      <c r="B659" t="s">
        <v>401</v>
      </c>
      <c r="C659" s="3">
        <v>45707.692511574074</v>
      </c>
      <c r="D659" t="s">
        <v>401</v>
      </c>
      <c r="E659" s="4">
        <v>0.04</v>
      </c>
      <c r="F659" s="4">
        <v>217292.84899999999</v>
      </c>
      <c r="G659" s="4">
        <v>217292.889</v>
      </c>
      <c r="H659" s="5">
        <f>0 / 86400</f>
        <v>0</v>
      </c>
      <c r="I659" t="s">
        <v>134</v>
      </c>
      <c r="J659" t="s">
        <v>24</v>
      </c>
      <c r="K659" s="5">
        <f>45 / 86400</f>
        <v>5.2083333333333333E-4</v>
      </c>
      <c r="L659" s="5">
        <f>551 / 86400</f>
        <v>6.3773148148148148E-3</v>
      </c>
    </row>
    <row r="660" spans="1:12" x14ac:dyDescent="0.25">
      <c r="A660" s="3">
        <v>45707.698888888888</v>
      </c>
      <c r="B660" t="s">
        <v>401</v>
      </c>
      <c r="C660" s="3">
        <v>45707.701215277775</v>
      </c>
      <c r="D660" t="s">
        <v>154</v>
      </c>
      <c r="E660" s="4">
        <v>0.71599999999999997</v>
      </c>
      <c r="F660" s="4">
        <v>217292.889</v>
      </c>
      <c r="G660" s="4">
        <v>217293.60500000001</v>
      </c>
      <c r="H660" s="5">
        <f>20 / 86400</f>
        <v>2.3148148148148149E-4</v>
      </c>
      <c r="I660" t="s">
        <v>172</v>
      </c>
      <c r="J660" t="s">
        <v>62</v>
      </c>
      <c r="K660" s="5">
        <f>201 / 86400</f>
        <v>2.3263888888888887E-3</v>
      </c>
      <c r="L660" s="5">
        <f>68 / 86400</f>
        <v>7.8703703703703705E-4</v>
      </c>
    </row>
    <row r="661" spans="1:12" x14ac:dyDescent="0.25">
      <c r="A661" s="3">
        <v>45707.702002314814</v>
      </c>
      <c r="B661" t="s">
        <v>154</v>
      </c>
      <c r="C661" s="3">
        <v>45707.702141203699</v>
      </c>
      <c r="D661" t="s">
        <v>154</v>
      </c>
      <c r="E661" s="4">
        <v>0</v>
      </c>
      <c r="F661" s="4">
        <v>217293.60500000001</v>
      </c>
      <c r="G661" s="4">
        <v>217293.60500000001</v>
      </c>
      <c r="H661" s="5">
        <f>0 / 86400</f>
        <v>0</v>
      </c>
      <c r="I661" t="s">
        <v>72</v>
      </c>
      <c r="J661" t="s">
        <v>72</v>
      </c>
      <c r="K661" s="5">
        <f>11 / 86400</f>
        <v>1.273148148148148E-4</v>
      </c>
      <c r="L661" s="5">
        <f>82 / 86400</f>
        <v>9.4907407407407408E-4</v>
      </c>
    </row>
    <row r="662" spans="1:12" x14ac:dyDescent="0.25">
      <c r="A662" s="3">
        <v>45707.703090277777</v>
      </c>
      <c r="B662" t="s">
        <v>154</v>
      </c>
      <c r="C662" s="3">
        <v>45707.703240740739</v>
      </c>
      <c r="D662" t="s">
        <v>154</v>
      </c>
      <c r="E662" s="4">
        <v>2E-3</v>
      </c>
      <c r="F662" s="4">
        <v>217293.60500000001</v>
      </c>
      <c r="G662" s="4">
        <v>217293.60699999999</v>
      </c>
      <c r="H662" s="5">
        <f>0 / 86400</f>
        <v>0</v>
      </c>
      <c r="I662" t="s">
        <v>72</v>
      </c>
      <c r="J662" t="s">
        <v>127</v>
      </c>
      <c r="K662" s="5">
        <f>13 / 86400</f>
        <v>1.5046296296296297E-4</v>
      </c>
      <c r="L662" s="5">
        <f>79 / 86400</f>
        <v>9.1435185185185185E-4</v>
      </c>
    </row>
    <row r="663" spans="1:12" x14ac:dyDescent="0.25">
      <c r="A663" s="3">
        <v>45707.704155092593</v>
      </c>
      <c r="B663" t="s">
        <v>154</v>
      </c>
      <c r="C663" s="3">
        <v>45707.704513888893</v>
      </c>
      <c r="D663" t="s">
        <v>159</v>
      </c>
      <c r="E663" s="4">
        <v>6.0000000000000001E-3</v>
      </c>
      <c r="F663" s="4">
        <v>217293.60699999999</v>
      </c>
      <c r="G663" s="4">
        <v>217293.61300000001</v>
      </c>
      <c r="H663" s="5">
        <f>19 / 86400</f>
        <v>2.199074074074074E-4</v>
      </c>
      <c r="I663" t="s">
        <v>72</v>
      </c>
      <c r="J663" t="s">
        <v>127</v>
      </c>
      <c r="K663" s="5">
        <f>30 / 86400</f>
        <v>3.4722222222222224E-4</v>
      </c>
      <c r="L663" s="5">
        <f>232 / 86400</f>
        <v>2.685185185185185E-3</v>
      </c>
    </row>
    <row r="664" spans="1:12" x14ac:dyDescent="0.25">
      <c r="A664" s="3">
        <v>45707.707199074073</v>
      </c>
      <c r="B664" t="s">
        <v>159</v>
      </c>
      <c r="C664" s="3">
        <v>45707.707418981481</v>
      </c>
      <c r="D664" t="s">
        <v>154</v>
      </c>
      <c r="E664" s="4">
        <v>1.7000000000000001E-2</v>
      </c>
      <c r="F664" s="4">
        <v>217293.61300000001</v>
      </c>
      <c r="G664" s="4">
        <v>217293.63</v>
      </c>
      <c r="H664" s="5">
        <f>0 / 86400</f>
        <v>0</v>
      </c>
      <c r="I664" t="s">
        <v>72</v>
      </c>
      <c r="J664" t="s">
        <v>24</v>
      </c>
      <c r="K664" s="5">
        <f>18 / 86400</f>
        <v>2.0833333333333335E-4</v>
      </c>
      <c r="L664" s="5">
        <f>304 / 86400</f>
        <v>3.5185185185185185E-3</v>
      </c>
    </row>
    <row r="665" spans="1:12" x14ac:dyDescent="0.25">
      <c r="A665" s="3">
        <v>45707.7109375</v>
      </c>
      <c r="B665" t="s">
        <v>154</v>
      </c>
      <c r="C665" s="3">
        <v>45707.711192129631</v>
      </c>
      <c r="D665" t="s">
        <v>150</v>
      </c>
      <c r="E665" s="4">
        <v>7.0000000000000001E-3</v>
      </c>
      <c r="F665" s="4">
        <v>217293.63</v>
      </c>
      <c r="G665" s="4">
        <v>217293.63699999999</v>
      </c>
      <c r="H665" s="5">
        <f>19 / 86400</f>
        <v>2.199074074074074E-4</v>
      </c>
      <c r="I665" t="s">
        <v>72</v>
      </c>
      <c r="J665" t="s">
        <v>127</v>
      </c>
      <c r="K665" s="5">
        <f>21 / 86400</f>
        <v>2.4305555555555555E-4</v>
      </c>
      <c r="L665" s="5">
        <f>258 / 86400</f>
        <v>2.9861111111111113E-3</v>
      </c>
    </row>
    <row r="666" spans="1:12" x14ac:dyDescent="0.25">
      <c r="A666" s="3">
        <v>45707.714178240742</v>
      </c>
      <c r="B666" t="s">
        <v>150</v>
      </c>
      <c r="C666" s="3">
        <v>45707.714351851857</v>
      </c>
      <c r="D666" t="s">
        <v>152</v>
      </c>
      <c r="E666" s="4">
        <v>6.0000000000000001E-3</v>
      </c>
      <c r="F666" s="4">
        <v>217293.63699999999</v>
      </c>
      <c r="G666" s="4">
        <v>217293.64300000001</v>
      </c>
      <c r="H666" s="5">
        <f>9 / 86400</f>
        <v>1.0416666666666667E-4</v>
      </c>
      <c r="I666" t="s">
        <v>72</v>
      </c>
      <c r="J666" t="s">
        <v>127</v>
      </c>
      <c r="K666" s="5">
        <f>15 / 86400</f>
        <v>1.7361111111111112E-4</v>
      </c>
      <c r="L666" s="5">
        <f>356 / 86400</f>
        <v>4.1203703703703706E-3</v>
      </c>
    </row>
    <row r="667" spans="1:12" x14ac:dyDescent="0.25">
      <c r="A667" s="3">
        <v>45707.718472222223</v>
      </c>
      <c r="B667" t="s">
        <v>150</v>
      </c>
      <c r="C667" s="3">
        <v>45707.718935185185</v>
      </c>
      <c r="D667" t="s">
        <v>150</v>
      </c>
      <c r="E667" s="4">
        <v>0</v>
      </c>
      <c r="F667" s="4">
        <v>217293.64300000001</v>
      </c>
      <c r="G667" s="4">
        <v>217293.64300000001</v>
      </c>
      <c r="H667" s="5">
        <f>19 / 86400</f>
        <v>2.199074074074074E-4</v>
      </c>
      <c r="I667" t="s">
        <v>72</v>
      </c>
      <c r="J667" t="s">
        <v>72</v>
      </c>
      <c r="K667" s="5">
        <f>40 / 86400</f>
        <v>4.6296296296296298E-4</v>
      </c>
      <c r="L667" s="5">
        <f>122 / 86400</f>
        <v>1.4120370370370369E-3</v>
      </c>
    </row>
    <row r="668" spans="1:12" x14ac:dyDescent="0.25">
      <c r="A668" s="3">
        <v>45707.720347222217</v>
      </c>
      <c r="B668" t="s">
        <v>150</v>
      </c>
      <c r="C668" s="3">
        <v>45707.77412037037</v>
      </c>
      <c r="D668" t="s">
        <v>79</v>
      </c>
      <c r="E668" s="4">
        <v>22.927</v>
      </c>
      <c r="F668" s="4">
        <v>217293.64300000001</v>
      </c>
      <c r="G668" s="4">
        <v>217316.57</v>
      </c>
      <c r="H668" s="5">
        <f>1619 / 86400</f>
        <v>1.8738425925925926E-2</v>
      </c>
      <c r="I668" t="s">
        <v>382</v>
      </c>
      <c r="J668" t="s">
        <v>27</v>
      </c>
      <c r="K668" s="5">
        <f>4645 / 86400</f>
        <v>5.3761574074074073E-2</v>
      </c>
      <c r="L668" s="5">
        <f>350 / 86400</f>
        <v>4.0509259259259257E-3</v>
      </c>
    </row>
    <row r="669" spans="1:12" x14ac:dyDescent="0.25">
      <c r="A669" s="3">
        <v>45707.778171296297</v>
      </c>
      <c r="B669" t="s">
        <v>79</v>
      </c>
      <c r="C669" s="3">
        <v>45707.842499999999</v>
      </c>
      <c r="D669" t="s">
        <v>49</v>
      </c>
      <c r="E669" s="4">
        <v>23.332000000000001</v>
      </c>
      <c r="F669" s="4">
        <v>217316.57</v>
      </c>
      <c r="G669" s="4">
        <v>217339.902</v>
      </c>
      <c r="H669" s="5">
        <f>2299 / 86400</f>
        <v>2.6608796296296297E-2</v>
      </c>
      <c r="I669" t="s">
        <v>282</v>
      </c>
      <c r="J669" t="s">
        <v>46</v>
      </c>
      <c r="K669" s="5">
        <f>5558 / 86400</f>
        <v>6.4328703703703707E-2</v>
      </c>
      <c r="L669" s="5">
        <f>270 / 86400</f>
        <v>3.1250000000000002E-3</v>
      </c>
    </row>
    <row r="670" spans="1:12" x14ac:dyDescent="0.25">
      <c r="A670" s="3">
        <v>45707.845625000002</v>
      </c>
      <c r="B670" t="s">
        <v>49</v>
      </c>
      <c r="C670" s="3">
        <v>45707.849004629628</v>
      </c>
      <c r="D670" t="s">
        <v>49</v>
      </c>
      <c r="E670" s="4">
        <v>0</v>
      </c>
      <c r="F670" s="4">
        <v>217339.902</v>
      </c>
      <c r="G670" s="4">
        <v>217339.902</v>
      </c>
      <c r="H670" s="5">
        <f>279 / 86400</f>
        <v>3.2291666666666666E-3</v>
      </c>
      <c r="I670" t="s">
        <v>72</v>
      </c>
      <c r="J670" t="s">
        <v>72</v>
      </c>
      <c r="K670" s="5">
        <f>291 / 86400</f>
        <v>3.3680555555555556E-3</v>
      </c>
      <c r="L670" s="5">
        <f>136 / 86400</f>
        <v>1.5740740740740741E-3</v>
      </c>
    </row>
    <row r="671" spans="1:12" x14ac:dyDescent="0.25">
      <c r="A671" s="3">
        <v>45707.850578703699</v>
      </c>
      <c r="B671" t="s">
        <v>49</v>
      </c>
      <c r="C671" s="3">
        <v>45707.852627314816</v>
      </c>
      <c r="D671" t="s">
        <v>49</v>
      </c>
      <c r="E671" s="4">
        <v>9.0999999999999998E-2</v>
      </c>
      <c r="F671" s="4">
        <v>217339.902</v>
      </c>
      <c r="G671" s="4">
        <v>217339.99299999999</v>
      </c>
      <c r="H671" s="5">
        <f>80 / 86400</f>
        <v>9.2592592592592596E-4</v>
      </c>
      <c r="I671" t="s">
        <v>123</v>
      </c>
      <c r="J671" t="s">
        <v>136</v>
      </c>
      <c r="K671" s="5">
        <f>177 / 86400</f>
        <v>2.0486111111111113E-3</v>
      </c>
      <c r="L671" s="5">
        <f>2 / 86400</f>
        <v>2.3148148148148147E-5</v>
      </c>
    </row>
    <row r="672" spans="1:12" x14ac:dyDescent="0.25">
      <c r="A672" s="3">
        <v>45707.852650462963</v>
      </c>
      <c r="B672" t="s">
        <v>49</v>
      </c>
      <c r="C672" s="3">
        <v>45707.852812500001</v>
      </c>
      <c r="D672" t="s">
        <v>49</v>
      </c>
      <c r="E672" s="4">
        <v>0</v>
      </c>
      <c r="F672" s="4">
        <v>217339.99299999999</v>
      </c>
      <c r="G672" s="4">
        <v>217339.99299999999</v>
      </c>
      <c r="H672" s="5">
        <f>1 / 86400</f>
        <v>1.1574074074074073E-5</v>
      </c>
      <c r="I672" t="s">
        <v>72</v>
      </c>
      <c r="J672" t="s">
        <v>72</v>
      </c>
      <c r="K672" s="5">
        <f>14 / 86400</f>
        <v>1.6203703703703703E-4</v>
      </c>
      <c r="L672" s="5">
        <f>12716 / 86400</f>
        <v>0.14717592592592593</v>
      </c>
    </row>
    <row r="673" spans="1:12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</row>
    <row r="674" spans="1:12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</row>
    <row r="675" spans="1:12" s="10" customFormat="1" ht="20.100000000000001" customHeight="1" x14ac:dyDescent="0.35">
      <c r="A675" s="15" t="s">
        <v>475</v>
      </c>
      <c r="B675" s="15"/>
      <c r="C675" s="15"/>
      <c r="D675" s="15"/>
      <c r="E675" s="15"/>
      <c r="F675" s="15"/>
      <c r="G675" s="15"/>
      <c r="H675" s="15"/>
      <c r="I675" s="15"/>
      <c r="J675" s="15"/>
    </row>
    <row r="676" spans="1:12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</row>
    <row r="677" spans="1:12" ht="30" x14ac:dyDescent="0.25">
      <c r="A677" s="2" t="s">
        <v>6</v>
      </c>
      <c r="B677" s="2" t="s">
        <v>7</v>
      </c>
      <c r="C677" s="2" t="s">
        <v>8</v>
      </c>
      <c r="D677" s="2" t="s">
        <v>9</v>
      </c>
      <c r="E677" s="2" t="s">
        <v>10</v>
      </c>
      <c r="F677" s="2" t="s">
        <v>11</v>
      </c>
      <c r="G677" s="2" t="s">
        <v>12</v>
      </c>
      <c r="H677" s="2" t="s">
        <v>13</v>
      </c>
      <c r="I677" s="2" t="s">
        <v>14</v>
      </c>
      <c r="J677" s="2" t="s">
        <v>15</v>
      </c>
      <c r="K677" s="2" t="s">
        <v>16</v>
      </c>
      <c r="L677" s="2" t="s">
        <v>17</v>
      </c>
    </row>
    <row r="678" spans="1:12" x14ac:dyDescent="0.25">
      <c r="A678" s="3">
        <v>45707.263090277775</v>
      </c>
      <c r="B678" t="s">
        <v>51</v>
      </c>
      <c r="C678" s="3">
        <v>45707.36891203704</v>
      </c>
      <c r="D678" t="s">
        <v>22</v>
      </c>
      <c r="E678" s="4">
        <v>33.345000000119207</v>
      </c>
      <c r="F678" s="4">
        <v>526224.89099999995</v>
      </c>
      <c r="G678" s="4">
        <v>526258.23600000003</v>
      </c>
      <c r="H678" s="5">
        <f>3318 / 86400</f>
        <v>3.8402777777777779E-2</v>
      </c>
      <c r="I678" t="s">
        <v>293</v>
      </c>
      <c r="J678" t="s">
        <v>62</v>
      </c>
      <c r="K678" s="5">
        <f>9143 / 86400</f>
        <v>0.10582175925925925</v>
      </c>
      <c r="L678" s="5">
        <f>22847 / 86400</f>
        <v>0.26443287037037039</v>
      </c>
    </row>
    <row r="679" spans="1:12" x14ac:dyDescent="0.25">
      <c r="A679" s="3">
        <v>45707.370254629626</v>
      </c>
      <c r="B679" t="s">
        <v>22</v>
      </c>
      <c r="C679" s="3">
        <v>45707.374409722222</v>
      </c>
      <c r="D679" t="s">
        <v>402</v>
      </c>
      <c r="E679" s="4">
        <v>5.4999999880790712E-2</v>
      </c>
      <c r="F679" s="4">
        <v>526258.23600000003</v>
      </c>
      <c r="G679" s="4">
        <v>526258.29099999997</v>
      </c>
      <c r="H679" s="5">
        <f>319 / 86400</f>
        <v>3.6921296296296298E-3</v>
      </c>
      <c r="I679" t="s">
        <v>101</v>
      </c>
      <c r="J679" t="s">
        <v>127</v>
      </c>
      <c r="K679" s="5">
        <f>359 / 86400</f>
        <v>4.1550925925925922E-3</v>
      </c>
      <c r="L679" s="5">
        <f>129 / 86400</f>
        <v>1.4930555555555556E-3</v>
      </c>
    </row>
    <row r="680" spans="1:12" x14ac:dyDescent="0.25">
      <c r="A680" s="3">
        <v>45707.375902777778</v>
      </c>
      <c r="B680" t="s">
        <v>402</v>
      </c>
      <c r="C680" s="3">
        <v>45707.504803240736</v>
      </c>
      <c r="D680" t="s">
        <v>110</v>
      </c>
      <c r="E680" s="4">
        <v>52.213000000000001</v>
      </c>
      <c r="F680" s="4">
        <v>526258.29099999997</v>
      </c>
      <c r="G680" s="4">
        <v>526310.50399999996</v>
      </c>
      <c r="H680" s="5">
        <f>3301 / 86400</f>
        <v>3.8206018518518521E-2</v>
      </c>
      <c r="I680" t="s">
        <v>29</v>
      </c>
      <c r="J680" t="s">
        <v>37</v>
      </c>
      <c r="K680" s="5">
        <f>11137 / 86400</f>
        <v>0.12890046296296295</v>
      </c>
      <c r="L680" s="5">
        <f>235 / 86400</f>
        <v>2.7199074074074074E-3</v>
      </c>
    </row>
    <row r="681" spans="1:12" x14ac:dyDescent="0.25">
      <c r="A681" s="3">
        <v>45707.507523148146</v>
      </c>
      <c r="B681" t="s">
        <v>110</v>
      </c>
      <c r="C681" s="3">
        <v>45707.508634259255</v>
      </c>
      <c r="D681" t="s">
        <v>120</v>
      </c>
      <c r="E681" s="4">
        <v>0.12200000011920929</v>
      </c>
      <c r="F681" s="4">
        <v>526310.50399999996</v>
      </c>
      <c r="G681" s="4">
        <v>526310.62600000005</v>
      </c>
      <c r="H681" s="5">
        <f>60 / 86400</f>
        <v>6.9444444444444447E-4</v>
      </c>
      <c r="I681" t="s">
        <v>43</v>
      </c>
      <c r="J681" t="s">
        <v>134</v>
      </c>
      <c r="K681" s="5">
        <f>95 / 86400</f>
        <v>1.0995370370370371E-3</v>
      </c>
      <c r="L681" s="5">
        <f>374 / 86400</f>
        <v>4.3287037037037035E-3</v>
      </c>
    </row>
    <row r="682" spans="1:12" x14ac:dyDescent="0.25">
      <c r="A682" s="3">
        <v>45707.512962962966</v>
      </c>
      <c r="B682" t="s">
        <v>110</v>
      </c>
      <c r="C682" s="3">
        <v>45707.5153125</v>
      </c>
      <c r="D682" t="s">
        <v>49</v>
      </c>
      <c r="E682" s="4">
        <v>0.74899999994039534</v>
      </c>
      <c r="F682" s="4">
        <v>526310.62600000005</v>
      </c>
      <c r="G682" s="4">
        <v>526311.375</v>
      </c>
      <c r="H682" s="5">
        <f>0 / 86400</f>
        <v>0</v>
      </c>
      <c r="I682" t="s">
        <v>129</v>
      </c>
      <c r="J682" t="s">
        <v>62</v>
      </c>
      <c r="K682" s="5">
        <f>203 / 86400</f>
        <v>2.3495370370370371E-3</v>
      </c>
      <c r="L682" s="5">
        <f>1725 / 86400</f>
        <v>1.9965277777777776E-2</v>
      </c>
    </row>
    <row r="683" spans="1:12" x14ac:dyDescent="0.25">
      <c r="A683" s="3">
        <v>45707.535277777773</v>
      </c>
      <c r="B683" t="s">
        <v>128</v>
      </c>
      <c r="C683" s="3">
        <v>45707.538449074069</v>
      </c>
      <c r="D683" t="s">
        <v>150</v>
      </c>
      <c r="E683" s="4">
        <v>0.77400000000000002</v>
      </c>
      <c r="F683" s="4">
        <v>526311.375</v>
      </c>
      <c r="G683" s="4">
        <v>526312.14899999998</v>
      </c>
      <c r="H683" s="5">
        <f>0 / 86400</f>
        <v>0</v>
      </c>
      <c r="I683" t="s">
        <v>151</v>
      </c>
      <c r="J683" t="s">
        <v>123</v>
      </c>
      <c r="K683" s="5">
        <f>273 / 86400</f>
        <v>3.1597222222222222E-3</v>
      </c>
      <c r="L683" s="5">
        <f>370 / 86400</f>
        <v>4.2824074074074075E-3</v>
      </c>
    </row>
    <row r="684" spans="1:12" x14ac:dyDescent="0.25">
      <c r="A684" s="3">
        <v>45707.542731481481</v>
      </c>
      <c r="B684" t="s">
        <v>150</v>
      </c>
      <c r="C684" s="3">
        <v>45707.542905092589</v>
      </c>
      <c r="D684" t="s">
        <v>150</v>
      </c>
      <c r="E684" s="4">
        <v>0.01</v>
      </c>
      <c r="F684" s="4">
        <v>526312.14899999998</v>
      </c>
      <c r="G684" s="4">
        <v>526312.15899999999</v>
      </c>
      <c r="H684" s="5">
        <f>0 / 86400</f>
        <v>0</v>
      </c>
      <c r="I684" t="s">
        <v>72</v>
      </c>
      <c r="J684" t="s">
        <v>24</v>
      </c>
      <c r="K684" s="5">
        <f>14 / 86400</f>
        <v>1.6203703703703703E-4</v>
      </c>
      <c r="L684" s="5">
        <f>550 / 86400</f>
        <v>6.3657407407407404E-3</v>
      </c>
    </row>
    <row r="685" spans="1:12" x14ac:dyDescent="0.25">
      <c r="A685" s="3">
        <v>45707.549270833333</v>
      </c>
      <c r="B685" t="s">
        <v>150</v>
      </c>
      <c r="C685" s="3">
        <v>45707.66024305555</v>
      </c>
      <c r="D685" t="s">
        <v>22</v>
      </c>
      <c r="E685" s="4">
        <v>51.195000000059608</v>
      </c>
      <c r="F685" s="4">
        <v>526312.15899999999</v>
      </c>
      <c r="G685" s="4">
        <v>526363.35400000005</v>
      </c>
      <c r="H685" s="5">
        <f>2720 / 86400</f>
        <v>3.1481481481481478E-2</v>
      </c>
      <c r="I685" t="s">
        <v>52</v>
      </c>
      <c r="J685" t="s">
        <v>33</v>
      </c>
      <c r="K685" s="5">
        <f>9588 / 86400</f>
        <v>0.11097222222222222</v>
      </c>
      <c r="L685" s="5">
        <f>218 / 86400</f>
        <v>2.5231481481481481E-3</v>
      </c>
    </row>
    <row r="686" spans="1:12" x14ac:dyDescent="0.25">
      <c r="A686" s="3">
        <v>45707.662766203706</v>
      </c>
      <c r="B686" t="s">
        <v>22</v>
      </c>
      <c r="C686" s="3">
        <v>45707.711481481485</v>
      </c>
      <c r="D686" t="s">
        <v>250</v>
      </c>
      <c r="E686" s="4">
        <v>8.1749999999403951</v>
      </c>
      <c r="F686" s="4">
        <v>526363.35400000005</v>
      </c>
      <c r="G686" s="4">
        <v>526371.52899999998</v>
      </c>
      <c r="H686" s="5">
        <f>2139 / 86400</f>
        <v>2.4756944444444446E-2</v>
      </c>
      <c r="I686" t="s">
        <v>138</v>
      </c>
      <c r="J686" t="s">
        <v>85</v>
      </c>
      <c r="K686" s="5">
        <f>4209 / 86400</f>
        <v>4.8715277777777781E-2</v>
      </c>
      <c r="L686" s="5">
        <f>70 / 86400</f>
        <v>8.1018518518518516E-4</v>
      </c>
    </row>
    <row r="687" spans="1:12" x14ac:dyDescent="0.25">
      <c r="A687" s="3">
        <v>45707.71229166667</v>
      </c>
      <c r="B687" t="s">
        <v>250</v>
      </c>
      <c r="C687" s="3">
        <v>45707.798101851848</v>
      </c>
      <c r="D687" t="s">
        <v>36</v>
      </c>
      <c r="E687" s="4">
        <v>23.555999999940397</v>
      </c>
      <c r="F687" s="4">
        <v>526371.52899999998</v>
      </c>
      <c r="G687" s="4">
        <v>526395.08499999996</v>
      </c>
      <c r="H687" s="5">
        <f>2621 / 86400</f>
        <v>3.033564814814815E-2</v>
      </c>
      <c r="I687" t="s">
        <v>106</v>
      </c>
      <c r="J687" t="s">
        <v>137</v>
      </c>
      <c r="K687" s="5">
        <f>7414 / 86400</f>
        <v>8.5810185185185184E-2</v>
      </c>
      <c r="L687" s="5">
        <f>1119 / 86400</f>
        <v>1.2951388888888889E-2</v>
      </c>
    </row>
    <row r="688" spans="1:12" x14ac:dyDescent="0.25">
      <c r="A688" s="3">
        <v>45707.811053240745</v>
      </c>
      <c r="B688" t="s">
        <v>36</v>
      </c>
      <c r="C688" s="3">
        <v>45707.819907407407</v>
      </c>
      <c r="D688" t="s">
        <v>51</v>
      </c>
      <c r="E688" s="4">
        <v>2.0730000001192095</v>
      </c>
      <c r="F688" s="4">
        <v>526395.08499999996</v>
      </c>
      <c r="G688" s="4">
        <v>526397.15800000005</v>
      </c>
      <c r="H688" s="5">
        <f>180 / 86400</f>
        <v>2.0833333333333333E-3</v>
      </c>
      <c r="I688" t="s">
        <v>169</v>
      </c>
      <c r="J688" t="s">
        <v>123</v>
      </c>
      <c r="K688" s="5">
        <f>765 / 86400</f>
        <v>8.8541666666666664E-3</v>
      </c>
      <c r="L688" s="5">
        <f>15559 / 86400</f>
        <v>0.18008101851851852</v>
      </c>
    </row>
    <row r="689" spans="1:12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</row>
    <row r="690" spans="1:12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</row>
    <row r="691" spans="1:12" s="10" customFormat="1" ht="20.100000000000001" customHeight="1" x14ac:dyDescent="0.35">
      <c r="A691" s="15" t="s">
        <v>476</v>
      </c>
      <c r="B691" s="15"/>
      <c r="C691" s="15"/>
      <c r="D691" s="15"/>
      <c r="E691" s="15"/>
      <c r="F691" s="15"/>
      <c r="G691" s="15"/>
      <c r="H691" s="15"/>
      <c r="I691" s="15"/>
      <c r="J691" s="15"/>
    </row>
    <row r="692" spans="1:12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</row>
    <row r="693" spans="1:12" ht="30" x14ac:dyDescent="0.25">
      <c r="A693" s="2" t="s">
        <v>6</v>
      </c>
      <c r="B693" s="2" t="s">
        <v>7</v>
      </c>
      <c r="C693" s="2" t="s">
        <v>8</v>
      </c>
      <c r="D693" s="2" t="s">
        <v>9</v>
      </c>
      <c r="E693" s="2" t="s">
        <v>10</v>
      </c>
      <c r="F693" s="2" t="s">
        <v>11</v>
      </c>
      <c r="G693" s="2" t="s">
        <v>12</v>
      </c>
      <c r="H693" s="2" t="s">
        <v>13</v>
      </c>
      <c r="I693" s="2" t="s">
        <v>14</v>
      </c>
      <c r="J693" s="2" t="s">
        <v>15</v>
      </c>
      <c r="K693" s="2" t="s">
        <v>16</v>
      </c>
      <c r="L693" s="2" t="s">
        <v>17</v>
      </c>
    </row>
    <row r="694" spans="1:12" x14ac:dyDescent="0.25">
      <c r="A694" s="3">
        <v>45707.249328703707</v>
      </c>
      <c r="B694" t="s">
        <v>53</v>
      </c>
      <c r="C694" s="3">
        <v>45707.378622685181</v>
      </c>
      <c r="D694" t="s">
        <v>22</v>
      </c>
      <c r="E694" s="4">
        <v>50.098999999999997</v>
      </c>
      <c r="F694" s="4">
        <v>345764.761</v>
      </c>
      <c r="G694" s="4">
        <v>345814.86</v>
      </c>
      <c r="H694" s="5">
        <f>4118 / 86400</f>
        <v>4.7662037037037037E-2</v>
      </c>
      <c r="I694" t="s">
        <v>65</v>
      </c>
      <c r="J694" t="s">
        <v>20</v>
      </c>
      <c r="K694" s="5">
        <f>11170 / 86400</f>
        <v>0.1292824074074074</v>
      </c>
      <c r="L694" s="5">
        <f>21562 / 86400</f>
        <v>0.24956018518518519</v>
      </c>
    </row>
    <row r="695" spans="1:12" x14ac:dyDescent="0.25">
      <c r="A695" s="3">
        <v>45707.378854166665</v>
      </c>
      <c r="B695" t="s">
        <v>22</v>
      </c>
      <c r="C695" s="3">
        <v>45707.379259259258</v>
      </c>
      <c r="D695" t="s">
        <v>22</v>
      </c>
      <c r="E695" s="4">
        <v>0</v>
      </c>
      <c r="F695" s="4">
        <v>345814.86</v>
      </c>
      <c r="G695" s="4">
        <v>345814.86</v>
      </c>
      <c r="H695" s="5">
        <f>19 / 86400</f>
        <v>2.199074074074074E-4</v>
      </c>
      <c r="I695" t="s">
        <v>72</v>
      </c>
      <c r="J695" t="s">
        <v>72</v>
      </c>
      <c r="K695" s="5">
        <f>34 / 86400</f>
        <v>3.9351851851851852E-4</v>
      </c>
      <c r="L695" s="5">
        <f>249 / 86400</f>
        <v>2.8819444444444444E-3</v>
      </c>
    </row>
    <row r="696" spans="1:12" x14ac:dyDescent="0.25">
      <c r="A696" s="3">
        <v>45707.382141203707</v>
      </c>
      <c r="B696" t="s">
        <v>22</v>
      </c>
      <c r="C696" s="3">
        <v>45707.511273148149</v>
      </c>
      <c r="D696" t="s">
        <v>144</v>
      </c>
      <c r="E696" s="4">
        <v>50.652000000000001</v>
      </c>
      <c r="F696" s="4">
        <v>345814.86</v>
      </c>
      <c r="G696" s="4">
        <v>345865.51199999999</v>
      </c>
      <c r="H696" s="5">
        <f>3780 / 86400</f>
        <v>4.3749999999999997E-2</v>
      </c>
      <c r="I696" t="s">
        <v>96</v>
      </c>
      <c r="J696" t="s">
        <v>20</v>
      </c>
      <c r="K696" s="5">
        <f>11157 / 86400</f>
        <v>0.12913194444444445</v>
      </c>
      <c r="L696" s="5">
        <f>1951 / 86400</f>
        <v>2.2581018518518518E-2</v>
      </c>
    </row>
    <row r="697" spans="1:12" x14ac:dyDescent="0.25">
      <c r="A697" s="3">
        <v>45707.533854166672</v>
      </c>
      <c r="B697" t="s">
        <v>130</v>
      </c>
      <c r="C697" s="3">
        <v>45707.534120370372</v>
      </c>
      <c r="D697" t="s">
        <v>130</v>
      </c>
      <c r="E697" s="4">
        <v>3.5000000000000003E-2</v>
      </c>
      <c r="F697" s="4">
        <v>345865.51199999999</v>
      </c>
      <c r="G697" s="4">
        <v>345865.54700000002</v>
      </c>
      <c r="H697" s="5">
        <f>0 / 86400</f>
        <v>0</v>
      </c>
      <c r="I697" t="s">
        <v>85</v>
      </c>
      <c r="J697" t="s">
        <v>134</v>
      </c>
      <c r="K697" s="5">
        <f>23 / 86400</f>
        <v>2.6620370370370372E-4</v>
      </c>
      <c r="L697" s="5">
        <f>355 / 86400</f>
        <v>4.1087962962962962E-3</v>
      </c>
    </row>
    <row r="698" spans="1:12" x14ac:dyDescent="0.25">
      <c r="A698" s="3">
        <v>45707.538229166668</v>
      </c>
      <c r="B698" t="s">
        <v>130</v>
      </c>
      <c r="C698" s="3">
        <v>45707.541134259256</v>
      </c>
      <c r="D698" t="s">
        <v>66</v>
      </c>
      <c r="E698" s="4">
        <v>1.242</v>
      </c>
      <c r="F698" s="4">
        <v>345865.54700000002</v>
      </c>
      <c r="G698" s="4">
        <v>345866.78899999999</v>
      </c>
      <c r="H698" s="5">
        <f>20 / 86400</f>
        <v>2.3148148148148149E-4</v>
      </c>
      <c r="I698" t="s">
        <v>142</v>
      </c>
      <c r="J698" t="s">
        <v>27</v>
      </c>
      <c r="K698" s="5">
        <f>251 / 86400</f>
        <v>2.9050925925925928E-3</v>
      </c>
      <c r="L698" s="5">
        <f>30 / 86400</f>
        <v>3.4722222222222224E-4</v>
      </c>
    </row>
    <row r="699" spans="1:12" x14ac:dyDescent="0.25">
      <c r="A699" s="3">
        <v>45707.541481481487</v>
      </c>
      <c r="B699" t="s">
        <v>66</v>
      </c>
      <c r="C699" s="3">
        <v>45707.543703703705</v>
      </c>
      <c r="D699" t="s">
        <v>66</v>
      </c>
      <c r="E699" s="4">
        <v>4.8000000000000001E-2</v>
      </c>
      <c r="F699" s="4">
        <v>345866.78899999999</v>
      </c>
      <c r="G699" s="4">
        <v>345866.837</v>
      </c>
      <c r="H699" s="5">
        <f>119 / 86400</f>
        <v>1.3773148148148147E-3</v>
      </c>
      <c r="I699" t="s">
        <v>101</v>
      </c>
      <c r="J699" t="s">
        <v>127</v>
      </c>
      <c r="K699" s="5">
        <f>192 / 86400</f>
        <v>2.2222222222222222E-3</v>
      </c>
      <c r="L699" s="5">
        <f>2323 / 86400</f>
        <v>2.6886574074074073E-2</v>
      </c>
    </row>
    <row r="700" spans="1:12" x14ac:dyDescent="0.25">
      <c r="A700" s="3">
        <v>45707.570590277777</v>
      </c>
      <c r="B700" t="s">
        <v>110</v>
      </c>
      <c r="C700" s="3">
        <v>45707.570740740739</v>
      </c>
      <c r="D700" t="s">
        <v>66</v>
      </c>
      <c r="E700" s="4">
        <v>6.0000000000000001E-3</v>
      </c>
      <c r="F700" s="4">
        <v>345866.837</v>
      </c>
      <c r="G700" s="4">
        <v>345866.84299999999</v>
      </c>
      <c r="H700" s="5">
        <f>0 / 86400</f>
        <v>0</v>
      </c>
      <c r="I700" t="s">
        <v>134</v>
      </c>
      <c r="J700" t="s">
        <v>136</v>
      </c>
      <c r="K700" s="5">
        <f>12 / 86400</f>
        <v>1.3888888888888889E-4</v>
      </c>
      <c r="L700" s="5">
        <f>423 / 86400</f>
        <v>4.8958333333333336E-3</v>
      </c>
    </row>
    <row r="701" spans="1:12" x14ac:dyDescent="0.25">
      <c r="A701" s="3">
        <v>45707.575636574074</v>
      </c>
      <c r="B701" t="s">
        <v>66</v>
      </c>
      <c r="C701" s="3">
        <v>45707.68586805556</v>
      </c>
      <c r="D701" t="s">
        <v>22</v>
      </c>
      <c r="E701" s="4">
        <v>49.027000000000001</v>
      </c>
      <c r="F701" s="4">
        <v>345866.84299999999</v>
      </c>
      <c r="G701" s="4">
        <v>345915.87</v>
      </c>
      <c r="H701" s="5">
        <f>3139 / 86400</f>
        <v>3.6331018518518519E-2</v>
      </c>
      <c r="I701" t="s">
        <v>55</v>
      </c>
      <c r="J701" t="s">
        <v>33</v>
      </c>
      <c r="K701" s="5">
        <f>9523 / 86400</f>
        <v>0.11021990740740741</v>
      </c>
      <c r="L701" s="5">
        <f>288 / 86400</f>
        <v>3.3333333333333335E-3</v>
      </c>
    </row>
    <row r="702" spans="1:12" x14ac:dyDescent="0.25">
      <c r="A702" s="3">
        <v>45707.689201388886</v>
      </c>
      <c r="B702" t="s">
        <v>22</v>
      </c>
      <c r="C702" s="3">
        <v>45707.846215277779</v>
      </c>
      <c r="D702" t="s">
        <v>110</v>
      </c>
      <c r="E702" s="4">
        <v>50.337000000000003</v>
      </c>
      <c r="F702" s="4">
        <v>345915.87</v>
      </c>
      <c r="G702" s="4">
        <v>345966.20699999999</v>
      </c>
      <c r="H702" s="5">
        <f>5000 / 86400</f>
        <v>5.7870370370370371E-2</v>
      </c>
      <c r="I702" t="s">
        <v>153</v>
      </c>
      <c r="J702" t="s">
        <v>62</v>
      </c>
      <c r="K702" s="5">
        <f>13566 / 86400</f>
        <v>0.1570138888888889</v>
      </c>
      <c r="L702" s="5">
        <f>387 / 86400</f>
        <v>4.4791666666666669E-3</v>
      </c>
    </row>
    <row r="703" spans="1:12" x14ac:dyDescent="0.25">
      <c r="A703" s="3">
        <v>45707.850694444445</v>
      </c>
      <c r="B703" t="s">
        <v>110</v>
      </c>
      <c r="C703" s="3">
        <v>45707.851597222223</v>
      </c>
      <c r="D703" t="s">
        <v>108</v>
      </c>
      <c r="E703" s="4">
        <v>0.222</v>
      </c>
      <c r="F703" s="4">
        <v>345966.20699999999</v>
      </c>
      <c r="G703" s="4">
        <v>345966.429</v>
      </c>
      <c r="H703" s="5">
        <f>0 / 86400</f>
        <v>0</v>
      </c>
      <c r="I703" t="s">
        <v>37</v>
      </c>
      <c r="J703" t="s">
        <v>123</v>
      </c>
      <c r="K703" s="5">
        <f>78 / 86400</f>
        <v>9.0277777777777774E-4</v>
      </c>
      <c r="L703" s="5">
        <f>822 / 86400</f>
        <v>9.5138888888888894E-3</v>
      </c>
    </row>
    <row r="704" spans="1:12" x14ac:dyDescent="0.25">
      <c r="A704" s="3">
        <v>45707.861111111109</v>
      </c>
      <c r="B704" t="s">
        <v>108</v>
      </c>
      <c r="C704" s="3">
        <v>45707.867592592593</v>
      </c>
      <c r="D704" t="s">
        <v>54</v>
      </c>
      <c r="E704" s="4">
        <v>0.89500000000000002</v>
      </c>
      <c r="F704" s="4">
        <v>345966.429</v>
      </c>
      <c r="G704" s="4">
        <v>345967.32400000002</v>
      </c>
      <c r="H704" s="5">
        <f>240 / 86400</f>
        <v>2.7777777777777779E-3</v>
      </c>
      <c r="I704" t="s">
        <v>30</v>
      </c>
      <c r="J704" t="s">
        <v>101</v>
      </c>
      <c r="K704" s="5">
        <f>560 / 86400</f>
        <v>6.4814814814814813E-3</v>
      </c>
      <c r="L704" s="5">
        <f>11439 / 86400</f>
        <v>0.13239583333333332</v>
      </c>
    </row>
    <row r="705" spans="1:12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</row>
    <row r="706" spans="1:12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</row>
    <row r="707" spans="1:12" s="10" customFormat="1" ht="20.100000000000001" customHeight="1" x14ac:dyDescent="0.35">
      <c r="A707" s="15" t="s">
        <v>477</v>
      </c>
      <c r="B707" s="15"/>
      <c r="C707" s="15"/>
      <c r="D707" s="15"/>
      <c r="E707" s="15"/>
      <c r="F707" s="15"/>
      <c r="G707" s="15"/>
      <c r="H707" s="15"/>
      <c r="I707" s="15"/>
      <c r="J707" s="15"/>
    </row>
    <row r="708" spans="1:12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</row>
    <row r="709" spans="1:12" ht="30" x14ac:dyDescent="0.25">
      <c r="A709" s="2" t="s">
        <v>6</v>
      </c>
      <c r="B709" s="2" t="s">
        <v>7</v>
      </c>
      <c r="C709" s="2" t="s">
        <v>8</v>
      </c>
      <c r="D709" s="2" t="s">
        <v>9</v>
      </c>
      <c r="E709" s="2" t="s">
        <v>10</v>
      </c>
      <c r="F709" s="2" t="s">
        <v>11</v>
      </c>
      <c r="G709" s="2" t="s">
        <v>12</v>
      </c>
      <c r="H709" s="2" t="s">
        <v>13</v>
      </c>
      <c r="I709" s="2" t="s">
        <v>14</v>
      </c>
      <c r="J709" s="2" t="s">
        <v>15</v>
      </c>
      <c r="K709" s="2" t="s">
        <v>16</v>
      </c>
      <c r="L709" s="2" t="s">
        <v>17</v>
      </c>
    </row>
    <row r="710" spans="1:12" x14ac:dyDescent="0.25">
      <c r="A710" s="3">
        <v>45707.305474537032</v>
      </c>
      <c r="B710" t="s">
        <v>56</v>
      </c>
      <c r="C710" s="3">
        <v>45707.306956018518</v>
      </c>
      <c r="D710" t="s">
        <v>56</v>
      </c>
      <c r="E710" s="4">
        <v>3.4000000000000002E-2</v>
      </c>
      <c r="F710" s="4">
        <v>426882.89299999998</v>
      </c>
      <c r="G710" s="4">
        <v>426882.92700000003</v>
      </c>
      <c r="H710" s="5">
        <f>60 / 86400</f>
        <v>6.9444444444444447E-4</v>
      </c>
      <c r="I710" t="s">
        <v>136</v>
      </c>
      <c r="J710" t="s">
        <v>127</v>
      </c>
      <c r="K710" s="5">
        <f>128 / 86400</f>
        <v>1.4814814814814814E-3</v>
      </c>
      <c r="L710" s="5">
        <f>42331 / 86400</f>
        <v>0.48994212962962963</v>
      </c>
    </row>
    <row r="711" spans="1:12" x14ac:dyDescent="0.25">
      <c r="A711" s="3">
        <v>45707.491423611107</v>
      </c>
      <c r="B711" t="s">
        <v>56</v>
      </c>
      <c r="C711" s="3">
        <v>45707.498263888891</v>
      </c>
      <c r="D711" t="s">
        <v>403</v>
      </c>
      <c r="E711" s="4">
        <v>1.32</v>
      </c>
      <c r="F711" s="4">
        <v>426882.92700000003</v>
      </c>
      <c r="G711" s="4">
        <v>426884.24699999997</v>
      </c>
      <c r="H711" s="5">
        <f>259 / 86400</f>
        <v>2.9976851851851853E-3</v>
      </c>
      <c r="I711" t="s">
        <v>57</v>
      </c>
      <c r="J711" t="s">
        <v>31</v>
      </c>
      <c r="K711" s="5">
        <f>590 / 86400</f>
        <v>6.828703703703704E-3</v>
      </c>
      <c r="L711" s="5">
        <f>5207 / 86400</f>
        <v>6.0266203703703704E-2</v>
      </c>
    </row>
    <row r="712" spans="1:12" x14ac:dyDescent="0.25">
      <c r="A712" s="3">
        <v>45707.558530092589</v>
      </c>
      <c r="B712" t="s">
        <v>403</v>
      </c>
      <c r="C712" s="3">
        <v>45707.559363425928</v>
      </c>
      <c r="D712" t="s">
        <v>403</v>
      </c>
      <c r="E712" s="4">
        <v>4.0000000000000001E-3</v>
      </c>
      <c r="F712" s="4">
        <v>426884.24699999997</v>
      </c>
      <c r="G712" s="4">
        <v>426884.25099999999</v>
      </c>
      <c r="H712" s="5">
        <f>59 / 86400</f>
        <v>6.8287037037037036E-4</v>
      </c>
      <c r="I712" t="s">
        <v>72</v>
      </c>
      <c r="J712" t="s">
        <v>72</v>
      </c>
      <c r="K712" s="5">
        <f>72 / 86400</f>
        <v>8.3333333333333339E-4</v>
      </c>
      <c r="L712" s="5">
        <f>295 / 86400</f>
        <v>3.414351851851852E-3</v>
      </c>
    </row>
    <row r="713" spans="1:12" x14ac:dyDescent="0.25">
      <c r="A713" s="3">
        <v>45707.562777777777</v>
      </c>
      <c r="B713" t="s">
        <v>403</v>
      </c>
      <c r="C713" s="3">
        <v>45707.570277777777</v>
      </c>
      <c r="D713" t="s">
        <v>403</v>
      </c>
      <c r="E713" s="4">
        <v>0</v>
      </c>
      <c r="F713" s="4">
        <v>426884.25099999999</v>
      </c>
      <c r="G713" s="4">
        <v>426884.25099999999</v>
      </c>
      <c r="H713" s="5">
        <f>620 / 86400</f>
        <v>7.1759259259259259E-3</v>
      </c>
      <c r="I713" t="s">
        <v>127</v>
      </c>
      <c r="J713" t="s">
        <v>72</v>
      </c>
      <c r="K713" s="5">
        <f>647 / 86400</f>
        <v>7.4884259259259262E-3</v>
      </c>
      <c r="L713" s="5">
        <f>3358 / 86400</f>
        <v>3.8865740740740742E-2</v>
      </c>
    </row>
    <row r="714" spans="1:12" x14ac:dyDescent="0.25">
      <c r="A714" s="3">
        <v>45707.609143518523</v>
      </c>
      <c r="B714" t="s">
        <v>403</v>
      </c>
      <c r="C714" s="3">
        <v>45707.609965277778</v>
      </c>
      <c r="D714" t="s">
        <v>403</v>
      </c>
      <c r="E714" s="4">
        <v>0</v>
      </c>
      <c r="F714" s="4">
        <v>426884.25099999999</v>
      </c>
      <c r="G714" s="4">
        <v>426884.25099999999</v>
      </c>
      <c r="H714" s="5">
        <f>59 / 86400</f>
        <v>6.8287037037037036E-4</v>
      </c>
      <c r="I714" t="s">
        <v>72</v>
      </c>
      <c r="J714" t="s">
        <v>72</v>
      </c>
      <c r="K714" s="5">
        <f>71 / 86400</f>
        <v>8.2175925925925927E-4</v>
      </c>
      <c r="L714" s="5">
        <f>8022 / 86400</f>
        <v>9.284722222222222E-2</v>
      </c>
    </row>
    <row r="715" spans="1:12" x14ac:dyDescent="0.25">
      <c r="A715" s="3">
        <v>45707.7028125</v>
      </c>
      <c r="B715" t="s">
        <v>403</v>
      </c>
      <c r="C715" s="3">
        <v>45707.703055555554</v>
      </c>
      <c r="D715" t="s">
        <v>403</v>
      </c>
      <c r="E715" s="4">
        <v>0</v>
      </c>
      <c r="F715" s="4">
        <v>426884.25099999999</v>
      </c>
      <c r="G715" s="4">
        <v>426884.25099999999</v>
      </c>
      <c r="H715" s="5">
        <f>0 / 86400</f>
        <v>0</v>
      </c>
      <c r="I715" t="s">
        <v>72</v>
      </c>
      <c r="J715" t="s">
        <v>72</v>
      </c>
      <c r="K715" s="5">
        <f>20 / 86400</f>
        <v>2.3148148148148149E-4</v>
      </c>
      <c r="L715" s="5">
        <f>76 / 86400</f>
        <v>8.7962962962962962E-4</v>
      </c>
    </row>
    <row r="716" spans="1:12" x14ac:dyDescent="0.25">
      <c r="A716" s="3">
        <v>45707.703935185185</v>
      </c>
      <c r="B716" t="s">
        <v>403</v>
      </c>
      <c r="C716" s="3">
        <v>45707.707141203704</v>
      </c>
      <c r="D716" t="s">
        <v>403</v>
      </c>
      <c r="E716" s="4">
        <v>0</v>
      </c>
      <c r="F716" s="4">
        <v>426884.25099999999</v>
      </c>
      <c r="G716" s="4">
        <v>426884.25099999999</v>
      </c>
      <c r="H716" s="5">
        <f>259 / 86400</f>
        <v>2.9976851851851853E-3</v>
      </c>
      <c r="I716" t="s">
        <v>72</v>
      </c>
      <c r="J716" t="s">
        <v>72</v>
      </c>
      <c r="K716" s="5">
        <f>276 / 86400</f>
        <v>3.1944444444444446E-3</v>
      </c>
      <c r="L716" s="5">
        <f>4818 / 86400</f>
        <v>5.5763888888888891E-2</v>
      </c>
    </row>
    <row r="717" spans="1:12" x14ac:dyDescent="0.25">
      <c r="A717" s="3">
        <v>45707.76290509259</v>
      </c>
      <c r="B717" t="s">
        <v>403</v>
      </c>
      <c r="C717" s="3">
        <v>45707.7658912037</v>
      </c>
      <c r="D717" t="s">
        <v>404</v>
      </c>
      <c r="E717" s="4">
        <v>0.61499999999999999</v>
      </c>
      <c r="F717" s="4">
        <v>426884.25099999999</v>
      </c>
      <c r="G717" s="4">
        <v>426884.86599999998</v>
      </c>
      <c r="H717" s="5">
        <f>83 / 86400</f>
        <v>9.6064814814814819E-4</v>
      </c>
      <c r="I717" t="s">
        <v>20</v>
      </c>
      <c r="J717" t="s">
        <v>132</v>
      </c>
      <c r="K717" s="5">
        <f>257 / 86400</f>
        <v>2.9745370370370373E-3</v>
      </c>
      <c r="L717" s="5">
        <f>2275 / 86400</f>
        <v>2.6331018518518517E-2</v>
      </c>
    </row>
    <row r="718" spans="1:12" x14ac:dyDescent="0.25">
      <c r="A718" s="3">
        <v>45707.792222222226</v>
      </c>
      <c r="B718" t="s">
        <v>404</v>
      </c>
      <c r="C718" s="3">
        <v>45707.797546296293</v>
      </c>
      <c r="D718" t="s">
        <v>56</v>
      </c>
      <c r="E718" s="4">
        <v>1.2310000000000001</v>
      </c>
      <c r="F718" s="4">
        <v>426884.86599999998</v>
      </c>
      <c r="G718" s="4">
        <v>426886.09700000001</v>
      </c>
      <c r="H718" s="5">
        <f>140 / 86400</f>
        <v>1.6203703703703703E-3</v>
      </c>
      <c r="I718" t="s">
        <v>30</v>
      </c>
      <c r="J718" t="s">
        <v>123</v>
      </c>
      <c r="K718" s="5">
        <f>460 / 86400</f>
        <v>5.324074074074074E-3</v>
      </c>
      <c r="L718" s="5">
        <f>1554 / 86400</f>
        <v>1.7986111111111112E-2</v>
      </c>
    </row>
    <row r="719" spans="1:12" x14ac:dyDescent="0.25">
      <c r="A719" s="3">
        <v>45707.815532407403</v>
      </c>
      <c r="B719" t="s">
        <v>56</v>
      </c>
      <c r="C719" s="3">
        <v>45707.819351851853</v>
      </c>
      <c r="D719" t="s">
        <v>56</v>
      </c>
      <c r="E719" s="4">
        <v>0.06</v>
      </c>
      <c r="F719" s="4">
        <v>426886.09700000001</v>
      </c>
      <c r="G719" s="4">
        <v>426886.15700000001</v>
      </c>
      <c r="H719" s="5">
        <f>260 / 86400</f>
        <v>3.0092592592592593E-3</v>
      </c>
      <c r="I719" t="s">
        <v>134</v>
      </c>
      <c r="J719" t="s">
        <v>127</v>
      </c>
      <c r="K719" s="5">
        <f>329 / 86400</f>
        <v>3.8078703703703703E-3</v>
      </c>
      <c r="L719" s="5">
        <f>15607 / 86400</f>
        <v>0.18063657407407407</v>
      </c>
    </row>
    <row r="720" spans="1:12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</row>
    <row r="721" spans="1:12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</row>
    <row r="722" spans="1:12" s="10" customFormat="1" ht="20.100000000000001" customHeight="1" x14ac:dyDescent="0.35">
      <c r="A722" s="15" t="s">
        <v>478</v>
      </c>
      <c r="B722" s="15"/>
      <c r="C722" s="15"/>
      <c r="D722" s="15"/>
      <c r="E722" s="15"/>
      <c r="F722" s="15"/>
      <c r="G722" s="15"/>
      <c r="H722" s="15"/>
      <c r="I722" s="15"/>
      <c r="J722" s="15"/>
    </row>
    <row r="723" spans="1:12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</row>
    <row r="724" spans="1:12" ht="30" x14ac:dyDescent="0.25">
      <c r="A724" s="2" t="s">
        <v>6</v>
      </c>
      <c r="B724" s="2" t="s">
        <v>7</v>
      </c>
      <c r="C724" s="2" t="s">
        <v>8</v>
      </c>
      <c r="D724" s="2" t="s">
        <v>9</v>
      </c>
      <c r="E724" s="2" t="s">
        <v>10</v>
      </c>
      <c r="F724" s="2" t="s">
        <v>11</v>
      </c>
      <c r="G724" s="2" t="s">
        <v>12</v>
      </c>
      <c r="H724" s="2" t="s">
        <v>13</v>
      </c>
      <c r="I724" s="2" t="s">
        <v>14</v>
      </c>
      <c r="J724" s="2" t="s">
        <v>15</v>
      </c>
      <c r="K724" s="2" t="s">
        <v>16</v>
      </c>
      <c r="L724" s="2" t="s">
        <v>17</v>
      </c>
    </row>
    <row r="725" spans="1:12" x14ac:dyDescent="0.25">
      <c r="A725" s="3">
        <v>45707.233043981483</v>
      </c>
      <c r="B725" t="s">
        <v>28</v>
      </c>
      <c r="C725" s="3">
        <v>45707.237962962958</v>
      </c>
      <c r="D725" t="s">
        <v>89</v>
      </c>
      <c r="E725" s="4">
        <v>0.17</v>
      </c>
      <c r="F725" s="4">
        <v>13744.619000000001</v>
      </c>
      <c r="G725" s="4">
        <v>13744.789000000001</v>
      </c>
      <c r="H725" s="5">
        <f>399 / 86400</f>
        <v>4.6180555555555558E-3</v>
      </c>
      <c r="I725" t="s">
        <v>33</v>
      </c>
      <c r="J725" t="s">
        <v>127</v>
      </c>
      <c r="K725" s="5">
        <f>424 / 86400</f>
        <v>4.9074074074074072E-3</v>
      </c>
      <c r="L725" s="5">
        <f>20377 / 86400</f>
        <v>0.23584490740740741</v>
      </c>
    </row>
    <row r="726" spans="1:12" x14ac:dyDescent="0.25">
      <c r="A726" s="3">
        <v>45707.240763888884</v>
      </c>
      <c r="B726" t="s">
        <v>89</v>
      </c>
      <c r="C726" s="3">
        <v>45707.317395833335</v>
      </c>
      <c r="D726" t="s">
        <v>405</v>
      </c>
      <c r="E726" s="4">
        <v>30.527000000000001</v>
      </c>
      <c r="F726" s="4">
        <v>13744.789000000001</v>
      </c>
      <c r="G726" s="4">
        <v>13775.316000000001</v>
      </c>
      <c r="H726" s="5">
        <f>1799 / 86400</f>
        <v>2.0821759259259259E-2</v>
      </c>
      <c r="I726" t="s">
        <v>23</v>
      </c>
      <c r="J726" t="s">
        <v>37</v>
      </c>
      <c r="K726" s="5">
        <f>6621 / 86400</f>
        <v>7.6631944444444447E-2</v>
      </c>
      <c r="L726" s="5">
        <f>57 / 86400</f>
        <v>6.5972222222222224E-4</v>
      </c>
    </row>
    <row r="727" spans="1:12" x14ac:dyDescent="0.25">
      <c r="A727" s="3">
        <v>45707.318055555559</v>
      </c>
      <c r="B727" t="s">
        <v>405</v>
      </c>
      <c r="C727" s="3">
        <v>45707.439525462964</v>
      </c>
      <c r="D727" t="s">
        <v>110</v>
      </c>
      <c r="E727" s="4">
        <v>49.292000000000002</v>
      </c>
      <c r="F727" s="4">
        <v>13775.316000000001</v>
      </c>
      <c r="G727" s="4">
        <v>13824.608</v>
      </c>
      <c r="H727" s="5">
        <f>3580 / 86400</f>
        <v>4.1435185185185186E-2</v>
      </c>
      <c r="I727" t="s">
        <v>106</v>
      </c>
      <c r="J727" t="s">
        <v>37</v>
      </c>
      <c r="K727" s="5">
        <f>10494 / 86400</f>
        <v>0.12145833333333333</v>
      </c>
      <c r="L727" s="5">
        <f>146 / 86400</f>
        <v>1.6898148148148148E-3</v>
      </c>
    </row>
    <row r="728" spans="1:12" x14ac:dyDescent="0.25">
      <c r="A728" s="3">
        <v>45707.44121527778</v>
      </c>
      <c r="B728" t="s">
        <v>110</v>
      </c>
      <c r="C728" s="3">
        <v>45707.445439814815</v>
      </c>
      <c r="D728" t="s">
        <v>49</v>
      </c>
      <c r="E728" s="4">
        <v>0.746</v>
      </c>
      <c r="F728" s="4">
        <v>13824.608</v>
      </c>
      <c r="G728" s="4">
        <v>13825.353999999999</v>
      </c>
      <c r="H728" s="5">
        <f>160 / 86400</f>
        <v>1.8518518518518519E-3</v>
      </c>
      <c r="I728" t="s">
        <v>35</v>
      </c>
      <c r="J728" t="s">
        <v>85</v>
      </c>
      <c r="K728" s="5">
        <f>364 / 86400</f>
        <v>4.2129629629629626E-3</v>
      </c>
      <c r="L728" s="5">
        <f>1932 / 86400</f>
        <v>2.2361111111111109E-2</v>
      </c>
    </row>
    <row r="729" spans="1:12" x14ac:dyDescent="0.25">
      <c r="A729" s="3">
        <v>45707.467800925922</v>
      </c>
      <c r="B729" t="s">
        <v>49</v>
      </c>
      <c r="C729" s="3">
        <v>45707.471180555556</v>
      </c>
      <c r="D729" t="s">
        <v>130</v>
      </c>
      <c r="E729" s="4">
        <v>0.90900000000000003</v>
      </c>
      <c r="F729" s="4">
        <v>13825.353999999999</v>
      </c>
      <c r="G729" s="4">
        <v>13826.263000000001</v>
      </c>
      <c r="H729" s="5">
        <f>0 / 86400</f>
        <v>0</v>
      </c>
      <c r="I729" t="s">
        <v>37</v>
      </c>
      <c r="J729" t="s">
        <v>137</v>
      </c>
      <c r="K729" s="5">
        <f>291 / 86400</f>
        <v>3.3680555555555556E-3</v>
      </c>
      <c r="L729" s="5">
        <f>796 / 86400</f>
        <v>9.2129629629629627E-3</v>
      </c>
    </row>
    <row r="730" spans="1:12" x14ac:dyDescent="0.25">
      <c r="A730" s="3">
        <v>45707.480393518519</v>
      </c>
      <c r="B730" t="s">
        <v>130</v>
      </c>
      <c r="C730" s="3">
        <v>45707.601979166662</v>
      </c>
      <c r="D730" t="s">
        <v>225</v>
      </c>
      <c r="E730" s="4">
        <v>50.22</v>
      </c>
      <c r="F730" s="4">
        <v>13826.263000000001</v>
      </c>
      <c r="G730" s="4">
        <v>13876.483</v>
      </c>
      <c r="H730" s="5">
        <f>4102 / 86400</f>
        <v>4.7476851851851853E-2</v>
      </c>
      <c r="I730" t="s">
        <v>78</v>
      </c>
      <c r="J730" t="s">
        <v>37</v>
      </c>
      <c r="K730" s="5">
        <f>10505 / 86400</f>
        <v>0.12158564814814815</v>
      </c>
      <c r="L730" s="5">
        <f>60 / 86400</f>
        <v>6.9444444444444447E-4</v>
      </c>
    </row>
    <row r="731" spans="1:12" x14ac:dyDescent="0.25">
      <c r="A731" s="3">
        <v>45707.602673611109</v>
      </c>
      <c r="B731" t="s">
        <v>225</v>
      </c>
      <c r="C731" s="3">
        <v>45707.633692129632</v>
      </c>
      <c r="D731" t="s">
        <v>318</v>
      </c>
      <c r="E731" s="4">
        <v>6.0720000000000001</v>
      </c>
      <c r="F731" s="4">
        <v>13876.483</v>
      </c>
      <c r="G731" s="4">
        <v>13882.555</v>
      </c>
      <c r="H731" s="5">
        <f>1459 / 86400</f>
        <v>1.6886574074074075E-2</v>
      </c>
      <c r="I731" t="s">
        <v>147</v>
      </c>
      <c r="J731" t="s">
        <v>31</v>
      </c>
      <c r="K731" s="5">
        <f>2679 / 86400</f>
        <v>3.1006944444444445E-2</v>
      </c>
      <c r="L731" s="5">
        <f>41 / 86400</f>
        <v>4.7453703703703704E-4</v>
      </c>
    </row>
    <row r="732" spans="1:12" x14ac:dyDescent="0.25">
      <c r="A732" s="3">
        <v>45707.63416666667</v>
      </c>
      <c r="B732" t="s">
        <v>318</v>
      </c>
      <c r="C732" s="3">
        <v>45707.752743055556</v>
      </c>
      <c r="D732" t="s">
        <v>36</v>
      </c>
      <c r="E732" s="4">
        <v>33.19</v>
      </c>
      <c r="F732" s="4">
        <v>13882.555</v>
      </c>
      <c r="G732" s="4">
        <v>13915.745000000001</v>
      </c>
      <c r="H732" s="5">
        <f>5360 / 86400</f>
        <v>6.2037037037037036E-2</v>
      </c>
      <c r="I732" t="s">
        <v>141</v>
      </c>
      <c r="J732" t="s">
        <v>148</v>
      </c>
      <c r="K732" s="5">
        <f>10245 / 86400</f>
        <v>0.11857638888888888</v>
      </c>
      <c r="L732" s="5">
        <f>86 / 86400</f>
        <v>9.9537037037037042E-4</v>
      </c>
    </row>
    <row r="733" spans="1:12" x14ac:dyDescent="0.25">
      <c r="A733" s="3">
        <v>45707.753738425927</v>
      </c>
      <c r="B733" t="s">
        <v>36</v>
      </c>
      <c r="C733" s="3">
        <v>45707.776446759264</v>
      </c>
      <c r="D733" t="s">
        <v>28</v>
      </c>
      <c r="E733" s="4">
        <v>13.663</v>
      </c>
      <c r="F733" s="4">
        <v>13915.745000000001</v>
      </c>
      <c r="G733" s="4">
        <v>13929.407999999999</v>
      </c>
      <c r="H733" s="5">
        <f>360 / 86400</f>
        <v>4.1666666666666666E-3</v>
      </c>
      <c r="I733" t="s">
        <v>23</v>
      </c>
      <c r="J733" t="s">
        <v>30</v>
      </c>
      <c r="K733" s="5">
        <f>1962 / 86400</f>
        <v>2.2708333333333334E-2</v>
      </c>
      <c r="L733" s="5">
        <f>321 / 86400</f>
        <v>3.7152777777777778E-3</v>
      </c>
    </row>
    <row r="734" spans="1:12" x14ac:dyDescent="0.25">
      <c r="A734" s="3">
        <v>45707.780162037037</v>
      </c>
      <c r="B734" t="s">
        <v>28</v>
      </c>
      <c r="C734" s="3">
        <v>45707.785104166665</v>
      </c>
      <c r="D734" t="s">
        <v>406</v>
      </c>
      <c r="E734" s="4">
        <v>1.8129999999999999</v>
      </c>
      <c r="F734" s="4">
        <v>13929.407999999999</v>
      </c>
      <c r="G734" s="4">
        <v>13931.221</v>
      </c>
      <c r="H734" s="5">
        <f>20 / 86400</f>
        <v>2.3148148148148149E-4</v>
      </c>
      <c r="I734" t="s">
        <v>142</v>
      </c>
      <c r="J734" t="s">
        <v>46</v>
      </c>
      <c r="K734" s="5">
        <f>427 / 86400</f>
        <v>4.9421296296296297E-3</v>
      </c>
      <c r="L734" s="5">
        <f>353 / 86400</f>
        <v>4.0856481481481481E-3</v>
      </c>
    </row>
    <row r="735" spans="1:12" x14ac:dyDescent="0.25">
      <c r="A735" s="3">
        <v>45707.789189814815</v>
      </c>
      <c r="B735" t="s">
        <v>406</v>
      </c>
      <c r="C735" s="3">
        <v>45707.790532407409</v>
      </c>
      <c r="D735" t="s">
        <v>28</v>
      </c>
      <c r="E735" s="4">
        <v>0.24299999999999999</v>
      </c>
      <c r="F735" s="4">
        <v>13931.221</v>
      </c>
      <c r="G735" s="4">
        <v>13931.464</v>
      </c>
      <c r="H735" s="5">
        <f>40 / 86400</f>
        <v>4.6296296296296298E-4</v>
      </c>
      <c r="I735" t="s">
        <v>151</v>
      </c>
      <c r="J735" t="s">
        <v>31</v>
      </c>
      <c r="K735" s="5">
        <f>115 / 86400</f>
        <v>1.3310185185185185E-3</v>
      </c>
      <c r="L735" s="5">
        <f>247 / 86400</f>
        <v>2.8587962962962963E-3</v>
      </c>
    </row>
    <row r="736" spans="1:12" x14ac:dyDescent="0.25">
      <c r="A736" s="3">
        <v>45707.793391203704</v>
      </c>
      <c r="B736" t="s">
        <v>28</v>
      </c>
      <c r="C736" s="3">
        <v>45707.794178240743</v>
      </c>
      <c r="D736" t="s">
        <v>28</v>
      </c>
      <c r="E736" s="4">
        <v>0.125</v>
      </c>
      <c r="F736" s="4">
        <v>13931.464</v>
      </c>
      <c r="G736" s="4">
        <v>13931.589</v>
      </c>
      <c r="H736" s="5">
        <f>40 / 86400</f>
        <v>4.6296296296296298E-4</v>
      </c>
      <c r="I736" t="s">
        <v>46</v>
      </c>
      <c r="J736" t="s">
        <v>85</v>
      </c>
      <c r="K736" s="5">
        <f>67 / 86400</f>
        <v>7.7546296296296293E-4</v>
      </c>
      <c r="L736" s="5">
        <f>127 / 86400</f>
        <v>1.4699074074074074E-3</v>
      </c>
    </row>
    <row r="737" spans="1:12" x14ac:dyDescent="0.25">
      <c r="A737" s="3">
        <v>45707.795648148152</v>
      </c>
      <c r="B737" t="s">
        <v>28</v>
      </c>
      <c r="C737" s="3">
        <v>45707.796261574069</v>
      </c>
      <c r="D737" t="s">
        <v>28</v>
      </c>
      <c r="E737" s="4">
        <v>2.7E-2</v>
      </c>
      <c r="F737" s="4">
        <v>13931.589</v>
      </c>
      <c r="G737" s="4">
        <v>13931.616</v>
      </c>
      <c r="H737" s="5">
        <f>20 / 86400</f>
        <v>2.3148148148148149E-4</v>
      </c>
      <c r="I737" t="s">
        <v>134</v>
      </c>
      <c r="J737" t="s">
        <v>136</v>
      </c>
      <c r="K737" s="5">
        <f>52 / 86400</f>
        <v>6.018518518518519E-4</v>
      </c>
      <c r="L737" s="5">
        <f>17602 / 86400</f>
        <v>0.20372685185185185</v>
      </c>
    </row>
    <row r="738" spans="1:12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</row>
    <row r="739" spans="1:12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</row>
    <row r="740" spans="1:12" s="10" customFormat="1" ht="20.100000000000001" customHeight="1" x14ac:dyDescent="0.35">
      <c r="A740" s="15" t="s">
        <v>479</v>
      </c>
      <c r="B740" s="15"/>
      <c r="C740" s="15"/>
      <c r="D740" s="15"/>
      <c r="E740" s="15"/>
      <c r="F740" s="15"/>
      <c r="G740" s="15"/>
      <c r="H740" s="15"/>
      <c r="I740" s="15"/>
      <c r="J740" s="15"/>
    </row>
    <row r="741" spans="1:12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</row>
    <row r="742" spans="1:12" ht="30" x14ac:dyDescent="0.25">
      <c r="A742" s="2" t="s">
        <v>6</v>
      </c>
      <c r="B742" s="2" t="s">
        <v>7</v>
      </c>
      <c r="C742" s="2" t="s">
        <v>8</v>
      </c>
      <c r="D742" s="2" t="s">
        <v>9</v>
      </c>
      <c r="E742" s="2" t="s">
        <v>10</v>
      </c>
      <c r="F742" s="2" t="s">
        <v>11</v>
      </c>
      <c r="G742" s="2" t="s">
        <v>12</v>
      </c>
      <c r="H742" s="2" t="s">
        <v>13</v>
      </c>
      <c r="I742" s="2" t="s">
        <v>14</v>
      </c>
      <c r="J742" s="2" t="s">
        <v>15</v>
      </c>
      <c r="K742" s="2" t="s">
        <v>16</v>
      </c>
      <c r="L742" s="2" t="s">
        <v>17</v>
      </c>
    </row>
    <row r="743" spans="1:12" x14ac:dyDescent="0.25">
      <c r="A743" s="3">
        <v>45707.224606481483</v>
      </c>
      <c r="B743" t="s">
        <v>59</v>
      </c>
      <c r="C743" s="3">
        <v>45707.235358796301</v>
      </c>
      <c r="D743" t="s">
        <v>407</v>
      </c>
      <c r="E743" s="4">
        <v>2.9729999999999999</v>
      </c>
      <c r="F743" s="4">
        <v>139363.95600000001</v>
      </c>
      <c r="G743" s="4">
        <v>139366.929</v>
      </c>
      <c r="H743" s="5">
        <f>340 / 86400</f>
        <v>3.9351851851851848E-3</v>
      </c>
      <c r="I743" t="s">
        <v>138</v>
      </c>
      <c r="J743" t="s">
        <v>148</v>
      </c>
      <c r="K743" s="5">
        <f>929 / 86400</f>
        <v>1.0752314814814815E-2</v>
      </c>
      <c r="L743" s="5">
        <f>19531 / 86400</f>
        <v>0.22605324074074074</v>
      </c>
    </row>
    <row r="744" spans="1:12" x14ac:dyDescent="0.25">
      <c r="A744" s="3">
        <v>45707.236805555556</v>
      </c>
      <c r="B744" t="s">
        <v>407</v>
      </c>
      <c r="C744" s="3">
        <v>45707.23715277778</v>
      </c>
      <c r="D744" t="s">
        <v>407</v>
      </c>
      <c r="E744" s="4">
        <v>8.0000000000000002E-3</v>
      </c>
      <c r="F744" s="4">
        <v>139366.929</v>
      </c>
      <c r="G744" s="4">
        <v>139366.93700000001</v>
      </c>
      <c r="H744" s="5">
        <f>19 / 86400</f>
        <v>2.199074074074074E-4</v>
      </c>
      <c r="I744" t="s">
        <v>72</v>
      </c>
      <c r="J744" t="s">
        <v>127</v>
      </c>
      <c r="K744" s="5">
        <f>30 / 86400</f>
        <v>3.4722222222222224E-4</v>
      </c>
      <c r="L744" s="5">
        <f>1106 / 86400</f>
        <v>1.2800925925925926E-2</v>
      </c>
    </row>
    <row r="745" spans="1:12" x14ac:dyDescent="0.25">
      <c r="A745" s="3">
        <v>45707.249953703707</v>
      </c>
      <c r="B745" t="s">
        <v>407</v>
      </c>
      <c r="C745" s="3">
        <v>45707.473622685182</v>
      </c>
      <c r="D745" t="s">
        <v>49</v>
      </c>
      <c r="E745" s="4">
        <v>91.867999999999995</v>
      </c>
      <c r="F745" s="4">
        <v>139366.93700000001</v>
      </c>
      <c r="G745" s="4">
        <v>139458.80499999999</v>
      </c>
      <c r="H745" s="5">
        <f>6021 / 86400</f>
        <v>6.9687499999999999E-2</v>
      </c>
      <c r="I745" t="s">
        <v>26</v>
      </c>
      <c r="J745" t="s">
        <v>37</v>
      </c>
      <c r="K745" s="5">
        <f>19324 / 86400</f>
        <v>0.22365740740740742</v>
      </c>
      <c r="L745" s="5">
        <f>2110 / 86400</f>
        <v>2.4421296296296295E-2</v>
      </c>
    </row>
    <row r="746" spans="1:12" x14ac:dyDescent="0.25">
      <c r="A746" s="3">
        <v>45707.498043981483</v>
      </c>
      <c r="B746" t="s">
        <v>49</v>
      </c>
      <c r="C746" s="3">
        <v>45707.503611111111</v>
      </c>
      <c r="D746" t="s">
        <v>130</v>
      </c>
      <c r="E746" s="4">
        <v>0.84099999999999997</v>
      </c>
      <c r="F746" s="4">
        <v>139458.80499999999</v>
      </c>
      <c r="G746" s="4">
        <v>139459.64600000001</v>
      </c>
      <c r="H746" s="5">
        <f>159 / 86400</f>
        <v>1.8402777777777777E-3</v>
      </c>
      <c r="I746" t="s">
        <v>149</v>
      </c>
      <c r="J746" t="s">
        <v>101</v>
      </c>
      <c r="K746" s="5">
        <f>481 / 86400</f>
        <v>5.5671296296296293E-3</v>
      </c>
      <c r="L746" s="5">
        <f>1287 / 86400</f>
        <v>1.4895833333333334E-2</v>
      </c>
    </row>
    <row r="747" spans="1:12" x14ac:dyDescent="0.25">
      <c r="A747" s="3">
        <v>45707.518506944441</v>
      </c>
      <c r="B747" t="s">
        <v>130</v>
      </c>
      <c r="C747" s="3">
        <v>45707.518888888888</v>
      </c>
      <c r="D747" t="s">
        <v>130</v>
      </c>
      <c r="E747" s="4">
        <v>6.0000000000000001E-3</v>
      </c>
      <c r="F747" s="4">
        <v>139459.64600000001</v>
      </c>
      <c r="G747" s="4">
        <v>139459.652</v>
      </c>
      <c r="H747" s="5">
        <f>19 / 86400</f>
        <v>2.199074074074074E-4</v>
      </c>
      <c r="I747" t="s">
        <v>134</v>
      </c>
      <c r="J747" t="s">
        <v>127</v>
      </c>
      <c r="K747" s="5">
        <f>33 / 86400</f>
        <v>3.8194444444444446E-4</v>
      </c>
      <c r="L747" s="5">
        <f>992 / 86400</f>
        <v>1.1481481481481481E-2</v>
      </c>
    </row>
    <row r="748" spans="1:12" x14ac:dyDescent="0.25">
      <c r="A748" s="3">
        <v>45707.530370370368</v>
      </c>
      <c r="B748" t="s">
        <v>130</v>
      </c>
      <c r="C748" s="3">
        <v>45707.536724537036</v>
      </c>
      <c r="D748" t="s">
        <v>110</v>
      </c>
      <c r="E748" s="4">
        <v>1.284</v>
      </c>
      <c r="F748" s="4">
        <v>139459.652</v>
      </c>
      <c r="G748" s="4">
        <v>139460.93599999999</v>
      </c>
      <c r="H748" s="5">
        <f>259 / 86400</f>
        <v>2.9976851851851853E-3</v>
      </c>
      <c r="I748" t="s">
        <v>191</v>
      </c>
      <c r="J748" t="s">
        <v>31</v>
      </c>
      <c r="K748" s="5">
        <f>549 / 86400</f>
        <v>6.3541666666666668E-3</v>
      </c>
      <c r="L748" s="5">
        <f>242 / 86400</f>
        <v>2.8009259259259259E-3</v>
      </c>
    </row>
    <row r="749" spans="1:12" x14ac:dyDescent="0.25">
      <c r="A749" s="3">
        <v>45707.539525462962</v>
      </c>
      <c r="B749" t="s">
        <v>110</v>
      </c>
      <c r="C749" s="3">
        <v>45707.809641203705</v>
      </c>
      <c r="D749" t="s">
        <v>408</v>
      </c>
      <c r="E749" s="4">
        <v>110.937</v>
      </c>
      <c r="F749" s="4">
        <v>139460.93599999999</v>
      </c>
      <c r="G749" s="4">
        <v>139571.87299999999</v>
      </c>
      <c r="H749" s="5">
        <f>7579 / 86400</f>
        <v>8.7719907407407413E-2</v>
      </c>
      <c r="I749" t="s">
        <v>60</v>
      </c>
      <c r="J749" t="s">
        <v>37</v>
      </c>
      <c r="K749" s="5">
        <f>23338 / 86400</f>
        <v>0.27011574074074074</v>
      </c>
      <c r="L749" s="5">
        <f>152 / 86400</f>
        <v>1.7592592592592592E-3</v>
      </c>
    </row>
    <row r="750" spans="1:12" x14ac:dyDescent="0.25">
      <c r="A750" s="3">
        <v>45707.811400462961</v>
      </c>
      <c r="B750" t="s">
        <v>409</v>
      </c>
      <c r="C750" s="3">
        <v>45707.81181712963</v>
      </c>
      <c r="D750" t="s">
        <v>408</v>
      </c>
      <c r="E750" s="4">
        <v>5.8999999999999997E-2</v>
      </c>
      <c r="F750" s="4">
        <v>139571.87299999999</v>
      </c>
      <c r="G750" s="4">
        <v>139571.932</v>
      </c>
      <c r="H750" s="5">
        <f>0 / 86400</f>
        <v>0</v>
      </c>
      <c r="I750" t="s">
        <v>132</v>
      </c>
      <c r="J750" t="s">
        <v>101</v>
      </c>
      <c r="K750" s="5">
        <f>36 / 86400</f>
        <v>4.1666666666666669E-4</v>
      </c>
      <c r="L750" s="5">
        <f>219 / 86400</f>
        <v>2.5347222222222221E-3</v>
      </c>
    </row>
    <row r="751" spans="1:12" x14ac:dyDescent="0.25">
      <c r="A751" s="3">
        <v>45707.814351851848</v>
      </c>
      <c r="B751" t="s">
        <v>408</v>
      </c>
      <c r="C751" s="3">
        <v>45707.830763888887</v>
      </c>
      <c r="D751" t="s">
        <v>59</v>
      </c>
      <c r="E751" s="4">
        <v>3.3220000000000001</v>
      </c>
      <c r="F751" s="4">
        <v>139571.932</v>
      </c>
      <c r="G751" s="4">
        <v>139575.25399999999</v>
      </c>
      <c r="H751" s="5">
        <f>620 / 86400</f>
        <v>7.1759259259259259E-3</v>
      </c>
      <c r="I751" t="s">
        <v>147</v>
      </c>
      <c r="J751" t="s">
        <v>31</v>
      </c>
      <c r="K751" s="5">
        <f>1417 / 86400</f>
        <v>1.6400462962962964E-2</v>
      </c>
      <c r="L751" s="5">
        <f>14621 / 86400</f>
        <v>0.16922453703703705</v>
      </c>
    </row>
    <row r="752" spans="1:12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</row>
    <row r="753" spans="1:12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</row>
    <row r="754" spans="1:12" s="10" customFormat="1" ht="20.100000000000001" customHeight="1" x14ac:dyDescent="0.35">
      <c r="A754" s="15" t="s">
        <v>480</v>
      </c>
      <c r="B754" s="15"/>
      <c r="C754" s="15"/>
      <c r="D754" s="15"/>
      <c r="E754" s="15"/>
      <c r="F754" s="15"/>
      <c r="G754" s="15"/>
      <c r="H754" s="15"/>
      <c r="I754" s="15"/>
      <c r="J754" s="15"/>
    </row>
    <row r="755" spans="1:12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</row>
    <row r="756" spans="1:12" ht="30" x14ac:dyDescent="0.25">
      <c r="A756" s="2" t="s">
        <v>6</v>
      </c>
      <c r="B756" s="2" t="s">
        <v>7</v>
      </c>
      <c r="C756" s="2" t="s">
        <v>8</v>
      </c>
      <c r="D756" s="2" t="s">
        <v>9</v>
      </c>
      <c r="E756" s="2" t="s">
        <v>10</v>
      </c>
      <c r="F756" s="2" t="s">
        <v>11</v>
      </c>
      <c r="G756" s="2" t="s">
        <v>12</v>
      </c>
      <c r="H756" s="2" t="s">
        <v>13</v>
      </c>
      <c r="I756" s="2" t="s">
        <v>14</v>
      </c>
      <c r="J756" s="2" t="s">
        <v>15</v>
      </c>
      <c r="K756" s="2" t="s">
        <v>16</v>
      </c>
      <c r="L756" s="2" t="s">
        <v>17</v>
      </c>
    </row>
    <row r="757" spans="1:12" x14ac:dyDescent="0.25">
      <c r="A757" s="3">
        <v>45707.232766203699</v>
      </c>
      <c r="B757" t="s">
        <v>28</v>
      </c>
      <c r="C757" s="3">
        <v>45707.236793981487</v>
      </c>
      <c r="D757" t="s">
        <v>28</v>
      </c>
      <c r="E757" s="4">
        <v>0</v>
      </c>
      <c r="F757" s="4">
        <v>6314.1940000000004</v>
      </c>
      <c r="G757" s="4">
        <v>6314.1940000000004</v>
      </c>
      <c r="H757" s="5">
        <f>339 / 86400</f>
        <v>3.9236111111111112E-3</v>
      </c>
      <c r="I757" t="s">
        <v>72</v>
      </c>
      <c r="J757" t="s">
        <v>72</v>
      </c>
      <c r="K757" s="5">
        <f>347 / 86400</f>
        <v>4.0162037037037041E-3</v>
      </c>
      <c r="L757" s="5">
        <f>23593 / 86400</f>
        <v>0.27306712962962965</v>
      </c>
    </row>
    <row r="758" spans="1:12" x14ac:dyDescent="0.25">
      <c r="A758" s="3">
        <v>45707.277094907404</v>
      </c>
      <c r="B758" t="s">
        <v>28</v>
      </c>
      <c r="C758" s="3">
        <v>45707.533472222218</v>
      </c>
      <c r="D758" t="s">
        <v>110</v>
      </c>
      <c r="E758" s="4">
        <v>81.718999999999994</v>
      </c>
      <c r="F758" s="4">
        <v>6314.1940000000004</v>
      </c>
      <c r="G758" s="4">
        <v>6395.9129999999996</v>
      </c>
      <c r="H758" s="5">
        <f>10802 / 86400</f>
        <v>0.12502314814814816</v>
      </c>
      <c r="I758" t="s">
        <v>160</v>
      </c>
      <c r="J758" t="s">
        <v>62</v>
      </c>
      <c r="K758" s="5">
        <f>22151 / 86400</f>
        <v>0.25637731481481479</v>
      </c>
      <c r="L758" s="5">
        <f>601 / 86400</f>
        <v>6.9560185185185185E-3</v>
      </c>
    </row>
    <row r="759" spans="1:12" x14ac:dyDescent="0.25">
      <c r="A759" s="3">
        <v>45707.54042824074</v>
      </c>
      <c r="B759" t="s">
        <v>110</v>
      </c>
      <c r="C759" s="3">
        <v>45707.54515046296</v>
      </c>
      <c r="D759" t="s">
        <v>130</v>
      </c>
      <c r="E759" s="4">
        <v>1.393</v>
      </c>
      <c r="F759" s="4">
        <v>6395.9129999999996</v>
      </c>
      <c r="G759" s="4">
        <v>6397.3059999999996</v>
      </c>
      <c r="H759" s="5">
        <f>60 / 86400</f>
        <v>6.9444444444444447E-4</v>
      </c>
      <c r="I759" t="s">
        <v>30</v>
      </c>
      <c r="J759" t="s">
        <v>148</v>
      </c>
      <c r="K759" s="5">
        <f>407 / 86400</f>
        <v>4.7106481481481478E-3</v>
      </c>
      <c r="L759" s="5">
        <f>1288 / 86400</f>
        <v>1.4907407407407407E-2</v>
      </c>
    </row>
    <row r="760" spans="1:12" x14ac:dyDescent="0.25">
      <c r="A760" s="3">
        <v>45707.560057870374</v>
      </c>
      <c r="B760" t="s">
        <v>130</v>
      </c>
      <c r="C760" s="3">
        <v>45707.561921296292</v>
      </c>
      <c r="D760" t="s">
        <v>154</v>
      </c>
      <c r="E760" s="4">
        <v>0.60399999999999998</v>
      </c>
      <c r="F760" s="4">
        <v>6397.3059999999996</v>
      </c>
      <c r="G760" s="4">
        <v>6397.91</v>
      </c>
      <c r="H760" s="5">
        <f>0 / 86400</f>
        <v>0</v>
      </c>
      <c r="I760" t="s">
        <v>149</v>
      </c>
      <c r="J760" t="s">
        <v>43</v>
      </c>
      <c r="K760" s="5">
        <f>160 / 86400</f>
        <v>1.8518518518518519E-3</v>
      </c>
      <c r="L760" s="5">
        <f>4196 / 86400</f>
        <v>4.8564814814814818E-2</v>
      </c>
    </row>
    <row r="761" spans="1:12" x14ac:dyDescent="0.25">
      <c r="A761" s="3">
        <v>45707.610486111109</v>
      </c>
      <c r="B761" t="s">
        <v>154</v>
      </c>
      <c r="C761" s="3">
        <v>45707.773923611108</v>
      </c>
      <c r="D761" t="s">
        <v>410</v>
      </c>
      <c r="E761" s="4">
        <v>53.89</v>
      </c>
      <c r="F761" s="4">
        <v>6397.91</v>
      </c>
      <c r="G761" s="4">
        <v>6451.8</v>
      </c>
      <c r="H761" s="5">
        <f>7319 / 86400</f>
        <v>8.4710648148148146E-2</v>
      </c>
      <c r="I761" t="s">
        <v>61</v>
      </c>
      <c r="J761" t="s">
        <v>43</v>
      </c>
      <c r="K761" s="5">
        <f>14121 / 86400</f>
        <v>0.16343750000000001</v>
      </c>
      <c r="L761" s="5">
        <f>727 / 86400</f>
        <v>8.4143518518518517E-3</v>
      </c>
    </row>
    <row r="762" spans="1:12" x14ac:dyDescent="0.25">
      <c r="A762" s="3">
        <v>45707.782337962963</v>
      </c>
      <c r="B762" t="s">
        <v>410</v>
      </c>
      <c r="C762" s="3">
        <v>45707.924687499995</v>
      </c>
      <c r="D762" t="s">
        <v>89</v>
      </c>
      <c r="E762" s="4">
        <v>40.805</v>
      </c>
      <c r="F762" s="4">
        <v>6451.8</v>
      </c>
      <c r="G762" s="4">
        <v>6492.6049999999996</v>
      </c>
      <c r="H762" s="5">
        <f>5939 / 86400</f>
        <v>6.8738425925925925E-2</v>
      </c>
      <c r="I762" t="s">
        <v>147</v>
      </c>
      <c r="J762" t="s">
        <v>148</v>
      </c>
      <c r="K762" s="5">
        <f>12299 / 86400</f>
        <v>0.14234953703703704</v>
      </c>
      <c r="L762" s="5">
        <f>337 / 86400</f>
        <v>3.9004629629629628E-3</v>
      </c>
    </row>
    <row r="763" spans="1:12" x14ac:dyDescent="0.25">
      <c r="A763" s="3">
        <v>45707.928587962961</v>
      </c>
      <c r="B763" t="s">
        <v>89</v>
      </c>
      <c r="C763" s="3">
        <v>45707.934976851851</v>
      </c>
      <c r="D763" t="s">
        <v>28</v>
      </c>
      <c r="E763" s="4">
        <v>0.438</v>
      </c>
      <c r="F763" s="4">
        <v>6492.6049999999996</v>
      </c>
      <c r="G763" s="4">
        <v>6493.0429999999997</v>
      </c>
      <c r="H763" s="5">
        <f>439 / 86400</f>
        <v>5.0810185185185186E-3</v>
      </c>
      <c r="I763" t="s">
        <v>151</v>
      </c>
      <c r="J763" t="s">
        <v>24</v>
      </c>
      <c r="K763" s="5">
        <f>551 / 86400</f>
        <v>6.3773148148148148E-3</v>
      </c>
      <c r="L763" s="5">
        <f>5617 / 86400</f>
        <v>6.5011574074074069E-2</v>
      </c>
    </row>
    <row r="764" spans="1:12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</row>
    <row r="765" spans="1:12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</row>
    <row r="766" spans="1:12" s="10" customFormat="1" ht="20.100000000000001" customHeight="1" x14ac:dyDescent="0.35">
      <c r="A766" s="15" t="s">
        <v>481</v>
      </c>
      <c r="B766" s="15"/>
      <c r="C766" s="15"/>
      <c r="D766" s="15"/>
      <c r="E766" s="15"/>
      <c r="F766" s="15"/>
      <c r="G766" s="15"/>
      <c r="H766" s="15"/>
      <c r="I766" s="15"/>
      <c r="J766" s="15"/>
    </row>
    <row r="767" spans="1:12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</row>
    <row r="768" spans="1:12" ht="30" x14ac:dyDescent="0.25">
      <c r="A768" s="2" t="s">
        <v>6</v>
      </c>
      <c r="B768" s="2" t="s">
        <v>7</v>
      </c>
      <c r="C768" s="2" t="s">
        <v>8</v>
      </c>
      <c r="D768" s="2" t="s">
        <v>9</v>
      </c>
      <c r="E768" s="2" t="s">
        <v>10</v>
      </c>
      <c r="F768" s="2" t="s">
        <v>11</v>
      </c>
      <c r="G768" s="2" t="s">
        <v>12</v>
      </c>
      <c r="H768" s="2" t="s">
        <v>13</v>
      </c>
      <c r="I768" s="2" t="s">
        <v>14</v>
      </c>
      <c r="J768" s="2" t="s">
        <v>15</v>
      </c>
      <c r="K768" s="2" t="s">
        <v>16</v>
      </c>
      <c r="L768" s="2" t="s">
        <v>17</v>
      </c>
    </row>
    <row r="769" spans="1:12" x14ac:dyDescent="0.25">
      <c r="A769" s="3">
        <v>45707.211550925931</v>
      </c>
      <c r="B769" t="s">
        <v>36</v>
      </c>
      <c r="C769" s="3">
        <v>45707.211585648147</v>
      </c>
      <c r="D769" t="s">
        <v>36</v>
      </c>
      <c r="E769" s="4">
        <v>0</v>
      </c>
      <c r="F769" s="4">
        <v>387947.92499999999</v>
      </c>
      <c r="G769" s="4">
        <v>387947.92499999999</v>
      </c>
      <c r="H769" s="5">
        <f>0 / 86400</f>
        <v>0</v>
      </c>
      <c r="I769" t="s">
        <v>72</v>
      </c>
      <c r="J769" t="s">
        <v>72</v>
      </c>
      <c r="K769" s="5">
        <f>3 / 86400</f>
        <v>3.4722222222222222E-5</v>
      </c>
      <c r="L769" s="5">
        <f>18280 / 86400</f>
        <v>0.21157407407407408</v>
      </c>
    </row>
    <row r="770" spans="1:12" x14ac:dyDescent="0.25">
      <c r="A770" s="3">
        <v>45707.211608796293</v>
      </c>
      <c r="B770" t="s">
        <v>36</v>
      </c>
      <c r="C770" s="3">
        <v>45707.211655092593</v>
      </c>
      <c r="D770" t="s">
        <v>36</v>
      </c>
      <c r="E770" s="4">
        <v>0</v>
      </c>
      <c r="F770" s="4">
        <v>387947.92499999999</v>
      </c>
      <c r="G770" s="4">
        <v>387947.92499999999</v>
      </c>
      <c r="H770" s="5">
        <f>0 / 86400</f>
        <v>0</v>
      </c>
      <c r="I770" t="s">
        <v>72</v>
      </c>
      <c r="J770" t="s">
        <v>72</v>
      </c>
      <c r="K770" s="5">
        <f>4 / 86400</f>
        <v>4.6296296296296294E-5</v>
      </c>
      <c r="L770" s="5">
        <f>64 / 86400</f>
        <v>7.407407407407407E-4</v>
      </c>
    </row>
    <row r="771" spans="1:12" x14ac:dyDescent="0.25">
      <c r="A771" s="3">
        <v>45707.212395833332</v>
      </c>
      <c r="B771" t="s">
        <v>36</v>
      </c>
      <c r="C771" s="3">
        <v>45707.212546296301</v>
      </c>
      <c r="D771" t="s">
        <v>36</v>
      </c>
      <c r="E771" s="4">
        <v>0</v>
      </c>
      <c r="F771" s="4">
        <v>387947.92499999999</v>
      </c>
      <c r="G771" s="4">
        <v>387947.92499999999</v>
      </c>
      <c r="H771" s="5">
        <f>0 / 86400</f>
        <v>0</v>
      </c>
      <c r="I771" t="s">
        <v>72</v>
      </c>
      <c r="J771" t="s">
        <v>72</v>
      </c>
      <c r="K771" s="5">
        <f>13 / 86400</f>
        <v>1.5046296296296297E-4</v>
      </c>
      <c r="L771" s="5">
        <f>4 / 86400</f>
        <v>4.6296296296296294E-5</v>
      </c>
    </row>
    <row r="772" spans="1:12" x14ac:dyDescent="0.25">
      <c r="A772" s="3">
        <v>45707.212592592594</v>
      </c>
      <c r="B772" t="s">
        <v>36</v>
      </c>
      <c r="C772" s="3">
        <v>45707.21266203704</v>
      </c>
      <c r="D772" t="s">
        <v>36</v>
      </c>
      <c r="E772" s="4">
        <v>0</v>
      </c>
      <c r="F772" s="4">
        <v>387947.92499999999</v>
      </c>
      <c r="G772" s="4">
        <v>387947.92499999999</v>
      </c>
      <c r="H772" s="5">
        <f>2 / 86400</f>
        <v>2.3148148148148147E-5</v>
      </c>
      <c r="I772" t="s">
        <v>72</v>
      </c>
      <c r="J772" t="s">
        <v>72</v>
      </c>
      <c r="K772" s="5">
        <f>6 / 86400</f>
        <v>6.9444444444444444E-5</v>
      </c>
      <c r="L772" s="5">
        <f>245 / 86400</f>
        <v>2.8356481481481483E-3</v>
      </c>
    </row>
    <row r="773" spans="1:12" x14ac:dyDescent="0.25">
      <c r="A773" s="3">
        <v>45707.215497685189</v>
      </c>
      <c r="B773" t="s">
        <v>36</v>
      </c>
      <c r="C773" s="3">
        <v>45707.4455787037</v>
      </c>
      <c r="D773" t="s">
        <v>121</v>
      </c>
      <c r="E773" s="4">
        <v>81.222999999999999</v>
      </c>
      <c r="F773" s="4">
        <v>387947.92499999999</v>
      </c>
      <c r="G773" s="4">
        <v>388029.14799999999</v>
      </c>
      <c r="H773" s="5">
        <f>7761 / 86400</f>
        <v>8.9826388888888886E-2</v>
      </c>
      <c r="I773" t="s">
        <v>50</v>
      </c>
      <c r="J773" t="s">
        <v>46</v>
      </c>
      <c r="K773" s="5">
        <f>19878 / 86400</f>
        <v>0.23006944444444444</v>
      </c>
      <c r="L773" s="5">
        <f>4 / 86400</f>
        <v>4.6296296296296294E-5</v>
      </c>
    </row>
    <row r="774" spans="1:12" x14ac:dyDescent="0.25">
      <c r="A774" s="3">
        <v>45707.445625</v>
      </c>
      <c r="B774" t="s">
        <v>121</v>
      </c>
      <c r="C774" s="3">
        <v>45707.44568287037</v>
      </c>
      <c r="D774" t="s">
        <v>121</v>
      </c>
      <c r="E774" s="4">
        <v>0</v>
      </c>
      <c r="F774" s="4">
        <v>388029.14799999999</v>
      </c>
      <c r="G774" s="4">
        <v>388029.14799999999</v>
      </c>
      <c r="H774" s="5">
        <f>0 / 86400</f>
        <v>0</v>
      </c>
      <c r="I774" t="s">
        <v>72</v>
      </c>
      <c r="J774" t="s">
        <v>72</v>
      </c>
      <c r="K774" s="5">
        <f>5 / 86400</f>
        <v>5.7870370370370373E-5</v>
      </c>
      <c r="L774" s="5">
        <f>1681 / 86400</f>
        <v>1.9456018518518518E-2</v>
      </c>
    </row>
    <row r="775" spans="1:12" x14ac:dyDescent="0.25">
      <c r="A775" s="3">
        <v>45707.465138888889</v>
      </c>
      <c r="B775" t="s">
        <v>121</v>
      </c>
      <c r="C775" s="3">
        <v>45707.465983796297</v>
      </c>
      <c r="D775" t="s">
        <v>121</v>
      </c>
      <c r="E775" s="4">
        <v>0.113</v>
      </c>
      <c r="F775" s="4">
        <v>388029.14799999999</v>
      </c>
      <c r="G775" s="4">
        <v>388029.261</v>
      </c>
      <c r="H775" s="5">
        <f>20 / 86400</f>
        <v>2.3148148148148149E-4</v>
      </c>
      <c r="I775" t="s">
        <v>123</v>
      </c>
      <c r="J775" t="s">
        <v>101</v>
      </c>
      <c r="K775" s="5">
        <f>72 / 86400</f>
        <v>8.3333333333333339E-4</v>
      </c>
      <c r="L775" s="5">
        <f>50 / 86400</f>
        <v>5.7870370370370367E-4</v>
      </c>
    </row>
    <row r="776" spans="1:12" x14ac:dyDescent="0.25">
      <c r="A776" s="3">
        <v>45707.466562500005</v>
      </c>
      <c r="B776" t="s">
        <v>121</v>
      </c>
      <c r="C776" s="3">
        <v>45707.473680555559</v>
      </c>
      <c r="D776" t="s">
        <v>130</v>
      </c>
      <c r="E776" s="4">
        <v>1.21</v>
      </c>
      <c r="F776" s="4">
        <v>388029.261</v>
      </c>
      <c r="G776" s="4">
        <v>388030.47100000002</v>
      </c>
      <c r="H776" s="5">
        <f>200 / 86400</f>
        <v>2.3148148148148147E-3</v>
      </c>
      <c r="I776" t="s">
        <v>166</v>
      </c>
      <c r="J776" t="s">
        <v>85</v>
      </c>
      <c r="K776" s="5">
        <f>614 / 86400</f>
        <v>7.1064814814814819E-3</v>
      </c>
      <c r="L776" s="5">
        <f>1089 / 86400</f>
        <v>1.2604166666666666E-2</v>
      </c>
    </row>
    <row r="777" spans="1:12" x14ac:dyDescent="0.25">
      <c r="A777" s="3">
        <v>45707.486284722225</v>
      </c>
      <c r="B777" t="s">
        <v>130</v>
      </c>
      <c r="C777" s="3">
        <v>45707.595335648148</v>
      </c>
      <c r="D777" t="s">
        <v>239</v>
      </c>
      <c r="E777" s="4">
        <v>47.307000000000002</v>
      </c>
      <c r="F777" s="4">
        <v>388030.47100000002</v>
      </c>
      <c r="G777" s="4">
        <v>388077.77799999999</v>
      </c>
      <c r="H777" s="5">
        <f>2940 / 86400</f>
        <v>3.4027777777777775E-2</v>
      </c>
      <c r="I777" t="s">
        <v>63</v>
      </c>
      <c r="J777" t="s">
        <v>27</v>
      </c>
      <c r="K777" s="5">
        <f>9422 / 86400</f>
        <v>0.10905092592592593</v>
      </c>
      <c r="L777" s="5">
        <f>358 / 86400</f>
        <v>4.1435185185185186E-3</v>
      </c>
    </row>
    <row r="778" spans="1:12" x14ac:dyDescent="0.25">
      <c r="A778" s="3">
        <v>45707.599479166667</v>
      </c>
      <c r="B778" t="s">
        <v>239</v>
      </c>
      <c r="C778" s="3">
        <v>45707.755578703705</v>
      </c>
      <c r="D778" t="s">
        <v>91</v>
      </c>
      <c r="E778" s="4">
        <v>69.266999999999996</v>
      </c>
      <c r="F778" s="4">
        <v>388077.77799999999</v>
      </c>
      <c r="G778" s="4">
        <v>388147.04499999998</v>
      </c>
      <c r="H778" s="5">
        <f>4460 / 86400</f>
        <v>5.1620370370370372E-2</v>
      </c>
      <c r="I778" t="s">
        <v>96</v>
      </c>
      <c r="J778" t="s">
        <v>27</v>
      </c>
      <c r="K778" s="5">
        <f>13487 / 86400</f>
        <v>0.15609953703703705</v>
      </c>
      <c r="L778" s="5">
        <f>71 / 86400</f>
        <v>8.2175925925925927E-4</v>
      </c>
    </row>
    <row r="779" spans="1:12" x14ac:dyDescent="0.25">
      <c r="A779" s="3">
        <v>45707.756400462968</v>
      </c>
      <c r="B779" t="s">
        <v>91</v>
      </c>
      <c r="C779" s="3">
        <v>45707.827986111108</v>
      </c>
      <c r="D779" t="s">
        <v>74</v>
      </c>
      <c r="E779" s="4">
        <v>38.96</v>
      </c>
      <c r="F779" s="4">
        <v>388147.04499999998</v>
      </c>
      <c r="G779" s="4">
        <v>388186.005</v>
      </c>
      <c r="H779" s="5">
        <f>1280 / 86400</f>
        <v>1.4814814814814815E-2</v>
      </c>
      <c r="I779" t="s">
        <v>299</v>
      </c>
      <c r="J779" t="s">
        <v>35</v>
      </c>
      <c r="K779" s="5">
        <f>6184 / 86400</f>
        <v>7.1574074074074068E-2</v>
      </c>
      <c r="L779" s="5">
        <f>1181 / 86400</f>
        <v>1.3668981481481482E-2</v>
      </c>
    </row>
    <row r="780" spans="1:12" x14ac:dyDescent="0.25">
      <c r="A780" s="3">
        <v>45707.84165509259</v>
      </c>
      <c r="B780" t="s">
        <v>74</v>
      </c>
      <c r="C780" s="3">
        <v>45707.845671296294</v>
      </c>
      <c r="D780" t="s">
        <v>36</v>
      </c>
      <c r="E780" s="4">
        <v>1.3759999999999999</v>
      </c>
      <c r="F780" s="4">
        <v>388186.005</v>
      </c>
      <c r="G780" s="4">
        <v>388187.38099999999</v>
      </c>
      <c r="H780" s="5">
        <f>140 / 86400</f>
        <v>1.6203703703703703E-3</v>
      </c>
      <c r="I780" t="s">
        <v>181</v>
      </c>
      <c r="J780" t="s">
        <v>43</v>
      </c>
      <c r="K780" s="5">
        <f>346 / 86400</f>
        <v>4.0046296296296297E-3</v>
      </c>
      <c r="L780" s="5">
        <f>762 / 86400</f>
        <v>8.819444444444444E-3</v>
      </c>
    </row>
    <row r="781" spans="1:12" x14ac:dyDescent="0.25">
      <c r="A781" s="3">
        <v>45707.854490740741</v>
      </c>
      <c r="B781" t="s">
        <v>36</v>
      </c>
      <c r="C781" s="3">
        <v>45707.855439814812</v>
      </c>
      <c r="D781" t="s">
        <v>36</v>
      </c>
      <c r="E781" s="4">
        <v>0</v>
      </c>
      <c r="F781" s="4">
        <v>388187.38099999999</v>
      </c>
      <c r="G781" s="4">
        <v>388187.38099999999</v>
      </c>
      <c r="H781" s="5">
        <f>79 / 86400</f>
        <v>9.1435185185185185E-4</v>
      </c>
      <c r="I781" t="s">
        <v>72</v>
      </c>
      <c r="J781" t="s">
        <v>72</v>
      </c>
      <c r="K781" s="5">
        <f>81 / 86400</f>
        <v>9.3749999999999997E-4</v>
      </c>
      <c r="L781" s="5">
        <f>12489 / 86400</f>
        <v>0.14454861111111111</v>
      </c>
    </row>
    <row r="782" spans="1:12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</row>
    <row r="783" spans="1:12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</row>
    <row r="784" spans="1:12" s="10" customFormat="1" ht="20.100000000000001" customHeight="1" x14ac:dyDescent="0.35">
      <c r="A784" s="15" t="s">
        <v>482</v>
      </c>
      <c r="B784" s="15"/>
      <c r="C784" s="15"/>
      <c r="D784" s="15"/>
      <c r="E784" s="15"/>
      <c r="F784" s="15"/>
      <c r="G784" s="15"/>
      <c r="H784" s="15"/>
      <c r="I784" s="15"/>
      <c r="J784" s="15"/>
    </row>
    <row r="785" spans="1:12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</row>
    <row r="786" spans="1:12" ht="30" x14ac:dyDescent="0.25">
      <c r="A786" s="2" t="s">
        <v>6</v>
      </c>
      <c r="B786" s="2" t="s">
        <v>7</v>
      </c>
      <c r="C786" s="2" t="s">
        <v>8</v>
      </c>
      <c r="D786" s="2" t="s">
        <v>9</v>
      </c>
      <c r="E786" s="2" t="s">
        <v>10</v>
      </c>
      <c r="F786" s="2" t="s">
        <v>11</v>
      </c>
      <c r="G786" s="2" t="s">
        <v>12</v>
      </c>
      <c r="H786" s="2" t="s">
        <v>13</v>
      </c>
      <c r="I786" s="2" t="s">
        <v>14</v>
      </c>
      <c r="J786" s="2" t="s">
        <v>15</v>
      </c>
      <c r="K786" s="2" t="s">
        <v>16</v>
      </c>
      <c r="L786" s="2" t="s">
        <v>17</v>
      </c>
    </row>
    <row r="787" spans="1:12" x14ac:dyDescent="0.25">
      <c r="A787" s="3">
        <v>45707.147766203707</v>
      </c>
      <c r="B787" t="s">
        <v>64</v>
      </c>
      <c r="C787" s="3">
        <v>45707.297731481478</v>
      </c>
      <c r="D787" t="s">
        <v>144</v>
      </c>
      <c r="E787" s="4">
        <v>81.024000000119216</v>
      </c>
      <c r="F787" s="4">
        <v>524486.82499999995</v>
      </c>
      <c r="G787" s="4">
        <v>524567.84900000005</v>
      </c>
      <c r="H787" s="5">
        <f>2619 / 86400</f>
        <v>3.0312499999999999E-2</v>
      </c>
      <c r="I787" t="s">
        <v>50</v>
      </c>
      <c r="J787" t="s">
        <v>35</v>
      </c>
      <c r="K787" s="5">
        <f>12956 / 86400</f>
        <v>0.1499537037037037</v>
      </c>
      <c r="L787" s="5">
        <f>14309 / 86400</f>
        <v>0.16561342592592593</v>
      </c>
    </row>
    <row r="788" spans="1:12" x14ac:dyDescent="0.25">
      <c r="A788" s="3">
        <v>45707.315578703703</v>
      </c>
      <c r="B788" t="s">
        <v>144</v>
      </c>
      <c r="C788" s="3">
        <v>45707.583182870367</v>
      </c>
      <c r="D788" t="s">
        <v>110</v>
      </c>
      <c r="E788" s="4">
        <v>101.73399999994039</v>
      </c>
      <c r="F788" s="4">
        <v>524567.84900000005</v>
      </c>
      <c r="G788" s="4">
        <v>524669.58299999998</v>
      </c>
      <c r="H788" s="5">
        <f>8130 / 86400</f>
        <v>9.4097222222222221E-2</v>
      </c>
      <c r="I788" t="s">
        <v>65</v>
      </c>
      <c r="J788" t="s">
        <v>20</v>
      </c>
      <c r="K788" s="5">
        <f>23120 / 86400</f>
        <v>0.2675925925925926</v>
      </c>
      <c r="L788" s="5">
        <f>1933 / 86400</f>
        <v>2.2372685185185186E-2</v>
      </c>
    </row>
    <row r="789" spans="1:12" x14ac:dyDescent="0.25">
      <c r="A789" s="3">
        <v>45707.60555555555</v>
      </c>
      <c r="B789" t="s">
        <v>110</v>
      </c>
      <c r="C789" s="3">
        <v>45707.658935185187</v>
      </c>
      <c r="D789" t="s">
        <v>89</v>
      </c>
      <c r="E789" s="4">
        <v>25.820000000059604</v>
      </c>
      <c r="F789" s="4">
        <v>524669.58299999998</v>
      </c>
      <c r="G789" s="4">
        <v>524695.40300000005</v>
      </c>
      <c r="H789" s="5">
        <f>1120 / 86400</f>
        <v>1.2962962962962963E-2</v>
      </c>
      <c r="I789" t="s">
        <v>153</v>
      </c>
      <c r="J789" t="s">
        <v>149</v>
      </c>
      <c r="K789" s="5">
        <f>4611 / 86400</f>
        <v>5.3368055555555557E-2</v>
      </c>
      <c r="L789" s="5">
        <f>265 / 86400</f>
        <v>3.0671296296296297E-3</v>
      </c>
    </row>
    <row r="790" spans="1:12" x14ac:dyDescent="0.25">
      <c r="A790" s="3">
        <v>45707.662002314813</v>
      </c>
      <c r="B790" t="s">
        <v>89</v>
      </c>
      <c r="C790" s="3">
        <v>45707.667488425926</v>
      </c>
      <c r="D790" t="s">
        <v>64</v>
      </c>
      <c r="E790" s="4">
        <v>1.9599999999403954</v>
      </c>
      <c r="F790" s="4">
        <v>524695.40300000005</v>
      </c>
      <c r="G790" s="4">
        <v>524697.36300000001</v>
      </c>
      <c r="H790" s="5">
        <f>60 / 86400</f>
        <v>6.9444444444444447E-4</v>
      </c>
      <c r="I790" t="s">
        <v>178</v>
      </c>
      <c r="J790" t="s">
        <v>46</v>
      </c>
      <c r="K790" s="5">
        <f>473 / 86400</f>
        <v>5.4745370370370373E-3</v>
      </c>
      <c r="L790" s="5">
        <f>4783 / 86400</f>
        <v>5.5358796296296295E-2</v>
      </c>
    </row>
    <row r="791" spans="1:12" x14ac:dyDescent="0.25">
      <c r="A791" s="3">
        <v>45707.72284722222</v>
      </c>
      <c r="B791" t="s">
        <v>64</v>
      </c>
      <c r="C791" s="3">
        <v>45707.808495370366</v>
      </c>
      <c r="D791" t="s">
        <v>354</v>
      </c>
      <c r="E791" s="4">
        <v>46.857999999999997</v>
      </c>
      <c r="F791" s="4">
        <v>524697.36300000001</v>
      </c>
      <c r="G791" s="4">
        <v>524744.22100000002</v>
      </c>
      <c r="H791" s="5">
        <f>1620 / 86400</f>
        <v>1.8749999999999999E-2</v>
      </c>
      <c r="I791" t="s">
        <v>106</v>
      </c>
      <c r="J791" t="s">
        <v>35</v>
      </c>
      <c r="K791" s="5">
        <f>7399 / 86400</f>
        <v>8.5636574074074073E-2</v>
      </c>
      <c r="L791" s="5">
        <f>280 / 86400</f>
        <v>3.2407407407407406E-3</v>
      </c>
    </row>
    <row r="792" spans="1:12" x14ac:dyDescent="0.25">
      <c r="A792" s="3">
        <v>45707.811736111107</v>
      </c>
      <c r="B792" t="s">
        <v>354</v>
      </c>
      <c r="C792" s="3">
        <v>45707.814351851848</v>
      </c>
      <c r="D792" t="s">
        <v>64</v>
      </c>
      <c r="E792" s="4">
        <v>0.41700000005960464</v>
      </c>
      <c r="F792" s="4">
        <v>524744.22100000002</v>
      </c>
      <c r="G792" s="4">
        <v>524744.63800000004</v>
      </c>
      <c r="H792" s="5">
        <f>100 / 86400</f>
        <v>1.1574074074074073E-3</v>
      </c>
      <c r="I792" t="s">
        <v>43</v>
      </c>
      <c r="J792" t="s">
        <v>85</v>
      </c>
      <c r="K792" s="5">
        <f>226 / 86400</f>
        <v>2.6157407407407405E-3</v>
      </c>
      <c r="L792" s="5">
        <f>16039 / 86400</f>
        <v>0.18563657407407408</v>
      </c>
    </row>
    <row r="793" spans="1:12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</row>
    <row r="794" spans="1:12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</row>
    <row r="795" spans="1:12" s="10" customFormat="1" ht="20.100000000000001" customHeight="1" x14ac:dyDescent="0.35">
      <c r="A795" s="15" t="s">
        <v>483</v>
      </c>
      <c r="B795" s="15"/>
      <c r="C795" s="15"/>
      <c r="D795" s="15"/>
      <c r="E795" s="15"/>
      <c r="F795" s="15"/>
      <c r="G795" s="15"/>
      <c r="H795" s="15"/>
      <c r="I795" s="15"/>
      <c r="J795" s="15"/>
    </row>
    <row r="796" spans="1:12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</row>
    <row r="797" spans="1:12" ht="30" x14ac:dyDescent="0.25">
      <c r="A797" s="2" t="s">
        <v>6</v>
      </c>
      <c r="B797" s="2" t="s">
        <v>7</v>
      </c>
      <c r="C797" s="2" t="s">
        <v>8</v>
      </c>
      <c r="D797" s="2" t="s">
        <v>9</v>
      </c>
      <c r="E797" s="2" t="s">
        <v>10</v>
      </c>
      <c r="F797" s="2" t="s">
        <v>11</v>
      </c>
      <c r="G797" s="2" t="s">
        <v>12</v>
      </c>
      <c r="H797" s="2" t="s">
        <v>13</v>
      </c>
      <c r="I797" s="2" t="s">
        <v>14</v>
      </c>
      <c r="J797" s="2" t="s">
        <v>15</v>
      </c>
      <c r="K797" s="2" t="s">
        <v>16</v>
      </c>
      <c r="L797" s="2" t="s">
        <v>17</v>
      </c>
    </row>
    <row r="798" spans="1:12" x14ac:dyDescent="0.25">
      <c r="A798" s="3">
        <v>45707</v>
      </c>
      <c r="B798" t="s">
        <v>66</v>
      </c>
      <c r="C798" s="3">
        <v>45707.006967592592</v>
      </c>
      <c r="D798" t="s">
        <v>411</v>
      </c>
      <c r="E798" s="4">
        <v>1.905</v>
      </c>
      <c r="F798" s="4">
        <v>412762.26299999998</v>
      </c>
      <c r="G798" s="4">
        <v>412764.16800000001</v>
      </c>
      <c r="H798" s="5">
        <f>60 / 86400</f>
        <v>6.9444444444444447E-4</v>
      </c>
      <c r="I798" t="s">
        <v>33</v>
      </c>
      <c r="J798" t="s">
        <v>137</v>
      </c>
      <c r="K798" s="5">
        <f>602 / 86400</f>
        <v>6.9675925925925929E-3</v>
      </c>
      <c r="L798" s="5">
        <f>45790 / 86400</f>
        <v>0.52997685185185184</v>
      </c>
    </row>
    <row r="799" spans="1:12" x14ac:dyDescent="0.25">
      <c r="A799" s="3">
        <v>45707.536944444444</v>
      </c>
      <c r="B799" t="s">
        <v>411</v>
      </c>
      <c r="C799" s="3">
        <v>45707.556238425925</v>
      </c>
      <c r="D799" t="s">
        <v>412</v>
      </c>
      <c r="E799" s="4">
        <v>9.5250000000000004</v>
      </c>
      <c r="F799" s="4">
        <v>412764.16800000001</v>
      </c>
      <c r="G799" s="4">
        <v>412773.69300000003</v>
      </c>
      <c r="H799" s="5">
        <f>99 / 86400</f>
        <v>1.1458333333333333E-3</v>
      </c>
      <c r="I799" t="s">
        <v>174</v>
      </c>
      <c r="J799" t="s">
        <v>166</v>
      </c>
      <c r="K799" s="5">
        <f>1666 / 86400</f>
        <v>1.9282407407407408E-2</v>
      </c>
      <c r="L799" s="5">
        <f>771 / 86400</f>
        <v>8.9236111111111113E-3</v>
      </c>
    </row>
    <row r="800" spans="1:12" x14ac:dyDescent="0.25">
      <c r="A800" s="3">
        <v>45707.565162037034</v>
      </c>
      <c r="B800" t="s">
        <v>413</v>
      </c>
      <c r="C800" s="3">
        <v>45707.585393518515</v>
      </c>
      <c r="D800" t="s">
        <v>108</v>
      </c>
      <c r="E800" s="4">
        <v>7.4550000000000001</v>
      </c>
      <c r="F800" s="4">
        <v>412773.69300000003</v>
      </c>
      <c r="G800" s="4">
        <v>412781.14799999999</v>
      </c>
      <c r="H800" s="5">
        <f>339 / 86400</f>
        <v>3.9236111111111112E-3</v>
      </c>
      <c r="I800" t="s">
        <v>256</v>
      </c>
      <c r="J800" t="s">
        <v>46</v>
      </c>
      <c r="K800" s="5">
        <f>1747 / 86400</f>
        <v>2.0219907407407409E-2</v>
      </c>
      <c r="L800" s="5">
        <f>168 / 86400</f>
        <v>1.9444444444444444E-3</v>
      </c>
    </row>
    <row r="801" spans="1:12" x14ac:dyDescent="0.25">
      <c r="A801" s="3">
        <v>45707.587337962963</v>
      </c>
      <c r="B801" t="s">
        <v>108</v>
      </c>
      <c r="C801" s="3">
        <v>45707.587453703702</v>
      </c>
      <c r="D801" t="s">
        <v>108</v>
      </c>
      <c r="E801" s="4">
        <v>0</v>
      </c>
      <c r="F801" s="4">
        <v>412781.14799999999</v>
      </c>
      <c r="G801" s="4">
        <v>412781.14799999999</v>
      </c>
      <c r="H801" s="5">
        <f>0 / 86400</f>
        <v>0</v>
      </c>
      <c r="I801" t="s">
        <v>72</v>
      </c>
      <c r="J801" t="s">
        <v>72</v>
      </c>
      <c r="K801" s="5">
        <f>9 / 86400</f>
        <v>1.0416666666666667E-4</v>
      </c>
      <c r="L801" s="5">
        <f>1098 / 86400</f>
        <v>1.2708333333333334E-2</v>
      </c>
    </row>
    <row r="802" spans="1:12" x14ac:dyDescent="0.25">
      <c r="A802" s="3">
        <v>45707.600162037037</v>
      </c>
      <c r="B802" t="s">
        <v>108</v>
      </c>
      <c r="C802" s="3">
        <v>45707.606249999997</v>
      </c>
      <c r="D802" t="s">
        <v>110</v>
      </c>
      <c r="E802" s="4">
        <v>0.68400000000000005</v>
      </c>
      <c r="F802" s="4">
        <v>412781.14799999999</v>
      </c>
      <c r="G802" s="4">
        <v>412781.83199999999</v>
      </c>
      <c r="H802" s="5">
        <f>259 / 86400</f>
        <v>2.9976851851851853E-3</v>
      </c>
      <c r="I802" t="s">
        <v>37</v>
      </c>
      <c r="J802" t="s">
        <v>134</v>
      </c>
      <c r="K802" s="5">
        <f>525 / 86400</f>
        <v>6.076388888888889E-3</v>
      </c>
      <c r="L802" s="5">
        <f>799 / 86400</f>
        <v>9.2476851851851852E-3</v>
      </c>
    </row>
    <row r="803" spans="1:12" x14ac:dyDescent="0.25">
      <c r="A803" s="3">
        <v>45707.615497685183</v>
      </c>
      <c r="B803" t="s">
        <v>110</v>
      </c>
      <c r="C803" s="3">
        <v>45707.615740740745</v>
      </c>
      <c r="D803" t="s">
        <v>110</v>
      </c>
      <c r="E803" s="4">
        <v>1E-3</v>
      </c>
      <c r="F803" s="4">
        <v>412781.83199999999</v>
      </c>
      <c r="G803" s="4">
        <v>412781.83299999998</v>
      </c>
      <c r="H803" s="5">
        <f>19 / 86400</f>
        <v>2.199074074074074E-4</v>
      </c>
      <c r="I803" t="s">
        <v>72</v>
      </c>
      <c r="J803" t="s">
        <v>72</v>
      </c>
      <c r="K803" s="5">
        <f>20 / 86400</f>
        <v>2.3148148148148149E-4</v>
      </c>
      <c r="L803" s="5">
        <f>129 / 86400</f>
        <v>1.4930555555555556E-3</v>
      </c>
    </row>
    <row r="804" spans="1:12" x14ac:dyDescent="0.25">
      <c r="A804" s="3">
        <v>45707.617233796293</v>
      </c>
      <c r="B804" t="s">
        <v>110</v>
      </c>
      <c r="C804" s="3">
        <v>45707.625949074078</v>
      </c>
      <c r="D804" t="s">
        <v>414</v>
      </c>
      <c r="E804" s="4">
        <v>2.1869999999999998</v>
      </c>
      <c r="F804" s="4">
        <v>412781.83299999998</v>
      </c>
      <c r="G804" s="4">
        <v>412784.02</v>
      </c>
      <c r="H804" s="5">
        <f>140 / 86400</f>
        <v>1.6203703703703703E-3</v>
      </c>
      <c r="I804" t="s">
        <v>84</v>
      </c>
      <c r="J804" t="s">
        <v>123</v>
      </c>
      <c r="K804" s="5">
        <f>753 / 86400</f>
        <v>8.7152777777777784E-3</v>
      </c>
      <c r="L804" s="5">
        <f>1117 / 86400</f>
        <v>1.292824074074074E-2</v>
      </c>
    </row>
    <row r="805" spans="1:12" x14ac:dyDescent="0.25">
      <c r="A805" s="3">
        <v>45707.638877314814</v>
      </c>
      <c r="B805" t="s">
        <v>414</v>
      </c>
      <c r="C805" s="3">
        <v>45707.640474537038</v>
      </c>
      <c r="D805" t="s">
        <v>411</v>
      </c>
      <c r="E805" s="4">
        <v>3.9E-2</v>
      </c>
      <c r="F805" s="4">
        <v>412784.02</v>
      </c>
      <c r="G805" s="4">
        <v>412784.05900000001</v>
      </c>
      <c r="H805" s="5">
        <f>100 / 86400</f>
        <v>1.1574074074074073E-3</v>
      </c>
      <c r="I805" t="s">
        <v>101</v>
      </c>
      <c r="J805" t="s">
        <v>127</v>
      </c>
      <c r="K805" s="5">
        <f>137 / 86400</f>
        <v>1.5856481481481481E-3</v>
      </c>
      <c r="L805" s="5">
        <f>15036 / 86400</f>
        <v>0.17402777777777778</v>
      </c>
    </row>
    <row r="806" spans="1:12" x14ac:dyDescent="0.25">
      <c r="A806" s="3">
        <v>45707.81450231481</v>
      </c>
      <c r="B806" t="s">
        <v>411</v>
      </c>
      <c r="C806" s="3">
        <v>45707.8596875</v>
      </c>
      <c r="D806" t="s">
        <v>21</v>
      </c>
      <c r="E806" s="4">
        <v>2.6539999999999999</v>
      </c>
      <c r="F806" s="4">
        <v>412784.05900000001</v>
      </c>
      <c r="G806" s="4">
        <v>412786.71299999999</v>
      </c>
      <c r="H806" s="5">
        <f>3239 / 86400</f>
        <v>3.7488425925925925E-2</v>
      </c>
      <c r="I806" t="s">
        <v>30</v>
      </c>
      <c r="J806" t="s">
        <v>136</v>
      </c>
      <c r="K806" s="5">
        <f>3904 / 86400</f>
        <v>4.5185185185185182E-2</v>
      </c>
      <c r="L806" s="5">
        <f>185 / 86400</f>
        <v>2.1412037037037038E-3</v>
      </c>
    </row>
    <row r="807" spans="1:12" x14ac:dyDescent="0.25">
      <c r="A807" s="3">
        <v>45707.861828703702</v>
      </c>
      <c r="B807" t="s">
        <v>21</v>
      </c>
      <c r="C807" s="3">
        <v>45707.864872685182</v>
      </c>
      <c r="D807" t="s">
        <v>120</v>
      </c>
      <c r="E807" s="4">
        <v>0.45300000000000001</v>
      </c>
      <c r="F807" s="4">
        <v>412786.71299999999</v>
      </c>
      <c r="G807" s="4">
        <v>412787.16600000003</v>
      </c>
      <c r="H807" s="5">
        <f>120 / 86400</f>
        <v>1.3888888888888889E-3</v>
      </c>
      <c r="I807" t="s">
        <v>149</v>
      </c>
      <c r="J807" t="s">
        <v>101</v>
      </c>
      <c r="K807" s="5">
        <f>263 / 86400</f>
        <v>3.0439814814814813E-3</v>
      </c>
      <c r="L807" s="5">
        <f>101 / 86400</f>
        <v>1.1689814814814816E-3</v>
      </c>
    </row>
    <row r="808" spans="1:12" x14ac:dyDescent="0.25">
      <c r="A808" s="3">
        <v>45707.866041666668</v>
      </c>
      <c r="B808" t="s">
        <v>120</v>
      </c>
      <c r="C808" s="3">
        <v>45707.867314814815</v>
      </c>
      <c r="D808" t="s">
        <v>110</v>
      </c>
      <c r="E808" s="4">
        <v>0.11</v>
      </c>
      <c r="F808" s="4">
        <v>412787.16600000003</v>
      </c>
      <c r="G808" s="4">
        <v>412787.27600000001</v>
      </c>
      <c r="H808" s="5">
        <f>40 / 86400</f>
        <v>4.6296296296296298E-4</v>
      </c>
      <c r="I808" t="s">
        <v>148</v>
      </c>
      <c r="J808" t="s">
        <v>58</v>
      </c>
      <c r="K808" s="5">
        <f>110 / 86400</f>
        <v>1.2731481481481483E-3</v>
      </c>
      <c r="L808" s="5">
        <f>485 / 86400</f>
        <v>5.6134259259259262E-3</v>
      </c>
    </row>
    <row r="809" spans="1:12" x14ac:dyDescent="0.25">
      <c r="A809" s="3">
        <v>45707.872928240744</v>
      </c>
      <c r="B809" t="s">
        <v>110</v>
      </c>
      <c r="C809" s="3">
        <v>45707.946527777778</v>
      </c>
      <c r="D809" t="s">
        <v>67</v>
      </c>
      <c r="E809" s="4">
        <v>31.22</v>
      </c>
      <c r="F809" s="4">
        <v>412787.27600000001</v>
      </c>
      <c r="G809" s="4">
        <v>412818.49599999998</v>
      </c>
      <c r="H809" s="5">
        <f>1480 / 86400</f>
        <v>1.712962962962963E-2</v>
      </c>
      <c r="I809" t="s">
        <v>68</v>
      </c>
      <c r="J809" t="s">
        <v>27</v>
      </c>
      <c r="K809" s="5">
        <f>6359 / 86400</f>
        <v>7.3599537037037033E-2</v>
      </c>
      <c r="L809" s="5">
        <f>4619 / 86400</f>
        <v>5.3460648148148146E-2</v>
      </c>
    </row>
    <row r="810" spans="1:12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</row>
    <row r="811" spans="1:12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</row>
    <row r="812" spans="1:12" s="10" customFormat="1" ht="20.100000000000001" customHeight="1" x14ac:dyDescent="0.35">
      <c r="A812" s="15" t="s">
        <v>484</v>
      </c>
      <c r="B812" s="15"/>
      <c r="C812" s="15"/>
      <c r="D812" s="15"/>
      <c r="E812" s="15"/>
      <c r="F812" s="15"/>
      <c r="G812" s="15"/>
      <c r="H812" s="15"/>
      <c r="I812" s="15"/>
      <c r="J812" s="15"/>
    </row>
    <row r="813" spans="1:12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</row>
    <row r="814" spans="1:12" ht="30" x14ac:dyDescent="0.25">
      <c r="A814" s="2" t="s">
        <v>6</v>
      </c>
      <c r="B814" s="2" t="s">
        <v>7</v>
      </c>
      <c r="C814" s="2" t="s">
        <v>8</v>
      </c>
      <c r="D814" s="2" t="s">
        <v>9</v>
      </c>
      <c r="E814" s="2" t="s">
        <v>10</v>
      </c>
      <c r="F814" s="2" t="s">
        <v>11</v>
      </c>
      <c r="G814" s="2" t="s">
        <v>12</v>
      </c>
      <c r="H814" s="2" t="s">
        <v>13</v>
      </c>
      <c r="I814" s="2" t="s">
        <v>14</v>
      </c>
      <c r="J814" s="2" t="s">
        <v>15</v>
      </c>
      <c r="K814" s="2" t="s">
        <v>16</v>
      </c>
      <c r="L814" s="2" t="s">
        <v>17</v>
      </c>
    </row>
    <row r="815" spans="1:12" x14ac:dyDescent="0.25">
      <c r="A815" s="3">
        <v>45707.238263888888</v>
      </c>
      <c r="B815" t="s">
        <v>69</v>
      </c>
      <c r="C815" s="3">
        <v>45707.238553240742</v>
      </c>
      <c r="D815" t="s">
        <v>69</v>
      </c>
      <c r="E815" s="4">
        <v>0</v>
      </c>
      <c r="F815" s="4">
        <v>403727.92800000001</v>
      </c>
      <c r="G815" s="4">
        <v>403727.92800000001</v>
      </c>
      <c r="H815" s="5">
        <f>19 / 86400</f>
        <v>2.199074074074074E-4</v>
      </c>
      <c r="I815" t="s">
        <v>72</v>
      </c>
      <c r="J815" t="s">
        <v>72</v>
      </c>
      <c r="K815" s="5">
        <f>24 / 86400</f>
        <v>2.7777777777777778E-4</v>
      </c>
      <c r="L815" s="5">
        <f>20786 / 86400</f>
        <v>0.24057870370370371</v>
      </c>
    </row>
    <row r="816" spans="1:12" x14ac:dyDescent="0.25">
      <c r="A816" s="3">
        <v>45707.240868055553</v>
      </c>
      <c r="B816" t="s">
        <v>69</v>
      </c>
      <c r="C816" s="3">
        <v>45707.245115740741</v>
      </c>
      <c r="D816" t="s">
        <v>120</v>
      </c>
      <c r="E816" s="4">
        <v>0.65900000000000003</v>
      </c>
      <c r="F816" s="4">
        <v>403727.92800000001</v>
      </c>
      <c r="G816" s="4">
        <v>403728.587</v>
      </c>
      <c r="H816" s="5">
        <f>179 / 86400</f>
        <v>2.0717592592592593E-3</v>
      </c>
      <c r="I816" t="s">
        <v>57</v>
      </c>
      <c r="J816" t="s">
        <v>101</v>
      </c>
      <c r="K816" s="5">
        <f>366 / 86400</f>
        <v>4.2361111111111115E-3</v>
      </c>
      <c r="L816" s="5">
        <f>399 / 86400</f>
        <v>4.6180555555555558E-3</v>
      </c>
    </row>
    <row r="817" spans="1:12" x14ac:dyDescent="0.25">
      <c r="A817" s="3">
        <v>45707.2497337963</v>
      </c>
      <c r="B817" t="s">
        <v>120</v>
      </c>
      <c r="C817" s="3">
        <v>45707.251226851848</v>
      </c>
      <c r="D817" t="s">
        <v>154</v>
      </c>
      <c r="E817" s="4">
        <v>0.626</v>
      </c>
      <c r="F817" s="4">
        <v>403728.587</v>
      </c>
      <c r="G817" s="4">
        <v>403729.21299999999</v>
      </c>
      <c r="H817" s="5">
        <f>0 / 86400</f>
        <v>0</v>
      </c>
      <c r="I817" t="s">
        <v>191</v>
      </c>
      <c r="J817" t="s">
        <v>27</v>
      </c>
      <c r="K817" s="5">
        <f>128 / 86400</f>
        <v>1.4814814814814814E-3</v>
      </c>
      <c r="L817" s="5">
        <f>153 / 86400</f>
        <v>1.7708333333333332E-3</v>
      </c>
    </row>
    <row r="818" spans="1:12" x14ac:dyDescent="0.25">
      <c r="A818" s="3">
        <v>45707.25299768518</v>
      </c>
      <c r="B818" t="s">
        <v>154</v>
      </c>
      <c r="C818" s="3">
        <v>45707.374039351853</v>
      </c>
      <c r="D818" t="s">
        <v>133</v>
      </c>
      <c r="E818" s="4">
        <v>50.387</v>
      </c>
      <c r="F818" s="4">
        <v>403729.21299999999</v>
      </c>
      <c r="G818" s="4">
        <v>403779.6</v>
      </c>
      <c r="H818" s="5">
        <f>3581 / 86400</f>
        <v>4.144675925925926E-2</v>
      </c>
      <c r="I818" t="s">
        <v>61</v>
      </c>
      <c r="J818" t="s">
        <v>37</v>
      </c>
      <c r="K818" s="5">
        <f>10457 / 86400</f>
        <v>0.12103009259259259</v>
      </c>
      <c r="L818" s="5">
        <f>190 / 86400</f>
        <v>2.1990740740740742E-3</v>
      </c>
    </row>
    <row r="819" spans="1:12" x14ac:dyDescent="0.25">
      <c r="A819" s="3">
        <v>45707.376238425924</v>
      </c>
      <c r="B819" t="s">
        <v>133</v>
      </c>
      <c r="C819" s="3">
        <v>45707.508032407408</v>
      </c>
      <c r="D819" t="s">
        <v>120</v>
      </c>
      <c r="E819" s="4">
        <v>49.777999999999999</v>
      </c>
      <c r="F819" s="4">
        <v>403779.6</v>
      </c>
      <c r="G819" s="4">
        <v>403829.37800000003</v>
      </c>
      <c r="H819" s="5">
        <f>4000 / 86400</f>
        <v>4.6296296296296294E-2</v>
      </c>
      <c r="I819" t="s">
        <v>111</v>
      </c>
      <c r="J819" t="s">
        <v>20</v>
      </c>
      <c r="K819" s="5">
        <f>11386 / 86400</f>
        <v>0.1317824074074074</v>
      </c>
      <c r="L819" s="5">
        <f>4 / 86400</f>
        <v>4.6296296296296294E-5</v>
      </c>
    </row>
    <row r="820" spans="1:12" x14ac:dyDescent="0.25">
      <c r="A820" s="3">
        <v>45707.5080787037</v>
      </c>
      <c r="B820" t="s">
        <v>120</v>
      </c>
      <c r="C820" s="3">
        <v>45707.508148148147</v>
      </c>
      <c r="D820" t="s">
        <v>120</v>
      </c>
      <c r="E820" s="4">
        <v>0</v>
      </c>
      <c r="F820" s="4">
        <v>403829.37800000003</v>
      </c>
      <c r="G820" s="4">
        <v>403829.37800000003</v>
      </c>
      <c r="H820" s="5">
        <f>0 / 86400</f>
        <v>0</v>
      </c>
      <c r="I820" t="s">
        <v>72</v>
      </c>
      <c r="J820" t="s">
        <v>72</v>
      </c>
      <c r="K820" s="5">
        <f>6 / 86400</f>
        <v>6.9444444444444444E-5</v>
      </c>
      <c r="L820" s="5">
        <f>1259 / 86400</f>
        <v>1.457175925925926E-2</v>
      </c>
    </row>
    <row r="821" spans="1:12" x14ac:dyDescent="0.25">
      <c r="A821" s="3">
        <v>45707.522719907407</v>
      </c>
      <c r="B821" t="s">
        <v>120</v>
      </c>
      <c r="C821" s="3">
        <v>45707.525682870371</v>
      </c>
      <c r="D821" t="s">
        <v>54</v>
      </c>
      <c r="E821" s="4">
        <v>0.74399999999999999</v>
      </c>
      <c r="F821" s="4">
        <v>403829.37800000003</v>
      </c>
      <c r="G821" s="4">
        <v>403830.12199999997</v>
      </c>
      <c r="H821" s="5">
        <f>59 / 86400</f>
        <v>6.8287037037037036E-4</v>
      </c>
      <c r="I821" t="s">
        <v>30</v>
      </c>
      <c r="J821" t="s">
        <v>137</v>
      </c>
      <c r="K821" s="5">
        <f>255 / 86400</f>
        <v>2.9513888888888888E-3</v>
      </c>
      <c r="L821" s="5">
        <f>131 / 86400</f>
        <v>1.5162037037037036E-3</v>
      </c>
    </row>
    <row r="822" spans="1:12" x14ac:dyDescent="0.25">
      <c r="A822" s="3">
        <v>45707.527199074073</v>
      </c>
      <c r="B822" t="s">
        <v>54</v>
      </c>
      <c r="C822" s="3">
        <v>45707.529675925922</v>
      </c>
      <c r="D822" t="s">
        <v>120</v>
      </c>
      <c r="E822" s="4">
        <v>0.49399999999999999</v>
      </c>
      <c r="F822" s="4">
        <v>403830.12199999997</v>
      </c>
      <c r="G822" s="4">
        <v>403830.61599999998</v>
      </c>
      <c r="H822" s="5">
        <f>80 / 86400</f>
        <v>9.2592592592592596E-4</v>
      </c>
      <c r="I822" t="s">
        <v>169</v>
      </c>
      <c r="J822" t="s">
        <v>31</v>
      </c>
      <c r="K822" s="5">
        <f>213 / 86400</f>
        <v>2.4652777777777776E-3</v>
      </c>
      <c r="L822" s="5">
        <f>163 / 86400</f>
        <v>1.8865740740740742E-3</v>
      </c>
    </row>
    <row r="823" spans="1:12" x14ac:dyDescent="0.25">
      <c r="A823" s="3">
        <v>45707.5315625</v>
      </c>
      <c r="B823" t="s">
        <v>120</v>
      </c>
      <c r="C823" s="3">
        <v>45707.533831018518</v>
      </c>
      <c r="D823" t="s">
        <v>415</v>
      </c>
      <c r="E823" s="4">
        <v>0.89</v>
      </c>
      <c r="F823" s="4">
        <v>403830.61599999998</v>
      </c>
      <c r="G823" s="4">
        <v>403831.50599999999</v>
      </c>
      <c r="H823" s="5">
        <f>0 / 86400</f>
        <v>0</v>
      </c>
      <c r="I823" t="s">
        <v>142</v>
      </c>
      <c r="J823" t="s">
        <v>20</v>
      </c>
      <c r="K823" s="5">
        <f>195 / 86400</f>
        <v>2.2569444444444442E-3</v>
      </c>
      <c r="L823" s="5">
        <f>1701 / 86400</f>
        <v>1.96875E-2</v>
      </c>
    </row>
    <row r="824" spans="1:12" x14ac:dyDescent="0.25">
      <c r="A824" s="3">
        <v>45707.553518518514</v>
      </c>
      <c r="B824" t="s">
        <v>415</v>
      </c>
      <c r="C824" s="3">
        <v>45707.55668981481</v>
      </c>
      <c r="D824" t="s">
        <v>130</v>
      </c>
      <c r="E824" s="4">
        <v>0.85599999999999998</v>
      </c>
      <c r="F824" s="4">
        <v>403831.50599999999</v>
      </c>
      <c r="G824" s="4">
        <v>403832.36200000002</v>
      </c>
      <c r="H824" s="5">
        <f>0 / 86400</f>
        <v>0</v>
      </c>
      <c r="I824" t="s">
        <v>149</v>
      </c>
      <c r="J824" t="s">
        <v>137</v>
      </c>
      <c r="K824" s="5">
        <f>273 / 86400</f>
        <v>3.1597222222222222E-3</v>
      </c>
      <c r="L824" s="5">
        <f>709 / 86400</f>
        <v>8.2060185185185187E-3</v>
      </c>
    </row>
    <row r="825" spans="1:12" x14ac:dyDescent="0.25">
      <c r="A825" s="3">
        <v>45707.564895833333</v>
      </c>
      <c r="B825" t="s">
        <v>130</v>
      </c>
      <c r="C825" s="3">
        <v>45707.687615740739</v>
      </c>
      <c r="D825" t="s">
        <v>416</v>
      </c>
      <c r="E825" s="4">
        <v>50.94</v>
      </c>
      <c r="F825" s="4">
        <v>403832.36200000002</v>
      </c>
      <c r="G825" s="4">
        <v>403883.30200000003</v>
      </c>
      <c r="H825" s="5">
        <f>3700 / 86400</f>
        <v>4.2824074074074077E-2</v>
      </c>
      <c r="I825" t="s">
        <v>61</v>
      </c>
      <c r="J825" t="s">
        <v>37</v>
      </c>
      <c r="K825" s="5">
        <f>10602 / 86400</f>
        <v>0.12270833333333334</v>
      </c>
      <c r="L825" s="5">
        <f>239 / 86400</f>
        <v>2.7662037037037039E-3</v>
      </c>
    </row>
    <row r="826" spans="1:12" x14ac:dyDescent="0.25">
      <c r="A826" s="3">
        <v>45707.690381944441</v>
      </c>
      <c r="B826" t="s">
        <v>416</v>
      </c>
      <c r="C826" s="3">
        <v>45707.870208333334</v>
      </c>
      <c r="D826" t="s">
        <v>110</v>
      </c>
      <c r="E826" s="4">
        <v>50.923999999999999</v>
      </c>
      <c r="F826" s="4">
        <v>403883.30200000003</v>
      </c>
      <c r="G826" s="4">
        <v>403934.22600000002</v>
      </c>
      <c r="H826" s="5">
        <f>6557 / 86400</f>
        <v>7.5891203703703697E-2</v>
      </c>
      <c r="I826" t="s">
        <v>68</v>
      </c>
      <c r="J826" t="s">
        <v>148</v>
      </c>
      <c r="K826" s="5">
        <f>15536 / 86400</f>
        <v>0.17981481481481482</v>
      </c>
      <c r="L826" s="5">
        <f>274 / 86400</f>
        <v>3.1712962962962962E-3</v>
      </c>
    </row>
    <row r="827" spans="1:12" x14ac:dyDescent="0.25">
      <c r="A827" s="3">
        <v>45707.873379629629</v>
      </c>
      <c r="B827" t="s">
        <v>110</v>
      </c>
      <c r="C827" s="3">
        <v>45707.873541666668</v>
      </c>
      <c r="D827" t="s">
        <v>110</v>
      </c>
      <c r="E827" s="4">
        <v>7.0000000000000001E-3</v>
      </c>
      <c r="F827" s="4">
        <v>403934.22600000002</v>
      </c>
      <c r="G827" s="4">
        <v>403934.23300000001</v>
      </c>
      <c r="H827" s="5">
        <f>0 / 86400</f>
        <v>0</v>
      </c>
      <c r="I827" t="s">
        <v>72</v>
      </c>
      <c r="J827" t="s">
        <v>136</v>
      </c>
      <c r="K827" s="5">
        <f>13 / 86400</f>
        <v>1.5046296296296297E-4</v>
      </c>
      <c r="L827" s="5">
        <f>255 / 86400</f>
        <v>2.9513888888888888E-3</v>
      </c>
    </row>
    <row r="828" spans="1:12" x14ac:dyDescent="0.25">
      <c r="A828" s="3">
        <v>45707.876493055555</v>
      </c>
      <c r="B828" t="s">
        <v>110</v>
      </c>
      <c r="C828" s="3">
        <v>45707.877893518518</v>
      </c>
      <c r="D828" t="s">
        <v>290</v>
      </c>
      <c r="E828" s="4">
        <v>0.34100000000000003</v>
      </c>
      <c r="F828" s="4">
        <v>403934.23300000001</v>
      </c>
      <c r="G828" s="4">
        <v>403934.57400000002</v>
      </c>
      <c r="H828" s="5">
        <f>0 / 86400</f>
        <v>0</v>
      </c>
      <c r="I828" t="s">
        <v>35</v>
      </c>
      <c r="J828" t="s">
        <v>123</v>
      </c>
      <c r="K828" s="5">
        <f>121 / 86400</f>
        <v>1.4004629629629629E-3</v>
      </c>
      <c r="L828" s="5">
        <f>559 / 86400</f>
        <v>6.4699074074074077E-3</v>
      </c>
    </row>
    <row r="829" spans="1:12" x14ac:dyDescent="0.25">
      <c r="A829" s="3">
        <v>45707.884363425925</v>
      </c>
      <c r="B829" t="s">
        <v>290</v>
      </c>
      <c r="C829" s="3">
        <v>45707.887499999997</v>
      </c>
      <c r="D829" t="s">
        <v>69</v>
      </c>
      <c r="E829" s="4">
        <v>0.47499999999999998</v>
      </c>
      <c r="F829" s="4">
        <v>403934.57400000002</v>
      </c>
      <c r="G829" s="4">
        <v>403935.049</v>
      </c>
      <c r="H829" s="5">
        <f>60 / 86400</f>
        <v>6.9444444444444447E-4</v>
      </c>
      <c r="I829" t="s">
        <v>166</v>
      </c>
      <c r="J829" t="s">
        <v>101</v>
      </c>
      <c r="K829" s="5">
        <f>271 / 86400</f>
        <v>3.1365740740740742E-3</v>
      </c>
      <c r="L829" s="5">
        <f>9719 / 86400</f>
        <v>0.11248842592592592</v>
      </c>
    </row>
    <row r="830" spans="1:12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</row>
    <row r="831" spans="1:12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</row>
    <row r="832" spans="1:12" s="10" customFormat="1" ht="20.100000000000001" customHeight="1" x14ac:dyDescent="0.35">
      <c r="A832" s="15" t="s">
        <v>485</v>
      </c>
      <c r="B832" s="15"/>
      <c r="C832" s="15"/>
      <c r="D832" s="15"/>
      <c r="E832" s="15"/>
      <c r="F832" s="15"/>
      <c r="G832" s="15"/>
      <c r="H832" s="15"/>
      <c r="I832" s="15"/>
      <c r="J832" s="15"/>
    </row>
    <row r="833" spans="1:12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</row>
    <row r="834" spans="1:12" ht="30" x14ac:dyDescent="0.25">
      <c r="A834" s="2" t="s">
        <v>6</v>
      </c>
      <c r="B834" s="2" t="s">
        <v>7</v>
      </c>
      <c r="C834" s="2" t="s">
        <v>8</v>
      </c>
      <c r="D834" s="2" t="s">
        <v>9</v>
      </c>
      <c r="E834" s="2" t="s">
        <v>10</v>
      </c>
      <c r="F834" s="2" t="s">
        <v>11</v>
      </c>
      <c r="G834" s="2" t="s">
        <v>12</v>
      </c>
      <c r="H834" s="2" t="s">
        <v>13</v>
      </c>
      <c r="I834" s="2" t="s">
        <v>14</v>
      </c>
      <c r="J834" s="2" t="s">
        <v>15</v>
      </c>
      <c r="K834" s="2" t="s">
        <v>16</v>
      </c>
      <c r="L834" s="2" t="s">
        <v>17</v>
      </c>
    </row>
    <row r="835" spans="1:12" x14ac:dyDescent="0.25">
      <c r="A835" s="3">
        <v>45707.26662037037</v>
      </c>
      <c r="B835" t="s">
        <v>70</v>
      </c>
      <c r="C835" s="3">
        <v>45707.270138888889</v>
      </c>
      <c r="D835" t="s">
        <v>70</v>
      </c>
      <c r="E835" s="4">
        <v>0</v>
      </c>
      <c r="F835" s="4">
        <v>407982.48700000002</v>
      </c>
      <c r="G835" s="4">
        <v>407982.48700000002</v>
      </c>
      <c r="H835" s="5">
        <f>299 / 86400</f>
        <v>3.460648148148148E-3</v>
      </c>
      <c r="I835" t="s">
        <v>72</v>
      </c>
      <c r="J835" t="s">
        <v>72</v>
      </c>
      <c r="K835" s="5">
        <f>303 / 86400</f>
        <v>3.5069444444444445E-3</v>
      </c>
      <c r="L835" s="5">
        <f>23349 / 86400</f>
        <v>0.27024305555555556</v>
      </c>
    </row>
    <row r="836" spans="1:12" x14ac:dyDescent="0.25">
      <c r="A836" s="3">
        <v>45707.273761574077</v>
      </c>
      <c r="B836" t="s">
        <v>70</v>
      </c>
      <c r="C836" s="3">
        <v>45707.343287037038</v>
      </c>
      <c r="D836" t="s">
        <v>144</v>
      </c>
      <c r="E836" s="4">
        <v>35.966000000000001</v>
      </c>
      <c r="F836" s="4">
        <v>407982.48700000002</v>
      </c>
      <c r="G836" s="4">
        <v>408018.45299999998</v>
      </c>
      <c r="H836" s="5">
        <f>1319 / 86400</f>
        <v>1.5266203703703704E-2</v>
      </c>
      <c r="I836" t="s">
        <v>113</v>
      </c>
      <c r="J836" t="s">
        <v>129</v>
      </c>
      <c r="K836" s="5">
        <f>6007 / 86400</f>
        <v>6.9525462962962969E-2</v>
      </c>
      <c r="L836" s="5">
        <f>1153 / 86400</f>
        <v>1.3344907407407408E-2</v>
      </c>
    </row>
    <row r="837" spans="1:12" x14ac:dyDescent="0.25">
      <c r="A837" s="3">
        <v>45707.356631944444</v>
      </c>
      <c r="B837" t="s">
        <v>144</v>
      </c>
      <c r="C837" s="3">
        <v>45707.356863425928</v>
      </c>
      <c r="D837" t="s">
        <v>130</v>
      </c>
      <c r="E837" s="4">
        <v>1.7999999999999999E-2</v>
      </c>
      <c r="F837" s="4">
        <v>408018.45299999998</v>
      </c>
      <c r="G837" s="4">
        <v>408018.47100000002</v>
      </c>
      <c r="H837" s="5">
        <f>0 / 86400</f>
        <v>0</v>
      </c>
      <c r="I837" t="s">
        <v>85</v>
      </c>
      <c r="J837" t="s">
        <v>24</v>
      </c>
      <c r="K837" s="5">
        <f>20 / 86400</f>
        <v>2.3148148148148149E-4</v>
      </c>
      <c r="L837" s="5">
        <f>2676 / 86400</f>
        <v>3.0972222222222224E-2</v>
      </c>
    </row>
    <row r="838" spans="1:12" x14ac:dyDescent="0.25">
      <c r="A838" s="3">
        <v>45707.387835648144</v>
      </c>
      <c r="B838" t="s">
        <v>130</v>
      </c>
      <c r="C838" s="3">
        <v>45707.389189814814</v>
      </c>
      <c r="D838" t="s">
        <v>130</v>
      </c>
      <c r="E838" s="4">
        <v>4.8000000000000001E-2</v>
      </c>
      <c r="F838" s="4">
        <v>408018.47100000002</v>
      </c>
      <c r="G838" s="4">
        <v>408018.51899999997</v>
      </c>
      <c r="H838" s="5">
        <f>79 / 86400</f>
        <v>9.1435185185185185E-4</v>
      </c>
      <c r="I838" t="s">
        <v>134</v>
      </c>
      <c r="J838" t="s">
        <v>127</v>
      </c>
      <c r="K838" s="5">
        <f>116 / 86400</f>
        <v>1.3425925925925925E-3</v>
      </c>
      <c r="L838" s="5">
        <f>228 / 86400</f>
        <v>2.638888888888889E-3</v>
      </c>
    </row>
    <row r="839" spans="1:12" x14ac:dyDescent="0.25">
      <c r="A839" s="3">
        <v>45707.391828703709</v>
      </c>
      <c r="B839" t="s">
        <v>130</v>
      </c>
      <c r="C839" s="3">
        <v>45707.514548611114</v>
      </c>
      <c r="D839" t="s">
        <v>417</v>
      </c>
      <c r="E839" s="4">
        <v>51.610999999999997</v>
      </c>
      <c r="F839" s="4">
        <v>408018.51899999997</v>
      </c>
      <c r="G839" s="4">
        <v>408070.13</v>
      </c>
      <c r="H839" s="5">
        <f>3418 / 86400</f>
        <v>3.9560185185185184E-2</v>
      </c>
      <c r="I839" t="s">
        <v>60</v>
      </c>
      <c r="J839" t="s">
        <v>27</v>
      </c>
      <c r="K839" s="5">
        <f>10603 / 86400</f>
        <v>0.1227199074074074</v>
      </c>
      <c r="L839" s="5">
        <f>205 / 86400</f>
        <v>2.3726851851851851E-3</v>
      </c>
    </row>
    <row r="840" spans="1:12" x14ac:dyDescent="0.25">
      <c r="A840" s="3">
        <v>45707.516921296294</v>
      </c>
      <c r="B840" t="s">
        <v>417</v>
      </c>
      <c r="C840" s="3">
        <v>45707.64025462963</v>
      </c>
      <c r="D840" t="s">
        <v>291</v>
      </c>
      <c r="E840" s="4">
        <v>50.567999999999998</v>
      </c>
      <c r="F840" s="4">
        <v>408070.13</v>
      </c>
      <c r="G840" s="4">
        <v>408120.69799999997</v>
      </c>
      <c r="H840" s="5">
        <f>3690 / 86400</f>
        <v>4.2708333333333334E-2</v>
      </c>
      <c r="I840" t="s">
        <v>96</v>
      </c>
      <c r="J840" t="s">
        <v>37</v>
      </c>
      <c r="K840" s="5">
        <f>10655 / 86400</f>
        <v>0.12332175925925926</v>
      </c>
      <c r="L840" s="5">
        <f>2241 / 86400</f>
        <v>2.5937499999999999E-2</v>
      </c>
    </row>
    <row r="841" spans="1:12" x14ac:dyDescent="0.25">
      <c r="A841" s="3">
        <v>45707.666192129633</v>
      </c>
      <c r="B841" t="s">
        <v>291</v>
      </c>
      <c r="C841" s="3">
        <v>45707.66951388889</v>
      </c>
      <c r="D841" t="s">
        <v>401</v>
      </c>
      <c r="E841" s="4">
        <v>0.626</v>
      </c>
      <c r="F841" s="4">
        <v>408120.69799999997</v>
      </c>
      <c r="G841" s="4">
        <v>408121.32400000002</v>
      </c>
      <c r="H841" s="5">
        <f>59 / 86400</f>
        <v>6.8287037037037036E-4</v>
      </c>
      <c r="I841" t="s">
        <v>172</v>
      </c>
      <c r="J841" t="s">
        <v>31</v>
      </c>
      <c r="K841" s="5">
        <f>287 / 86400</f>
        <v>3.3217592592592591E-3</v>
      </c>
      <c r="L841" s="5">
        <f>1893 / 86400</f>
        <v>2.1909722222222223E-2</v>
      </c>
    </row>
    <row r="842" spans="1:12" x14ac:dyDescent="0.25">
      <c r="A842" s="3">
        <v>45707.691423611112</v>
      </c>
      <c r="B842" t="s">
        <v>401</v>
      </c>
      <c r="C842" s="3">
        <v>45707.694120370375</v>
      </c>
      <c r="D842" t="s">
        <v>110</v>
      </c>
      <c r="E842" s="4">
        <v>1.0609999999999999</v>
      </c>
      <c r="F842" s="4">
        <v>408121.32400000002</v>
      </c>
      <c r="G842" s="4">
        <v>408122.38500000001</v>
      </c>
      <c r="H842" s="5">
        <f>39 / 86400</f>
        <v>4.5138888888888887E-4</v>
      </c>
      <c r="I842" t="s">
        <v>301</v>
      </c>
      <c r="J842" t="s">
        <v>20</v>
      </c>
      <c r="K842" s="5">
        <f>232 / 86400</f>
        <v>2.685185185185185E-3</v>
      </c>
      <c r="L842" s="5">
        <f>350 / 86400</f>
        <v>4.0509259259259257E-3</v>
      </c>
    </row>
    <row r="843" spans="1:12" x14ac:dyDescent="0.25">
      <c r="A843" s="3">
        <v>45707.698171296295</v>
      </c>
      <c r="B843" t="s">
        <v>110</v>
      </c>
      <c r="C843" s="3">
        <v>45707.773831018523</v>
      </c>
      <c r="D843" t="s">
        <v>70</v>
      </c>
      <c r="E843" s="4">
        <v>34.070999999999998</v>
      </c>
      <c r="F843" s="4">
        <v>408122.38500000001</v>
      </c>
      <c r="G843" s="4">
        <v>408156.45600000001</v>
      </c>
      <c r="H843" s="5">
        <f>2059 / 86400</f>
        <v>2.3831018518518519E-2</v>
      </c>
      <c r="I843" t="s">
        <v>23</v>
      </c>
      <c r="J843" t="s">
        <v>33</v>
      </c>
      <c r="K843" s="5">
        <f>6536 / 86400</f>
        <v>7.5648148148148145E-2</v>
      </c>
      <c r="L843" s="5">
        <f>240 / 86400</f>
        <v>2.7777777777777779E-3</v>
      </c>
    </row>
    <row r="844" spans="1:12" x14ac:dyDescent="0.25">
      <c r="A844" s="3">
        <v>45707.776608796295</v>
      </c>
      <c r="B844" t="s">
        <v>70</v>
      </c>
      <c r="C844" s="3">
        <v>45707.778692129628</v>
      </c>
      <c r="D844" t="s">
        <v>70</v>
      </c>
      <c r="E844" s="4">
        <v>0.11</v>
      </c>
      <c r="F844" s="4">
        <v>408156.45600000001</v>
      </c>
      <c r="G844" s="4">
        <v>408156.56599999999</v>
      </c>
      <c r="H844" s="5">
        <f>121 / 86400</f>
        <v>1.4004629629629629E-3</v>
      </c>
      <c r="I844" t="s">
        <v>31</v>
      </c>
      <c r="J844" t="s">
        <v>136</v>
      </c>
      <c r="K844" s="5">
        <f>180 / 86400</f>
        <v>2.0833333333333333E-3</v>
      </c>
      <c r="L844" s="5">
        <f>19120 / 86400</f>
        <v>0.2212962962962963</v>
      </c>
    </row>
    <row r="845" spans="1:12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</row>
    <row r="846" spans="1:12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</row>
    <row r="847" spans="1:12" s="10" customFormat="1" ht="20.100000000000001" customHeight="1" x14ac:dyDescent="0.35">
      <c r="A847" s="15" t="s">
        <v>486</v>
      </c>
      <c r="B847" s="15"/>
      <c r="C847" s="15"/>
      <c r="D847" s="15"/>
      <c r="E847" s="15"/>
      <c r="F847" s="15"/>
      <c r="G847" s="15"/>
      <c r="H847" s="15"/>
      <c r="I847" s="15"/>
      <c r="J847" s="15"/>
    </row>
    <row r="848" spans="1:12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</row>
    <row r="849" spans="1:12" ht="30" x14ac:dyDescent="0.25">
      <c r="A849" s="2" t="s">
        <v>6</v>
      </c>
      <c r="B849" s="2" t="s">
        <v>7</v>
      </c>
      <c r="C849" s="2" t="s">
        <v>8</v>
      </c>
      <c r="D849" s="2" t="s">
        <v>9</v>
      </c>
      <c r="E849" s="2" t="s">
        <v>10</v>
      </c>
      <c r="F849" s="2" t="s">
        <v>11</v>
      </c>
      <c r="G849" s="2" t="s">
        <v>12</v>
      </c>
      <c r="H849" s="2" t="s">
        <v>13</v>
      </c>
      <c r="I849" s="2" t="s">
        <v>14</v>
      </c>
      <c r="J849" s="2" t="s">
        <v>15</v>
      </c>
      <c r="K849" s="2" t="s">
        <v>16</v>
      </c>
      <c r="L849" s="2" t="s">
        <v>17</v>
      </c>
    </row>
    <row r="850" spans="1:12" x14ac:dyDescent="0.25">
      <c r="A850" s="3">
        <v>45707.595138888893</v>
      </c>
      <c r="B850" t="s">
        <v>71</v>
      </c>
      <c r="C850" s="3">
        <v>45707.595520833333</v>
      </c>
      <c r="D850" t="s">
        <v>71</v>
      </c>
      <c r="E850" s="4">
        <v>1E-3</v>
      </c>
      <c r="F850" s="4">
        <v>348657.80200000003</v>
      </c>
      <c r="G850" s="4">
        <v>348657.80300000001</v>
      </c>
      <c r="H850" s="5">
        <f>19 / 86400</f>
        <v>2.199074074074074E-4</v>
      </c>
      <c r="I850" t="s">
        <v>72</v>
      </c>
      <c r="J850" t="s">
        <v>72</v>
      </c>
      <c r="K850" s="5">
        <f>32 / 86400</f>
        <v>3.7037037037037035E-4</v>
      </c>
      <c r="L850" s="5">
        <f>86366 / 86400</f>
        <v>0.99960648148148146</v>
      </c>
    </row>
    <row r="851" spans="1:12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</row>
    <row r="852" spans="1:12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</row>
    <row r="853" spans="1:12" s="10" customFormat="1" ht="20.100000000000001" customHeight="1" x14ac:dyDescent="0.35">
      <c r="A853" s="15" t="s">
        <v>487</v>
      </c>
      <c r="B853" s="15"/>
      <c r="C853" s="15"/>
      <c r="D853" s="15"/>
      <c r="E853" s="15"/>
      <c r="F853" s="15"/>
      <c r="G853" s="15"/>
      <c r="H853" s="15"/>
      <c r="I853" s="15"/>
      <c r="J853" s="15"/>
    </row>
    <row r="854" spans="1:12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</row>
    <row r="855" spans="1:12" ht="30" x14ac:dyDescent="0.25">
      <c r="A855" s="2" t="s">
        <v>6</v>
      </c>
      <c r="B855" s="2" t="s">
        <v>7</v>
      </c>
      <c r="C855" s="2" t="s">
        <v>8</v>
      </c>
      <c r="D855" s="2" t="s">
        <v>9</v>
      </c>
      <c r="E855" s="2" t="s">
        <v>10</v>
      </c>
      <c r="F855" s="2" t="s">
        <v>11</v>
      </c>
      <c r="G855" s="2" t="s">
        <v>12</v>
      </c>
      <c r="H855" s="2" t="s">
        <v>13</v>
      </c>
      <c r="I855" s="2" t="s">
        <v>14</v>
      </c>
      <c r="J855" s="2" t="s">
        <v>15</v>
      </c>
      <c r="K855" s="2" t="s">
        <v>16</v>
      </c>
      <c r="L855" s="2" t="s">
        <v>17</v>
      </c>
    </row>
    <row r="856" spans="1:12" x14ac:dyDescent="0.25">
      <c r="A856" s="3">
        <v>45707.122210648144</v>
      </c>
      <c r="B856" t="s">
        <v>73</v>
      </c>
      <c r="C856" s="3">
        <v>45707.194837962961</v>
      </c>
      <c r="D856" t="s">
        <v>224</v>
      </c>
      <c r="E856" s="4">
        <v>38.378</v>
      </c>
      <c r="F856" s="4">
        <v>42016.976999999999</v>
      </c>
      <c r="G856" s="4">
        <v>42055.355000000003</v>
      </c>
      <c r="H856" s="5">
        <f>1719 / 86400</f>
        <v>1.9895833333333335E-2</v>
      </c>
      <c r="I856" t="s">
        <v>141</v>
      </c>
      <c r="J856" t="s">
        <v>129</v>
      </c>
      <c r="K856" s="5">
        <f>6274 / 86400</f>
        <v>7.2615740740740745E-2</v>
      </c>
      <c r="L856" s="5">
        <f>10815 / 86400</f>
        <v>0.12517361111111111</v>
      </c>
    </row>
    <row r="857" spans="1:12" x14ac:dyDescent="0.25">
      <c r="A857" s="3">
        <v>45707.197800925926</v>
      </c>
      <c r="B857" t="s">
        <v>224</v>
      </c>
      <c r="C857" s="3">
        <v>45707.3046875</v>
      </c>
      <c r="D857" t="s">
        <v>130</v>
      </c>
      <c r="E857" s="4">
        <v>52.902999999999999</v>
      </c>
      <c r="F857" s="4">
        <v>42055.355000000003</v>
      </c>
      <c r="G857" s="4">
        <v>42108.258000000002</v>
      </c>
      <c r="H857" s="5">
        <f>2460 / 86400</f>
        <v>2.8472222222222222E-2</v>
      </c>
      <c r="I857" t="s">
        <v>96</v>
      </c>
      <c r="J857" t="s">
        <v>166</v>
      </c>
      <c r="K857" s="5">
        <f>9234 / 86400</f>
        <v>0.106875</v>
      </c>
      <c r="L857" s="5">
        <f>336 / 86400</f>
        <v>3.8888888888888888E-3</v>
      </c>
    </row>
    <row r="858" spans="1:12" x14ac:dyDescent="0.25">
      <c r="A858" s="3">
        <v>45707.308576388888</v>
      </c>
      <c r="B858" t="s">
        <v>130</v>
      </c>
      <c r="C858" s="3">
        <v>45707.313541666663</v>
      </c>
      <c r="D858" t="s">
        <v>121</v>
      </c>
      <c r="E858" s="4">
        <v>1.125</v>
      </c>
      <c r="F858" s="4">
        <v>42108.258000000002</v>
      </c>
      <c r="G858" s="4">
        <v>42109.383000000002</v>
      </c>
      <c r="H858" s="5">
        <f>139 / 86400</f>
        <v>1.6087962962962963E-3</v>
      </c>
      <c r="I858" t="s">
        <v>35</v>
      </c>
      <c r="J858" t="s">
        <v>132</v>
      </c>
      <c r="K858" s="5">
        <f>429 / 86400</f>
        <v>4.9652777777777777E-3</v>
      </c>
      <c r="L858" s="5">
        <f>1323 / 86400</f>
        <v>1.53125E-2</v>
      </c>
    </row>
    <row r="859" spans="1:12" x14ac:dyDescent="0.25">
      <c r="A859" s="3">
        <v>45707.32885416667</v>
      </c>
      <c r="B859" t="s">
        <v>121</v>
      </c>
      <c r="C859" s="3">
        <v>45707.602430555555</v>
      </c>
      <c r="D859" t="s">
        <v>110</v>
      </c>
      <c r="E859" s="4">
        <v>101.129</v>
      </c>
      <c r="F859" s="4">
        <v>42109.383000000002</v>
      </c>
      <c r="G859" s="4">
        <v>42210.512000000002</v>
      </c>
      <c r="H859" s="5">
        <f>8421 / 86400</f>
        <v>9.7465277777777776E-2</v>
      </c>
      <c r="I859" t="s">
        <v>63</v>
      </c>
      <c r="J859" t="s">
        <v>46</v>
      </c>
      <c r="K859" s="5">
        <f>23637 / 86400</f>
        <v>0.27357638888888891</v>
      </c>
      <c r="L859" s="5">
        <f>597 / 86400</f>
        <v>6.9097222222222225E-3</v>
      </c>
    </row>
    <row r="860" spans="1:12" x14ac:dyDescent="0.25">
      <c r="A860" s="3">
        <v>45707.609340277777</v>
      </c>
      <c r="B860" t="s">
        <v>110</v>
      </c>
      <c r="C860" s="3">
        <v>45707.611666666664</v>
      </c>
      <c r="D860" t="s">
        <v>120</v>
      </c>
      <c r="E860" s="4">
        <v>0.121</v>
      </c>
      <c r="F860" s="4">
        <v>42210.512000000002</v>
      </c>
      <c r="G860" s="4">
        <v>42210.633000000002</v>
      </c>
      <c r="H860" s="5">
        <f>139 / 86400</f>
        <v>1.6087962962962963E-3</v>
      </c>
      <c r="I860" t="s">
        <v>37</v>
      </c>
      <c r="J860" t="s">
        <v>136</v>
      </c>
      <c r="K860" s="5">
        <f>201 / 86400</f>
        <v>2.3263888888888887E-3</v>
      </c>
      <c r="L860" s="5">
        <f>311 / 86400</f>
        <v>3.5995370370370369E-3</v>
      </c>
    </row>
    <row r="861" spans="1:12" x14ac:dyDescent="0.25">
      <c r="A861" s="3">
        <v>45707.615266203706</v>
      </c>
      <c r="B861" t="s">
        <v>120</v>
      </c>
      <c r="C861" s="3">
        <v>45707.950011574074</v>
      </c>
      <c r="D861" t="s">
        <v>375</v>
      </c>
      <c r="E861" s="4">
        <v>180.22300000000001</v>
      </c>
      <c r="F861" s="4">
        <v>42210.633000000002</v>
      </c>
      <c r="G861" s="4">
        <v>42390.856</v>
      </c>
      <c r="H861" s="5">
        <f>7281 / 86400</f>
        <v>8.4270833333333336E-2</v>
      </c>
      <c r="I861" t="s">
        <v>42</v>
      </c>
      <c r="J861" t="s">
        <v>129</v>
      </c>
      <c r="K861" s="5">
        <f>28922 / 86400</f>
        <v>0.33474537037037039</v>
      </c>
      <c r="L861" s="5">
        <f>353 / 86400</f>
        <v>4.0856481481481481E-3</v>
      </c>
    </row>
    <row r="862" spans="1:12" x14ac:dyDescent="0.25">
      <c r="A862" s="3">
        <v>45707.954097222224</v>
      </c>
      <c r="B862" t="s">
        <v>375</v>
      </c>
      <c r="C862" s="3">
        <v>45707.965231481481</v>
      </c>
      <c r="D862" t="s">
        <v>73</v>
      </c>
      <c r="E862" s="4">
        <v>3.0619999999999998</v>
      </c>
      <c r="F862" s="4">
        <v>42390.856</v>
      </c>
      <c r="G862" s="4">
        <v>42393.917999999998</v>
      </c>
      <c r="H862" s="5">
        <f>280 / 86400</f>
        <v>3.2407407407407406E-3</v>
      </c>
      <c r="I862" t="s">
        <v>174</v>
      </c>
      <c r="J862" t="s">
        <v>137</v>
      </c>
      <c r="K862" s="5">
        <f>962 / 86400</f>
        <v>1.1134259259259259E-2</v>
      </c>
      <c r="L862" s="5">
        <f>3003 / 86400</f>
        <v>3.4756944444444444E-2</v>
      </c>
    </row>
    <row r="863" spans="1:12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</row>
    <row r="864" spans="1:12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</row>
    <row r="865" spans="1:12" s="10" customFormat="1" ht="20.100000000000001" customHeight="1" x14ac:dyDescent="0.35">
      <c r="A865" s="15" t="s">
        <v>488</v>
      </c>
      <c r="B865" s="15"/>
      <c r="C865" s="15"/>
      <c r="D865" s="15"/>
      <c r="E865" s="15"/>
      <c r="F865" s="15"/>
      <c r="G865" s="15"/>
      <c r="H865" s="15"/>
      <c r="I865" s="15"/>
      <c r="J865" s="15"/>
    </row>
    <row r="866" spans="1:12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</row>
    <row r="867" spans="1:12" ht="30" x14ac:dyDescent="0.25">
      <c r="A867" s="2" t="s">
        <v>6</v>
      </c>
      <c r="B867" s="2" t="s">
        <v>7</v>
      </c>
      <c r="C867" s="2" t="s">
        <v>8</v>
      </c>
      <c r="D867" s="2" t="s">
        <v>9</v>
      </c>
      <c r="E867" s="2" t="s">
        <v>10</v>
      </c>
      <c r="F867" s="2" t="s">
        <v>11</v>
      </c>
      <c r="G867" s="2" t="s">
        <v>12</v>
      </c>
      <c r="H867" s="2" t="s">
        <v>13</v>
      </c>
      <c r="I867" s="2" t="s">
        <v>14</v>
      </c>
      <c r="J867" s="2" t="s">
        <v>15</v>
      </c>
      <c r="K867" s="2" t="s">
        <v>16</v>
      </c>
      <c r="L867" s="2" t="s">
        <v>17</v>
      </c>
    </row>
    <row r="868" spans="1:12" x14ac:dyDescent="0.25">
      <c r="A868" s="3">
        <v>45707.003159722226</v>
      </c>
      <c r="B868" t="s">
        <v>74</v>
      </c>
      <c r="C868" s="3">
        <v>45707.003958333335</v>
      </c>
      <c r="D868" t="s">
        <v>418</v>
      </c>
      <c r="E868" s="4">
        <v>0.06</v>
      </c>
      <c r="F868" s="4">
        <v>47937.601000000002</v>
      </c>
      <c r="G868" s="4">
        <v>47937.661</v>
      </c>
      <c r="H868" s="5">
        <f>19 / 86400</f>
        <v>2.199074074074074E-4</v>
      </c>
      <c r="I868" t="s">
        <v>85</v>
      </c>
      <c r="J868" t="s">
        <v>24</v>
      </c>
      <c r="K868" s="5">
        <f>69 / 86400</f>
        <v>7.9861111111111116E-4</v>
      </c>
      <c r="L868" s="5">
        <f>1366 / 86400</f>
        <v>1.5810185185185184E-2</v>
      </c>
    </row>
    <row r="869" spans="1:12" x14ac:dyDescent="0.25">
      <c r="A869" s="3">
        <v>45707.016608796301</v>
      </c>
      <c r="B869" t="s">
        <v>418</v>
      </c>
      <c r="C869" s="3">
        <v>45707.019756944443</v>
      </c>
      <c r="D869" t="s">
        <v>36</v>
      </c>
      <c r="E869" s="4">
        <v>1.37</v>
      </c>
      <c r="F869" s="4">
        <v>47937.661</v>
      </c>
      <c r="G869" s="4">
        <v>47939.031000000003</v>
      </c>
      <c r="H869" s="5">
        <f>60 / 86400</f>
        <v>6.9444444444444447E-4</v>
      </c>
      <c r="I869" t="s">
        <v>100</v>
      </c>
      <c r="J869" t="s">
        <v>27</v>
      </c>
      <c r="K869" s="5">
        <f>272 / 86400</f>
        <v>3.1481481481481482E-3</v>
      </c>
      <c r="L869" s="5">
        <f>13368 / 86400</f>
        <v>0.15472222222222223</v>
      </c>
    </row>
    <row r="870" spans="1:12" x14ac:dyDescent="0.25">
      <c r="A870" s="3">
        <v>45707.174479166672</v>
      </c>
      <c r="B870" t="s">
        <v>36</v>
      </c>
      <c r="C870" s="3">
        <v>45707.310636574075</v>
      </c>
      <c r="D870" t="s">
        <v>140</v>
      </c>
      <c r="E870" s="4">
        <v>68.204999999999998</v>
      </c>
      <c r="F870" s="4">
        <v>47939.031000000003</v>
      </c>
      <c r="G870" s="4">
        <v>48007.235999999997</v>
      </c>
      <c r="H870" s="5">
        <f>3099 / 86400</f>
        <v>3.5868055555555556E-2</v>
      </c>
      <c r="I870" t="s">
        <v>78</v>
      </c>
      <c r="J870" t="s">
        <v>166</v>
      </c>
      <c r="K870" s="5">
        <f>11763 / 86400</f>
        <v>0.13614583333333333</v>
      </c>
      <c r="L870" s="5">
        <f>85 / 86400</f>
        <v>9.837962962962962E-4</v>
      </c>
    </row>
    <row r="871" spans="1:12" x14ac:dyDescent="0.25">
      <c r="A871" s="3">
        <v>45707.311620370368</v>
      </c>
      <c r="B871" t="s">
        <v>140</v>
      </c>
      <c r="C871" s="3">
        <v>45707.412499999999</v>
      </c>
      <c r="D871" t="s">
        <v>396</v>
      </c>
      <c r="E871" s="4">
        <v>36.749000000000002</v>
      </c>
      <c r="F871" s="4">
        <v>48007.235999999997</v>
      </c>
      <c r="G871" s="4">
        <v>48043.985000000001</v>
      </c>
      <c r="H871" s="5">
        <f>3300 / 86400</f>
        <v>3.8194444444444448E-2</v>
      </c>
      <c r="I871" t="s">
        <v>50</v>
      </c>
      <c r="J871" t="s">
        <v>46</v>
      </c>
      <c r="K871" s="5">
        <f>8715 / 86400</f>
        <v>0.10086805555555556</v>
      </c>
      <c r="L871" s="5">
        <f>1608 / 86400</f>
        <v>1.861111111111111E-2</v>
      </c>
    </row>
    <row r="872" spans="1:12" x14ac:dyDescent="0.25">
      <c r="A872" s="3">
        <v>45707.431111111116</v>
      </c>
      <c r="B872" t="s">
        <v>396</v>
      </c>
      <c r="C872" s="3">
        <v>45707.549224537041</v>
      </c>
      <c r="D872" t="s">
        <v>36</v>
      </c>
      <c r="E872" s="4">
        <v>39.997999999999998</v>
      </c>
      <c r="F872" s="4">
        <v>48043.985000000001</v>
      </c>
      <c r="G872" s="4">
        <v>48083.983</v>
      </c>
      <c r="H872" s="5">
        <f>3697 / 86400</f>
        <v>4.2789351851851849E-2</v>
      </c>
      <c r="I872" t="s">
        <v>141</v>
      </c>
      <c r="J872" t="s">
        <v>43</v>
      </c>
      <c r="K872" s="5">
        <f>10204 / 86400</f>
        <v>0.11810185185185185</v>
      </c>
      <c r="L872" s="5">
        <f>209 / 86400</f>
        <v>2.4189814814814816E-3</v>
      </c>
    </row>
    <row r="873" spans="1:12" x14ac:dyDescent="0.25">
      <c r="A873" s="3">
        <v>45707.55164351852</v>
      </c>
      <c r="B873" t="s">
        <v>36</v>
      </c>
      <c r="C873" s="3">
        <v>45707.555787037039</v>
      </c>
      <c r="D873" t="s">
        <v>36</v>
      </c>
      <c r="E873" s="4">
        <v>1.3740000000000001</v>
      </c>
      <c r="F873" s="4">
        <v>48083.983</v>
      </c>
      <c r="G873" s="4">
        <v>48085.357000000004</v>
      </c>
      <c r="H873" s="5">
        <f>159 / 86400</f>
        <v>1.8402777777777777E-3</v>
      </c>
      <c r="I873" t="s">
        <v>194</v>
      </c>
      <c r="J873" t="s">
        <v>43</v>
      </c>
      <c r="K873" s="5">
        <f>358 / 86400</f>
        <v>4.1435185185185186E-3</v>
      </c>
      <c r="L873" s="5">
        <f>6150 / 86400</f>
        <v>7.1180555555555552E-2</v>
      </c>
    </row>
    <row r="874" spans="1:12" x14ac:dyDescent="0.25">
      <c r="A874" s="3">
        <v>45707.626967592594</v>
      </c>
      <c r="B874" t="s">
        <v>36</v>
      </c>
      <c r="C874" s="3">
        <v>45707.628344907411</v>
      </c>
      <c r="D874" t="s">
        <v>82</v>
      </c>
      <c r="E874" s="4">
        <v>9.6000000000000002E-2</v>
      </c>
      <c r="F874" s="4">
        <v>48085.357000000004</v>
      </c>
      <c r="G874" s="4">
        <v>48085.453000000001</v>
      </c>
      <c r="H874" s="5">
        <f>60 / 86400</f>
        <v>6.9444444444444447E-4</v>
      </c>
      <c r="I874" t="s">
        <v>137</v>
      </c>
      <c r="J874" t="s">
        <v>24</v>
      </c>
      <c r="K874" s="5">
        <f>118 / 86400</f>
        <v>1.3657407407407407E-3</v>
      </c>
      <c r="L874" s="5">
        <f>164 / 86400</f>
        <v>1.8981481481481482E-3</v>
      </c>
    </row>
    <row r="875" spans="1:12" x14ac:dyDescent="0.25">
      <c r="A875" s="3">
        <v>45707.630243055552</v>
      </c>
      <c r="B875" t="s">
        <v>36</v>
      </c>
      <c r="C875" s="3">
        <v>45707.838506944448</v>
      </c>
      <c r="D875" t="s">
        <v>370</v>
      </c>
      <c r="E875" s="4">
        <v>73.394000000000005</v>
      </c>
      <c r="F875" s="4">
        <v>48085.453000000001</v>
      </c>
      <c r="G875" s="4">
        <v>48158.847000000002</v>
      </c>
      <c r="H875" s="5">
        <f>6682 / 86400</f>
        <v>7.7337962962962969E-2</v>
      </c>
      <c r="I875" t="s">
        <v>87</v>
      </c>
      <c r="J875" t="s">
        <v>46</v>
      </c>
      <c r="K875" s="5">
        <f>17994 / 86400</f>
        <v>0.20826388888888889</v>
      </c>
      <c r="L875" s="5">
        <f>4 / 86400</f>
        <v>4.6296296296296294E-5</v>
      </c>
    </row>
    <row r="876" spans="1:12" x14ac:dyDescent="0.25">
      <c r="A876" s="3">
        <v>45707.838553240741</v>
      </c>
      <c r="B876" t="s">
        <v>370</v>
      </c>
      <c r="C876" s="3">
        <v>45707.838854166665</v>
      </c>
      <c r="D876" t="s">
        <v>370</v>
      </c>
      <c r="E876" s="4">
        <v>3.0000000000000001E-3</v>
      </c>
      <c r="F876" s="4">
        <v>48158.847000000002</v>
      </c>
      <c r="G876" s="4">
        <v>48158.85</v>
      </c>
      <c r="H876" s="5">
        <f>10 / 86400</f>
        <v>1.1574074074074075E-4</v>
      </c>
      <c r="I876" t="s">
        <v>72</v>
      </c>
      <c r="J876" t="s">
        <v>72</v>
      </c>
      <c r="K876" s="5">
        <f>26 / 86400</f>
        <v>3.0092592592592595E-4</v>
      </c>
      <c r="L876" s="5">
        <f>26 / 86400</f>
        <v>3.0092592592592595E-4</v>
      </c>
    </row>
    <row r="877" spans="1:12" x14ac:dyDescent="0.25">
      <c r="A877" s="3">
        <v>45707.839155092588</v>
      </c>
      <c r="B877" t="s">
        <v>370</v>
      </c>
      <c r="C877" s="3">
        <v>45707.839236111111</v>
      </c>
      <c r="D877" t="s">
        <v>370</v>
      </c>
      <c r="E877" s="4">
        <v>0</v>
      </c>
      <c r="F877" s="4">
        <v>48158.85</v>
      </c>
      <c r="G877" s="4">
        <v>48158.85</v>
      </c>
      <c r="H877" s="5">
        <f>0 / 86400</f>
        <v>0</v>
      </c>
      <c r="I877" t="s">
        <v>72</v>
      </c>
      <c r="J877" t="s">
        <v>72</v>
      </c>
      <c r="K877" s="5">
        <f>6 / 86400</f>
        <v>6.9444444444444444E-5</v>
      </c>
      <c r="L877" s="5">
        <f>476 / 86400</f>
        <v>5.5092592592592589E-3</v>
      </c>
    </row>
    <row r="878" spans="1:12" x14ac:dyDescent="0.25">
      <c r="A878" s="3">
        <v>45707.84474537037</v>
      </c>
      <c r="B878" t="s">
        <v>370</v>
      </c>
      <c r="C878" s="3">
        <v>45707.999131944445</v>
      </c>
      <c r="D878" t="s">
        <v>74</v>
      </c>
      <c r="E878" s="4">
        <v>77.819999999999993</v>
      </c>
      <c r="F878" s="4">
        <v>48158.85</v>
      </c>
      <c r="G878" s="4">
        <v>48236.67</v>
      </c>
      <c r="H878" s="5">
        <f>4181 / 86400</f>
        <v>4.8391203703703707E-2</v>
      </c>
      <c r="I878" t="s">
        <v>19</v>
      </c>
      <c r="J878" t="s">
        <v>166</v>
      </c>
      <c r="K878" s="5">
        <f>13338 / 86400</f>
        <v>0.15437500000000001</v>
      </c>
      <c r="L878" s="5">
        <f>74 / 86400</f>
        <v>8.564814814814815E-4</v>
      </c>
    </row>
    <row r="879" spans="1:12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</row>
    <row r="880" spans="1:12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</row>
    <row r="881" spans="1:12" s="10" customFormat="1" ht="20.100000000000001" customHeight="1" x14ac:dyDescent="0.35">
      <c r="A881" s="15" t="s">
        <v>489</v>
      </c>
      <c r="B881" s="15"/>
      <c r="C881" s="15"/>
      <c r="D881" s="15"/>
      <c r="E881" s="15"/>
      <c r="F881" s="15"/>
      <c r="G881" s="15"/>
      <c r="H881" s="15"/>
      <c r="I881" s="15"/>
      <c r="J881" s="15"/>
    </row>
    <row r="882" spans="1:12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</row>
    <row r="883" spans="1:12" ht="30" x14ac:dyDescent="0.25">
      <c r="A883" s="2" t="s">
        <v>6</v>
      </c>
      <c r="B883" s="2" t="s">
        <v>7</v>
      </c>
      <c r="C883" s="2" t="s">
        <v>8</v>
      </c>
      <c r="D883" s="2" t="s">
        <v>9</v>
      </c>
      <c r="E883" s="2" t="s">
        <v>10</v>
      </c>
      <c r="F883" s="2" t="s">
        <v>11</v>
      </c>
      <c r="G883" s="2" t="s">
        <v>12</v>
      </c>
      <c r="H883" s="2" t="s">
        <v>13</v>
      </c>
      <c r="I883" s="2" t="s">
        <v>14</v>
      </c>
      <c r="J883" s="2" t="s">
        <v>15</v>
      </c>
      <c r="K883" s="2" t="s">
        <v>16</v>
      </c>
      <c r="L883" s="2" t="s">
        <v>17</v>
      </c>
    </row>
    <row r="884" spans="1:12" x14ac:dyDescent="0.25">
      <c r="A884" s="3">
        <v>45707</v>
      </c>
      <c r="B884" t="s">
        <v>75</v>
      </c>
      <c r="C884" s="3">
        <v>45707.004409722227</v>
      </c>
      <c r="D884" t="s">
        <v>74</v>
      </c>
      <c r="E884" s="4">
        <v>3.4130000000596046</v>
      </c>
      <c r="F884" s="4">
        <v>529309.75199999998</v>
      </c>
      <c r="G884" s="4">
        <v>529313.16500000004</v>
      </c>
      <c r="H884" s="5">
        <f>0 / 86400</f>
        <v>0</v>
      </c>
      <c r="I884" t="s">
        <v>235</v>
      </c>
      <c r="J884" t="s">
        <v>142</v>
      </c>
      <c r="K884" s="5">
        <f>381 / 86400</f>
        <v>4.409722222222222E-3</v>
      </c>
      <c r="L884" s="5">
        <f>1181 / 86400</f>
        <v>1.3668981481481482E-2</v>
      </c>
    </row>
    <row r="885" spans="1:12" x14ac:dyDescent="0.25">
      <c r="A885" s="3">
        <v>45707.018078703702</v>
      </c>
      <c r="B885" t="s">
        <v>74</v>
      </c>
      <c r="C885" s="3">
        <v>45707.021261574075</v>
      </c>
      <c r="D885" t="s">
        <v>74</v>
      </c>
      <c r="E885" s="4">
        <v>0.82999999994039531</v>
      </c>
      <c r="F885" s="4">
        <v>529313.16500000004</v>
      </c>
      <c r="G885" s="4">
        <v>529313.995</v>
      </c>
      <c r="H885" s="5">
        <f>40 / 86400</f>
        <v>4.6296296296296298E-4</v>
      </c>
      <c r="I885" t="s">
        <v>151</v>
      </c>
      <c r="J885" t="s">
        <v>137</v>
      </c>
      <c r="K885" s="5">
        <f>274 / 86400</f>
        <v>3.1712962962962962E-3</v>
      </c>
      <c r="L885" s="5">
        <f>14119 / 86400</f>
        <v>0.16341435185185185</v>
      </c>
    </row>
    <row r="886" spans="1:12" x14ac:dyDescent="0.25">
      <c r="A886" s="3">
        <v>45707.184675925921</v>
      </c>
      <c r="B886" t="s">
        <v>74</v>
      </c>
      <c r="C886" s="3">
        <v>45707.355613425927</v>
      </c>
      <c r="D886" t="s">
        <v>121</v>
      </c>
      <c r="E886" s="4">
        <v>83.87100000005961</v>
      </c>
      <c r="F886" s="4">
        <v>529313.995</v>
      </c>
      <c r="G886" s="4">
        <v>529397.86600000004</v>
      </c>
      <c r="H886" s="5">
        <f>4339 / 86400</f>
        <v>5.0219907407407408E-2</v>
      </c>
      <c r="I886" t="s">
        <v>29</v>
      </c>
      <c r="J886" t="s">
        <v>149</v>
      </c>
      <c r="K886" s="5">
        <f>14768 / 86400</f>
        <v>0.17092592592592593</v>
      </c>
      <c r="L886" s="5">
        <f>1531 / 86400</f>
        <v>1.7719907407407406E-2</v>
      </c>
    </row>
    <row r="887" spans="1:12" x14ac:dyDescent="0.25">
      <c r="A887" s="3">
        <v>45707.373333333337</v>
      </c>
      <c r="B887" t="s">
        <v>121</v>
      </c>
      <c r="C887" s="3">
        <v>45707.375127314815</v>
      </c>
      <c r="D887" t="s">
        <v>121</v>
      </c>
      <c r="E887" s="4">
        <v>0.16399999994039535</v>
      </c>
      <c r="F887" s="4">
        <v>529397.86600000004</v>
      </c>
      <c r="G887" s="4">
        <v>529398.03</v>
      </c>
      <c r="H887" s="5">
        <f>99 / 86400</f>
        <v>1.1458333333333333E-3</v>
      </c>
      <c r="I887" t="s">
        <v>31</v>
      </c>
      <c r="J887" t="s">
        <v>58</v>
      </c>
      <c r="K887" s="5">
        <f>154 / 86400</f>
        <v>1.7824074074074075E-3</v>
      </c>
      <c r="L887" s="5">
        <f>1709 / 86400</f>
        <v>1.9780092592592592E-2</v>
      </c>
    </row>
    <row r="888" spans="1:12" x14ac:dyDescent="0.25">
      <c r="A888" s="3">
        <v>45707.394907407404</v>
      </c>
      <c r="B888" t="s">
        <v>121</v>
      </c>
      <c r="C888" s="3">
        <v>45707.398657407408</v>
      </c>
      <c r="D888" t="s">
        <v>130</v>
      </c>
      <c r="E888" s="4">
        <v>0.95499999999999996</v>
      </c>
      <c r="F888" s="4">
        <v>529398.03</v>
      </c>
      <c r="G888" s="4">
        <v>529398.98499999999</v>
      </c>
      <c r="H888" s="5">
        <f>20 / 86400</f>
        <v>2.3148148148148149E-4</v>
      </c>
      <c r="I888" t="s">
        <v>30</v>
      </c>
      <c r="J888" t="s">
        <v>137</v>
      </c>
      <c r="K888" s="5">
        <f>324 / 86400</f>
        <v>3.7499999999999999E-3</v>
      </c>
      <c r="L888" s="5">
        <f>358 / 86400</f>
        <v>4.1435185185185186E-3</v>
      </c>
    </row>
    <row r="889" spans="1:12" x14ac:dyDescent="0.25">
      <c r="A889" s="3">
        <v>45707.402800925927</v>
      </c>
      <c r="B889" t="s">
        <v>130</v>
      </c>
      <c r="C889" s="3">
        <v>45707.521770833337</v>
      </c>
      <c r="D889" t="s">
        <v>22</v>
      </c>
      <c r="E889" s="4">
        <v>50.936999999999998</v>
      </c>
      <c r="F889" s="4">
        <v>529398.98499999999</v>
      </c>
      <c r="G889" s="4">
        <v>529449.92200000002</v>
      </c>
      <c r="H889" s="5">
        <f>3321 / 86400</f>
        <v>3.8437499999999999E-2</v>
      </c>
      <c r="I889" t="s">
        <v>32</v>
      </c>
      <c r="J889" t="s">
        <v>27</v>
      </c>
      <c r="K889" s="5">
        <f>10279 / 86400</f>
        <v>0.11896990740740741</v>
      </c>
      <c r="L889" s="5">
        <f>146 / 86400</f>
        <v>1.6898148148148148E-3</v>
      </c>
    </row>
    <row r="890" spans="1:12" x14ac:dyDescent="0.25">
      <c r="A890" s="3">
        <v>45707.523460648154</v>
      </c>
      <c r="B890" t="s">
        <v>22</v>
      </c>
      <c r="C890" s="3">
        <v>45707.557245370372</v>
      </c>
      <c r="D890" t="s">
        <v>419</v>
      </c>
      <c r="E890" s="4">
        <v>9.4160000000000004</v>
      </c>
      <c r="F890" s="4">
        <v>529449.92200000002</v>
      </c>
      <c r="G890" s="4">
        <v>529459.33799999999</v>
      </c>
      <c r="H890" s="5">
        <f>1361 / 86400</f>
        <v>1.5752314814814816E-2</v>
      </c>
      <c r="I890" t="s">
        <v>299</v>
      </c>
      <c r="J890" t="s">
        <v>148</v>
      </c>
      <c r="K890" s="5">
        <f>2919 / 86400</f>
        <v>3.3784722222222223E-2</v>
      </c>
      <c r="L890" s="5">
        <f>2865 / 86400</f>
        <v>3.3159722222222222E-2</v>
      </c>
    </row>
    <row r="891" spans="1:12" x14ac:dyDescent="0.25">
      <c r="A891" s="3">
        <v>45707.590405092589</v>
      </c>
      <c r="B891" t="s">
        <v>419</v>
      </c>
      <c r="C891" s="3">
        <v>45707.695856481485</v>
      </c>
      <c r="D891" t="s">
        <v>110</v>
      </c>
      <c r="E891" s="4">
        <v>46.798999999999999</v>
      </c>
      <c r="F891" s="4">
        <v>529459.33799999999</v>
      </c>
      <c r="G891" s="4">
        <v>529506.13699999999</v>
      </c>
      <c r="H891" s="5">
        <f>3101 / 86400</f>
        <v>3.5891203703703703E-2</v>
      </c>
      <c r="I891" t="s">
        <v>65</v>
      </c>
      <c r="J891" t="s">
        <v>27</v>
      </c>
      <c r="K891" s="5">
        <f>9110 / 86400</f>
        <v>0.10543981481481482</v>
      </c>
      <c r="L891" s="5">
        <f>235 / 86400</f>
        <v>2.7199074074074074E-3</v>
      </c>
    </row>
    <row r="892" spans="1:12" x14ac:dyDescent="0.25">
      <c r="A892" s="3">
        <v>45707.698576388888</v>
      </c>
      <c r="B892" t="s">
        <v>110</v>
      </c>
      <c r="C892" s="3">
        <v>45707.700497685189</v>
      </c>
      <c r="D892" t="s">
        <v>110</v>
      </c>
      <c r="E892" s="4">
        <v>9.4E-2</v>
      </c>
      <c r="F892" s="4">
        <v>529506.13699999999</v>
      </c>
      <c r="G892" s="4">
        <v>529506.23100000003</v>
      </c>
      <c r="H892" s="5">
        <f>119 / 86400</f>
        <v>1.3773148148148147E-3</v>
      </c>
      <c r="I892" t="s">
        <v>148</v>
      </c>
      <c r="J892" t="s">
        <v>136</v>
      </c>
      <c r="K892" s="5">
        <f>166 / 86400</f>
        <v>1.9212962962962964E-3</v>
      </c>
      <c r="L892" s="5">
        <f>1535 / 86400</f>
        <v>1.7766203703703704E-2</v>
      </c>
    </row>
    <row r="893" spans="1:12" x14ac:dyDescent="0.25">
      <c r="A893" s="3">
        <v>45707.718263888892</v>
      </c>
      <c r="B893" t="s">
        <v>120</v>
      </c>
      <c r="C893" s="3">
        <v>45707.792650462958</v>
      </c>
      <c r="D893" t="s">
        <v>420</v>
      </c>
      <c r="E893" s="4">
        <v>35.167000000059602</v>
      </c>
      <c r="F893" s="4">
        <v>529506.23100000003</v>
      </c>
      <c r="G893" s="4">
        <v>529541.39800000004</v>
      </c>
      <c r="H893" s="5">
        <f>2039 / 86400</f>
        <v>2.3599537037037037E-2</v>
      </c>
      <c r="I893" t="s">
        <v>42</v>
      </c>
      <c r="J893" t="s">
        <v>149</v>
      </c>
      <c r="K893" s="5">
        <f>6427 / 86400</f>
        <v>7.4386574074074077E-2</v>
      </c>
      <c r="L893" s="5">
        <f>83 / 86400</f>
        <v>9.6064814814814819E-4</v>
      </c>
    </row>
    <row r="894" spans="1:12" x14ac:dyDescent="0.25">
      <c r="A894" s="3">
        <v>45707.793611111112</v>
      </c>
      <c r="B894" t="s">
        <v>420</v>
      </c>
      <c r="C894" s="3">
        <v>45707.859525462962</v>
      </c>
      <c r="D894" t="s">
        <v>275</v>
      </c>
      <c r="E894" s="4">
        <v>22.263999999940395</v>
      </c>
      <c r="F894" s="4">
        <v>529541.39800000004</v>
      </c>
      <c r="G894" s="4">
        <v>529563.66200000001</v>
      </c>
      <c r="H894" s="5">
        <f>2259 / 86400</f>
        <v>2.6145833333333333E-2</v>
      </c>
      <c r="I894" t="s">
        <v>382</v>
      </c>
      <c r="J894" t="s">
        <v>43</v>
      </c>
      <c r="K894" s="5">
        <f>5695 / 86400</f>
        <v>6.5914351851851849E-2</v>
      </c>
      <c r="L894" s="5">
        <f>224 / 86400</f>
        <v>2.5925925925925925E-3</v>
      </c>
    </row>
    <row r="895" spans="1:12" x14ac:dyDescent="0.25">
      <c r="A895" s="3">
        <v>45707.862118055556</v>
      </c>
      <c r="B895" t="s">
        <v>275</v>
      </c>
      <c r="C895" s="3">
        <v>45707.863784722227</v>
      </c>
      <c r="D895" t="s">
        <v>140</v>
      </c>
      <c r="E895" s="4">
        <v>0.377</v>
      </c>
      <c r="F895" s="4">
        <v>529563.66200000001</v>
      </c>
      <c r="G895" s="4">
        <v>529564.03899999999</v>
      </c>
      <c r="H895" s="5">
        <f>40 / 86400</f>
        <v>4.6296296296296298E-4</v>
      </c>
      <c r="I895" t="s">
        <v>166</v>
      </c>
      <c r="J895" t="s">
        <v>132</v>
      </c>
      <c r="K895" s="5">
        <f>143 / 86400</f>
        <v>1.6550925925925926E-3</v>
      </c>
      <c r="L895" s="5">
        <f>1519 / 86400</f>
        <v>1.758101851851852E-2</v>
      </c>
    </row>
    <row r="896" spans="1:12" x14ac:dyDescent="0.25">
      <c r="A896" s="3">
        <v>45707.881365740745</v>
      </c>
      <c r="B896" t="s">
        <v>140</v>
      </c>
      <c r="C896" s="3">
        <v>45707.958298611113</v>
      </c>
      <c r="D896" t="s">
        <v>98</v>
      </c>
      <c r="E896" s="4">
        <v>34.675999999940395</v>
      </c>
      <c r="F896" s="4">
        <v>529564.03899999999</v>
      </c>
      <c r="G896" s="4">
        <v>529598.71499999997</v>
      </c>
      <c r="H896" s="5">
        <f>2501 / 86400</f>
        <v>2.8946759259259259E-2</v>
      </c>
      <c r="I896" t="s">
        <v>52</v>
      </c>
      <c r="J896" t="s">
        <v>33</v>
      </c>
      <c r="K896" s="5">
        <f>6646 / 86400</f>
        <v>7.6921296296296293E-2</v>
      </c>
      <c r="L896" s="5">
        <f>173 / 86400</f>
        <v>2.0023148148148148E-3</v>
      </c>
    </row>
    <row r="897" spans="1:12" x14ac:dyDescent="0.25">
      <c r="A897" s="3">
        <v>45707.96030092593</v>
      </c>
      <c r="B897" t="s">
        <v>98</v>
      </c>
      <c r="C897" s="3">
        <v>45707.960439814815</v>
      </c>
      <c r="D897" t="s">
        <v>98</v>
      </c>
      <c r="E897" s="4">
        <v>3.0000000596046446E-3</v>
      </c>
      <c r="F897" s="4">
        <v>529598.71499999997</v>
      </c>
      <c r="G897" s="4">
        <v>529598.71799999999</v>
      </c>
      <c r="H897" s="5">
        <f>0 / 86400</f>
        <v>0</v>
      </c>
      <c r="I897" t="s">
        <v>72</v>
      </c>
      <c r="J897" t="s">
        <v>127</v>
      </c>
      <c r="K897" s="5">
        <f>12 / 86400</f>
        <v>1.3888888888888889E-4</v>
      </c>
      <c r="L897" s="5">
        <f>648 / 86400</f>
        <v>7.4999999999999997E-3</v>
      </c>
    </row>
    <row r="898" spans="1:12" x14ac:dyDescent="0.25">
      <c r="A898" s="3">
        <v>45707.967939814815</v>
      </c>
      <c r="B898" t="s">
        <v>98</v>
      </c>
      <c r="C898" s="3">
        <v>45707.973460648151</v>
      </c>
      <c r="D898" t="s">
        <v>98</v>
      </c>
      <c r="E898" s="4">
        <v>6.0000000596046451E-3</v>
      </c>
      <c r="F898" s="4">
        <v>529598.71799999999</v>
      </c>
      <c r="G898" s="4">
        <v>529598.72400000005</v>
      </c>
      <c r="H898" s="5">
        <f>459 / 86400</f>
        <v>5.3125000000000004E-3</v>
      </c>
      <c r="I898" t="s">
        <v>72</v>
      </c>
      <c r="J898" t="s">
        <v>72</v>
      </c>
      <c r="K898" s="5">
        <f>476 / 86400</f>
        <v>5.5092592592592589E-3</v>
      </c>
      <c r="L898" s="5">
        <f>106 / 86400</f>
        <v>1.2268518518518518E-3</v>
      </c>
    </row>
    <row r="899" spans="1:12" x14ac:dyDescent="0.25">
      <c r="A899" s="3">
        <v>45707.974687499998</v>
      </c>
      <c r="B899" t="s">
        <v>98</v>
      </c>
      <c r="C899" s="3">
        <v>45707.99998842593</v>
      </c>
      <c r="D899" t="s">
        <v>76</v>
      </c>
      <c r="E899" s="4">
        <v>10.780999999940395</v>
      </c>
      <c r="F899" s="4">
        <v>529598.72400000005</v>
      </c>
      <c r="G899" s="4">
        <v>529609.505</v>
      </c>
      <c r="H899" s="5">
        <f>1039 / 86400</f>
        <v>1.2025462962962963E-2</v>
      </c>
      <c r="I899" t="s">
        <v>42</v>
      </c>
      <c r="J899" t="s">
        <v>27</v>
      </c>
      <c r="K899" s="5">
        <f>2186 / 86400</f>
        <v>2.5300925925925925E-2</v>
      </c>
      <c r="L899" s="5">
        <f>0 / 86400</f>
        <v>0</v>
      </c>
    </row>
    <row r="900" spans="1:12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</row>
    <row r="901" spans="1:12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</row>
    <row r="902" spans="1:12" s="10" customFormat="1" ht="20.100000000000001" customHeight="1" x14ac:dyDescent="0.35">
      <c r="A902" s="15" t="s">
        <v>490</v>
      </c>
      <c r="B902" s="15"/>
      <c r="C902" s="15"/>
      <c r="D902" s="15"/>
      <c r="E902" s="15"/>
      <c r="F902" s="15"/>
      <c r="G902" s="15"/>
      <c r="H902" s="15"/>
      <c r="I902" s="15"/>
      <c r="J902" s="15"/>
    </row>
    <row r="903" spans="1:12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</row>
    <row r="904" spans="1:12" ht="30" x14ac:dyDescent="0.25">
      <c r="A904" s="2" t="s">
        <v>6</v>
      </c>
      <c r="B904" s="2" t="s">
        <v>7</v>
      </c>
      <c r="C904" s="2" t="s">
        <v>8</v>
      </c>
      <c r="D904" s="2" t="s">
        <v>9</v>
      </c>
      <c r="E904" s="2" t="s">
        <v>10</v>
      </c>
      <c r="F904" s="2" t="s">
        <v>11</v>
      </c>
      <c r="G904" s="2" t="s">
        <v>12</v>
      </c>
      <c r="H904" s="2" t="s">
        <v>13</v>
      </c>
      <c r="I904" s="2" t="s">
        <v>14</v>
      </c>
      <c r="J904" s="2" t="s">
        <v>15</v>
      </c>
      <c r="K904" s="2" t="s">
        <v>16</v>
      </c>
      <c r="L904" s="2" t="s">
        <v>17</v>
      </c>
    </row>
    <row r="905" spans="1:12" x14ac:dyDescent="0.25">
      <c r="A905" s="3">
        <v>45707.34003472222</v>
      </c>
      <c r="B905" t="s">
        <v>36</v>
      </c>
      <c r="C905" s="3">
        <v>45707.399780092594</v>
      </c>
      <c r="D905" t="s">
        <v>421</v>
      </c>
      <c r="E905" s="4">
        <v>26.808</v>
      </c>
      <c r="F905" s="4">
        <v>569134.76699999999</v>
      </c>
      <c r="G905" s="4">
        <v>569161.57499999995</v>
      </c>
      <c r="H905" s="5">
        <f>1779 / 86400</f>
        <v>2.0590277777777777E-2</v>
      </c>
      <c r="I905" t="s">
        <v>65</v>
      </c>
      <c r="J905" t="s">
        <v>33</v>
      </c>
      <c r="K905" s="5">
        <f>5161 / 86400</f>
        <v>5.9733796296296299E-2</v>
      </c>
      <c r="L905" s="5">
        <f>32563 / 86400</f>
        <v>0.37688657407407405</v>
      </c>
    </row>
    <row r="906" spans="1:12" x14ac:dyDescent="0.25">
      <c r="A906" s="3">
        <v>45707.436631944445</v>
      </c>
      <c r="B906" t="s">
        <v>421</v>
      </c>
      <c r="C906" s="3">
        <v>45707.4377662037</v>
      </c>
      <c r="D906" t="s">
        <v>421</v>
      </c>
      <c r="E906" s="4">
        <v>0.73199999999999998</v>
      </c>
      <c r="F906" s="4">
        <v>569161.57499999995</v>
      </c>
      <c r="G906" s="4">
        <v>569162.30700000003</v>
      </c>
      <c r="H906" s="5">
        <f>0 / 86400</f>
        <v>0</v>
      </c>
      <c r="I906" t="s">
        <v>235</v>
      </c>
      <c r="J906" t="s">
        <v>84</v>
      </c>
      <c r="K906" s="5">
        <f>98 / 86400</f>
        <v>1.1342592592592593E-3</v>
      </c>
      <c r="L906" s="5">
        <f>80 / 86400</f>
        <v>9.2592592592592596E-4</v>
      </c>
    </row>
    <row r="907" spans="1:12" x14ac:dyDescent="0.25">
      <c r="A907" s="3">
        <v>45707.438692129625</v>
      </c>
      <c r="B907" t="s">
        <v>421</v>
      </c>
      <c r="C907" s="3">
        <v>45707.578460648147</v>
      </c>
      <c r="D907" t="s">
        <v>164</v>
      </c>
      <c r="E907" s="4">
        <v>61.363999999999997</v>
      </c>
      <c r="F907" s="4">
        <v>569162.30700000003</v>
      </c>
      <c r="G907" s="4">
        <v>569223.67099999997</v>
      </c>
      <c r="H907" s="5">
        <f>3860 / 86400</f>
        <v>4.4675925925925924E-2</v>
      </c>
      <c r="I907" t="s">
        <v>23</v>
      </c>
      <c r="J907" t="s">
        <v>27</v>
      </c>
      <c r="K907" s="5">
        <f>12076 / 86400</f>
        <v>0.13976851851851851</v>
      </c>
      <c r="L907" s="5">
        <f>2222 / 86400</f>
        <v>2.5717592592592594E-2</v>
      </c>
    </row>
    <row r="908" spans="1:12" x14ac:dyDescent="0.25">
      <c r="A908" s="3">
        <v>45707.604178240741</v>
      </c>
      <c r="B908" t="s">
        <v>164</v>
      </c>
      <c r="C908" s="3">
        <v>45707.605439814812</v>
      </c>
      <c r="D908" t="s">
        <v>104</v>
      </c>
      <c r="E908" s="4">
        <v>0.44500000000000001</v>
      </c>
      <c r="F908" s="4">
        <v>569223.67099999997</v>
      </c>
      <c r="G908" s="4">
        <v>569224.11600000004</v>
      </c>
      <c r="H908" s="5">
        <f>0 / 86400</f>
        <v>0</v>
      </c>
      <c r="I908" t="s">
        <v>172</v>
      </c>
      <c r="J908" t="s">
        <v>46</v>
      </c>
      <c r="K908" s="5">
        <f>109 / 86400</f>
        <v>1.261574074074074E-3</v>
      </c>
      <c r="L908" s="5">
        <f>102 / 86400</f>
        <v>1.1805555555555556E-3</v>
      </c>
    </row>
    <row r="909" spans="1:12" x14ac:dyDescent="0.25">
      <c r="A909" s="3">
        <v>45707.606620370367</v>
      </c>
      <c r="B909" t="s">
        <v>104</v>
      </c>
      <c r="C909" s="3">
        <v>45707.722812499997</v>
      </c>
      <c r="D909" t="s">
        <v>79</v>
      </c>
      <c r="E909" s="4">
        <v>53.131</v>
      </c>
      <c r="F909" s="4">
        <v>569224.11600000004</v>
      </c>
      <c r="G909" s="4">
        <v>569277.24699999997</v>
      </c>
      <c r="H909" s="5">
        <f>3019 / 86400</f>
        <v>3.4942129629629629E-2</v>
      </c>
      <c r="I909" t="s">
        <v>45</v>
      </c>
      <c r="J909" t="s">
        <v>33</v>
      </c>
      <c r="K909" s="5">
        <f>10039 / 86400</f>
        <v>0.11619212962962963</v>
      </c>
      <c r="L909" s="5">
        <f>288 / 86400</f>
        <v>3.3333333333333335E-3</v>
      </c>
    </row>
    <row r="910" spans="1:12" x14ac:dyDescent="0.25">
      <c r="A910" s="3">
        <v>45707.726145833338</v>
      </c>
      <c r="B910" t="s">
        <v>79</v>
      </c>
      <c r="C910" s="3">
        <v>45707.729884259257</v>
      </c>
      <c r="D910" t="s">
        <v>36</v>
      </c>
      <c r="E910" s="4">
        <v>2.3570000000000002</v>
      </c>
      <c r="F910" s="4">
        <v>569277.24699999997</v>
      </c>
      <c r="G910" s="4">
        <v>569279.60400000005</v>
      </c>
      <c r="H910" s="5">
        <f>40 / 86400</f>
        <v>4.6296296296296298E-4</v>
      </c>
      <c r="I910" t="s">
        <v>100</v>
      </c>
      <c r="J910" t="s">
        <v>155</v>
      </c>
      <c r="K910" s="5">
        <f>322 / 86400</f>
        <v>3.7268518518518519E-3</v>
      </c>
      <c r="L910" s="5">
        <f>23337 / 86400</f>
        <v>0.27010416666666665</v>
      </c>
    </row>
    <row r="911" spans="1:12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</row>
    <row r="912" spans="1:12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</row>
    <row r="913" spans="1:12" s="10" customFormat="1" ht="20.100000000000001" customHeight="1" x14ac:dyDescent="0.35">
      <c r="A913" s="15" t="s">
        <v>491</v>
      </c>
      <c r="B913" s="15"/>
      <c r="C913" s="15"/>
      <c r="D913" s="15"/>
      <c r="E913" s="15"/>
      <c r="F913" s="15"/>
      <c r="G913" s="15"/>
      <c r="H913" s="15"/>
      <c r="I913" s="15"/>
      <c r="J913" s="15"/>
    </row>
    <row r="914" spans="1:12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</row>
    <row r="915" spans="1:12" ht="30" x14ac:dyDescent="0.25">
      <c r="A915" s="2" t="s">
        <v>6</v>
      </c>
      <c r="B915" s="2" t="s">
        <v>7</v>
      </c>
      <c r="C915" s="2" t="s">
        <v>8</v>
      </c>
      <c r="D915" s="2" t="s">
        <v>9</v>
      </c>
      <c r="E915" s="2" t="s">
        <v>10</v>
      </c>
      <c r="F915" s="2" t="s">
        <v>11</v>
      </c>
      <c r="G915" s="2" t="s">
        <v>12</v>
      </c>
      <c r="H915" s="2" t="s">
        <v>13</v>
      </c>
      <c r="I915" s="2" t="s">
        <v>14</v>
      </c>
      <c r="J915" s="2" t="s">
        <v>15</v>
      </c>
      <c r="K915" s="2" t="s">
        <v>16</v>
      </c>
      <c r="L915" s="2" t="s">
        <v>17</v>
      </c>
    </row>
    <row r="916" spans="1:12" x14ac:dyDescent="0.25">
      <c r="A916" s="3">
        <v>45707.254652777774</v>
      </c>
      <c r="B916" t="s">
        <v>77</v>
      </c>
      <c r="C916" s="3">
        <v>45707.262152777781</v>
      </c>
      <c r="D916" t="s">
        <v>104</v>
      </c>
      <c r="E916" s="4">
        <v>2.153</v>
      </c>
      <c r="F916" s="4">
        <v>435880.23100000003</v>
      </c>
      <c r="G916" s="4">
        <v>435882.38400000002</v>
      </c>
      <c r="H916" s="5">
        <f>219 / 86400</f>
        <v>2.5347222222222221E-3</v>
      </c>
      <c r="I916" t="s">
        <v>174</v>
      </c>
      <c r="J916" t="s">
        <v>148</v>
      </c>
      <c r="K916" s="5">
        <f>647 / 86400</f>
        <v>7.4884259259259262E-3</v>
      </c>
      <c r="L916" s="5">
        <f>24156 / 86400</f>
        <v>0.27958333333333335</v>
      </c>
    </row>
    <row r="917" spans="1:12" x14ac:dyDescent="0.25">
      <c r="A917" s="3">
        <v>45707.287083333329</v>
      </c>
      <c r="B917" t="s">
        <v>164</v>
      </c>
      <c r="C917" s="3">
        <v>45707.358553240745</v>
      </c>
      <c r="D917" t="s">
        <v>130</v>
      </c>
      <c r="E917" s="4">
        <v>35.683</v>
      </c>
      <c r="F917" s="4">
        <v>435882.38400000002</v>
      </c>
      <c r="G917" s="4">
        <v>435918.06699999998</v>
      </c>
      <c r="H917" s="5">
        <f>1139 / 86400</f>
        <v>1.3182870370370371E-2</v>
      </c>
      <c r="I917" t="s">
        <v>153</v>
      </c>
      <c r="J917" t="s">
        <v>166</v>
      </c>
      <c r="K917" s="5">
        <f>6174 / 86400</f>
        <v>7.1458333333333332E-2</v>
      </c>
      <c r="L917" s="5">
        <f>1761 / 86400</f>
        <v>2.0381944444444446E-2</v>
      </c>
    </row>
    <row r="918" spans="1:12" x14ac:dyDescent="0.25">
      <c r="A918" s="3">
        <v>45707.378935185188</v>
      </c>
      <c r="B918" t="s">
        <v>130</v>
      </c>
      <c r="C918" s="3">
        <v>45707.382164351853</v>
      </c>
      <c r="D918" t="s">
        <v>110</v>
      </c>
      <c r="E918" s="4">
        <v>1.2150000000000001</v>
      </c>
      <c r="F918" s="4">
        <v>435918.06699999998</v>
      </c>
      <c r="G918" s="4">
        <v>435919.28200000001</v>
      </c>
      <c r="H918" s="5">
        <f>0 / 86400</f>
        <v>0</v>
      </c>
      <c r="I918" t="s">
        <v>178</v>
      </c>
      <c r="J918" t="s">
        <v>20</v>
      </c>
      <c r="K918" s="5">
        <f>279 / 86400</f>
        <v>3.2291666666666666E-3</v>
      </c>
      <c r="L918" s="5">
        <f>4297 / 86400</f>
        <v>4.9733796296296297E-2</v>
      </c>
    </row>
    <row r="919" spans="1:12" x14ac:dyDescent="0.25">
      <c r="A919" s="3">
        <v>45707.431898148148</v>
      </c>
      <c r="B919" t="s">
        <v>110</v>
      </c>
      <c r="C919" s="3">
        <v>45707.431979166664</v>
      </c>
      <c r="D919" t="s">
        <v>110</v>
      </c>
      <c r="E919" s="4">
        <v>0</v>
      </c>
      <c r="F919" s="4">
        <v>435919.28200000001</v>
      </c>
      <c r="G919" s="4">
        <v>435919.28200000001</v>
      </c>
      <c r="H919" s="5">
        <f>0 / 86400</f>
        <v>0</v>
      </c>
      <c r="I919" t="s">
        <v>72</v>
      </c>
      <c r="J919" t="s">
        <v>72</v>
      </c>
      <c r="K919" s="5">
        <f>6 / 86400</f>
        <v>6.9444444444444444E-5</v>
      </c>
      <c r="L919" s="5">
        <f>543 / 86400</f>
        <v>6.2847222222222219E-3</v>
      </c>
    </row>
    <row r="920" spans="1:12" x14ac:dyDescent="0.25">
      <c r="A920" s="3">
        <v>45707.438263888893</v>
      </c>
      <c r="B920" t="s">
        <v>110</v>
      </c>
      <c r="C920" s="3">
        <v>45707.443854166668</v>
      </c>
      <c r="D920" t="s">
        <v>110</v>
      </c>
      <c r="E920" s="4">
        <v>0.13500000000000001</v>
      </c>
      <c r="F920" s="4">
        <v>435919.28200000001</v>
      </c>
      <c r="G920" s="4">
        <v>435919.41700000002</v>
      </c>
      <c r="H920" s="5">
        <f>359 / 86400</f>
        <v>4.1550925925925922E-3</v>
      </c>
      <c r="I920" t="s">
        <v>31</v>
      </c>
      <c r="J920" t="s">
        <v>127</v>
      </c>
      <c r="K920" s="5">
        <f>483 / 86400</f>
        <v>5.5902777777777773E-3</v>
      </c>
      <c r="L920" s="5">
        <f>846 / 86400</f>
        <v>9.7916666666666673E-3</v>
      </c>
    </row>
    <row r="921" spans="1:12" x14ac:dyDescent="0.25">
      <c r="A921" s="3">
        <v>45707.453645833331</v>
      </c>
      <c r="B921" t="s">
        <v>110</v>
      </c>
      <c r="C921" s="3">
        <v>45707.455254629633</v>
      </c>
      <c r="D921" t="s">
        <v>110</v>
      </c>
      <c r="E921" s="4">
        <v>3.6999999999999998E-2</v>
      </c>
      <c r="F921" s="4">
        <v>435919.41700000002</v>
      </c>
      <c r="G921" s="4">
        <v>435919.45400000003</v>
      </c>
      <c r="H921" s="5">
        <f>60 / 86400</f>
        <v>6.9444444444444447E-4</v>
      </c>
      <c r="I921" t="s">
        <v>85</v>
      </c>
      <c r="J921" t="s">
        <v>127</v>
      </c>
      <c r="K921" s="5">
        <f>139 / 86400</f>
        <v>1.6087962962962963E-3</v>
      </c>
      <c r="L921" s="5">
        <f>2056 / 86400</f>
        <v>2.3796296296296298E-2</v>
      </c>
    </row>
    <row r="922" spans="1:12" x14ac:dyDescent="0.25">
      <c r="A922" s="3">
        <v>45707.479050925926</v>
      </c>
      <c r="B922" t="s">
        <v>110</v>
      </c>
      <c r="C922" s="3">
        <v>45707.482777777783</v>
      </c>
      <c r="D922" t="s">
        <v>108</v>
      </c>
      <c r="E922" s="4">
        <v>0.309</v>
      </c>
      <c r="F922" s="4">
        <v>435919.45400000003</v>
      </c>
      <c r="G922" s="4">
        <v>435919.76299999998</v>
      </c>
      <c r="H922" s="5">
        <f>159 / 86400</f>
        <v>1.8402777777777777E-3</v>
      </c>
      <c r="I922" t="s">
        <v>155</v>
      </c>
      <c r="J922" t="s">
        <v>24</v>
      </c>
      <c r="K922" s="5">
        <f>322 / 86400</f>
        <v>3.7268518518518519E-3</v>
      </c>
      <c r="L922" s="5">
        <f>779 / 86400</f>
        <v>9.0162037037037034E-3</v>
      </c>
    </row>
    <row r="923" spans="1:12" x14ac:dyDescent="0.25">
      <c r="A923" s="3">
        <v>45707.491793981477</v>
      </c>
      <c r="B923" t="s">
        <v>108</v>
      </c>
      <c r="C923" s="3">
        <v>45707.770219907412</v>
      </c>
      <c r="D923" t="s">
        <v>110</v>
      </c>
      <c r="E923" s="4">
        <v>100.631</v>
      </c>
      <c r="F923" s="4">
        <v>435919.76299999998</v>
      </c>
      <c r="G923" s="4">
        <v>436020.39399999997</v>
      </c>
      <c r="H923" s="5">
        <f>9361 / 86400</f>
        <v>0.1083449074074074</v>
      </c>
      <c r="I923" t="s">
        <v>78</v>
      </c>
      <c r="J923" t="s">
        <v>46</v>
      </c>
      <c r="K923" s="5">
        <f>24056 / 86400</f>
        <v>0.27842592592592591</v>
      </c>
      <c r="L923" s="5">
        <f>4414 / 86400</f>
        <v>5.108796296296296E-2</v>
      </c>
    </row>
    <row r="924" spans="1:12" x14ac:dyDescent="0.25">
      <c r="A924" s="3">
        <v>45707.82130787037</v>
      </c>
      <c r="B924" t="s">
        <v>110</v>
      </c>
      <c r="C924" s="3">
        <v>45707.821608796294</v>
      </c>
      <c r="D924" t="s">
        <v>110</v>
      </c>
      <c r="E924" s="4">
        <v>0.01</v>
      </c>
      <c r="F924" s="4">
        <v>436020.39399999997</v>
      </c>
      <c r="G924" s="4">
        <v>436020.40399999998</v>
      </c>
      <c r="H924" s="5">
        <f>0 / 86400</f>
        <v>0</v>
      </c>
      <c r="I924" t="s">
        <v>101</v>
      </c>
      <c r="J924" t="s">
        <v>127</v>
      </c>
      <c r="K924" s="5">
        <f>25 / 86400</f>
        <v>2.8935185185185184E-4</v>
      </c>
      <c r="L924" s="5">
        <f>838 / 86400</f>
        <v>9.6990740740740735E-3</v>
      </c>
    </row>
    <row r="925" spans="1:12" x14ac:dyDescent="0.25">
      <c r="A925" s="3">
        <v>45707.831307870365</v>
      </c>
      <c r="B925" t="s">
        <v>110</v>
      </c>
      <c r="C925" s="3">
        <v>45707.898125</v>
      </c>
      <c r="D925" t="s">
        <v>164</v>
      </c>
      <c r="E925" s="4">
        <v>35.334000000000003</v>
      </c>
      <c r="F925" s="4">
        <v>436020.40399999998</v>
      </c>
      <c r="G925" s="4">
        <v>436055.73800000001</v>
      </c>
      <c r="H925" s="5">
        <f>1200 / 86400</f>
        <v>1.3888888888888888E-2</v>
      </c>
      <c r="I925" t="s">
        <v>106</v>
      </c>
      <c r="J925" t="s">
        <v>129</v>
      </c>
      <c r="K925" s="5">
        <f>5772 / 86400</f>
        <v>6.6805555555555562E-2</v>
      </c>
      <c r="L925" s="5">
        <f>150 / 86400</f>
        <v>1.736111111111111E-3</v>
      </c>
    </row>
    <row r="926" spans="1:12" x14ac:dyDescent="0.25">
      <c r="A926" s="3">
        <v>45707.899861111116</v>
      </c>
      <c r="B926" t="s">
        <v>164</v>
      </c>
      <c r="C926" s="3">
        <v>45707.91915509259</v>
      </c>
      <c r="D926" t="s">
        <v>77</v>
      </c>
      <c r="E926" s="4">
        <v>2.6579999999999999</v>
      </c>
      <c r="F926" s="4">
        <v>436055.73800000001</v>
      </c>
      <c r="G926" s="4">
        <v>436058.39600000001</v>
      </c>
      <c r="H926" s="5">
        <f>1319 / 86400</f>
        <v>1.5266203703703704E-2</v>
      </c>
      <c r="I926" t="s">
        <v>131</v>
      </c>
      <c r="J926" t="s">
        <v>101</v>
      </c>
      <c r="K926" s="5">
        <f>1667 / 86400</f>
        <v>1.9293981481481481E-2</v>
      </c>
      <c r="L926" s="5">
        <f>51 / 86400</f>
        <v>5.9027777777777778E-4</v>
      </c>
    </row>
    <row r="927" spans="1:12" x14ac:dyDescent="0.25">
      <c r="A927" s="3">
        <v>45707.919745370367</v>
      </c>
      <c r="B927" t="s">
        <v>77</v>
      </c>
      <c r="C927" s="3">
        <v>45707.920787037037</v>
      </c>
      <c r="D927" t="s">
        <v>77</v>
      </c>
      <c r="E927" s="4">
        <v>2.4E-2</v>
      </c>
      <c r="F927" s="4">
        <v>436058.39600000001</v>
      </c>
      <c r="G927" s="4">
        <v>436058.42</v>
      </c>
      <c r="H927" s="5">
        <f>59 / 86400</f>
        <v>6.8287037037037036E-4</v>
      </c>
      <c r="I927" t="s">
        <v>85</v>
      </c>
      <c r="J927" t="s">
        <v>127</v>
      </c>
      <c r="K927" s="5">
        <f>90 / 86400</f>
        <v>1.0416666666666667E-3</v>
      </c>
      <c r="L927" s="5">
        <f>6843 / 86400</f>
        <v>7.9201388888888891E-2</v>
      </c>
    </row>
    <row r="928" spans="1:12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</row>
    <row r="929" spans="1:12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</row>
    <row r="930" spans="1:12" s="10" customFormat="1" ht="20.100000000000001" customHeight="1" x14ac:dyDescent="0.35">
      <c r="A930" s="15" t="s">
        <v>492</v>
      </c>
      <c r="B930" s="15"/>
      <c r="C930" s="15"/>
      <c r="D930" s="15"/>
      <c r="E930" s="15"/>
      <c r="F930" s="15"/>
      <c r="G930" s="15"/>
      <c r="H930" s="15"/>
      <c r="I930" s="15"/>
      <c r="J930" s="15"/>
    </row>
    <row r="931" spans="1:12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</row>
    <row r="932" spans="1:12" ht="30" x14ac:dyDescent="0.25">
      <c r="A932" s="2" t="s">
        <v>6</v>
      </c>
      <c r="B932" s="2" t="s">
        <v>7</v>
      </c>
      <c r="C932" s="2" t="s">
        <v>8</v>
      </c>
      <c r="D932" s="2" t="s">
        <v>9</v>
      </c>
      <c r="E932" s="2" t="s">
        <v>10</v>
      </c>
      <c r="F932" s="2" t="s">
        <v>11</v>
      </c>
      <c r="G932" s="2" t="s">
        <v>12</v>
      </c>
      <c r="H932" s="2" t="s">
        <v>13</v>
      </c>
      <c r="I932" s="2" t="s">
        <v>14</v>
      </c>
      <c r="J932" s="2" t="s">
        <v>15</v>
      </c>
      <c r="K932" s="2" t="s">
        <v>16</v>
      </c>
      <c r="L932" s="2" t="s">
        <v>17</v>
      </c>
    </row>
    <row r="933" spans="1:12" x14ac:dyDescent="0.25">
      <c r="A933" s="3">
        <v>45707.242430555554</v>
      </c>
      <c r="B933" t="s">
        <v>49</v>
      </c>
      <c r="C933" s="3">
        <v>45707.24255787037</v>
      </c>
      <c r="D933" t="s">
        <v>401</v>
      </c>
      <c r="E933" s="4">
        <v>2.4E-2</v>
      </c>
      <c r="F933" s="4">
        <v>516650.89199999999</v>
      </c>
      <c r="G933" s="4">
        <v>516650.91600000003</v>
      </c>
      <c r="H933" s="5">
        <f>0 / 86400</f>
        <v>0</v>
      </c>
      <c r="I933" t="s">
        <v>149</v>
      </c>
      <c r="J933" t="s">
        <v>31</v>
      </c>
      <c r="K933" s="5">
        <f>11 / 86400</f>
        <v>1.273148148148148E-4</v>
      </c>
      <c r="L933" s="5">
        <f>20984 / 86400</f>
        <v>0.24287037037037038</v>
      </c>
    </row>
    <row r="934" spans="1:12" x14ac:dyDescent="0.25">
      <c r="A934" s="3">
        <v>45707.242997685185</v>
      </c>
      <c r="B934" t="s">
        <v>120</v>
      </c>
      <c r="C934" s="3">
        <v>45707.244143518517</v>
      </c>
      <c r="D934" t="s">
        <v>120</v>
      </c>
      <c r="E934" s="4">
        <v>0</v>
      </c>
      <c r="F934" s="4">
        <v>516650.92300000001</v>
      </c>
      <c r="G934" s="4">
        <v>516650.92300000001</v>
      </c>
      <c r="H934" s="5">
        <f>0 / 86400</f>
        <v>0</v>
      </c>
      <c r="I934" t="s">
        <v>161</v>
      </c>
      <c r="J934" t="s">
        <v>72</v>
      </c>
      <c r="K934" s="5">
        <f>99 / 86400</f>
        <v>1.1458333333333333E-3</v>
      </c>
      <c r="L934" s="5">
        <f>642 / 86400</f>
        <v>7.4305555555555557E-3</v>
      </c>
    </row>
    <row r="935" spans="1:12" x14ac:dyDescent="0.25">
      <c r="A935" s="3">
        <v>45707.251574074078</v>
      </c>
      <c r="B935" t="s">
        <v>298</v>
      </c>
      <c r="C935" s="3">
        <v>45707.252384259264</v>
      </c>
      <c r="D935" t="s">
        <v>422</v>
      </c>
      <c r="E935" s="4">
        <v>0.432</v>
      </c>
      <c r="F935" s="4">
        <v>516650.95799999998</v>
      </c>
      <c r="G935" s="4">
        <v>516651.39</v>
      </c>
      <c r="H935" s="5">
        <f>0 / 86400</f>
        <v>0</v>
      </c>
      <c r="I935" t="s">
        <v>282</v>
      </c>
      <c r="J935" t="s">
        <v>129</v>
      </c>
      <c r="K935" s="5">
        <f>70 / 86400</f>
        <v>8.1018518518518516E-4</v>
      </c>
      <c r="L935" s="5">
        <f>3 / 86400</f>
        <v>3.4722222222222222E-5</v>
      </c>
    </row>
    <row r="936" spans="1:12" x14ac:dyDescent="0.25">
      <c r="A936" s="3">
        <v>45707.252418981487</v>
      </c>
      <c r="B936" t="s">
        <v>422</v>
      </c>
      <c r="C936" s="3">
        <v>45707.252523148149</v>
      </c>
      <c r="D936" t="s">
        <v>286</v>
      </c>
      <c r="E936" s="4">
        <v>7.6999999999999999E-2</v>
      </c>
      <c r="F936" s="4">
        <v>516651.41899999999</v>
      </c>
      <c r="G936" s="4">
        <v>516651.49599999998</v>
      </c>
      <c r="H936" s="5">
        <f>0 / 86400</f>
        <v>0</v>
      </c>
      <c r="I936" t="s">
        <v>172</v>
      </c>
      <c r="J936" t="s">
        <v>57</v>
      </c>
      <c r="K936" s="5">
        <f>9 / 86400</f>
        <v>1.0416666666666667E-4</v>
      </c>
      <c r="L936" s="5">
        <f>98 / 86400</f>
        <v>1.1342592592592593E-3</v>
      </c>
    </row>
    <row r="937" spans="1:12" x14ac:dyDescent="0.25">
      <c r="A937" s="3">
        <v>45707.253657407404</v>
      </c>
      <c r="B937" t="s">
        <v>286</v>
      </c>
      <c r="C937" s="3">
        <v>45707.254930555559</v>
      </c>
      <c r="D937" t="s">
        <v>423</v>
      </c>
      <c r="E937" s="4">
        <v>1.0580000000000001</v>
      </c>
      <c r="F937" s="4">
        <v>516651.58600000001</v>
      </c>
      <c r="G937" s="4">
        <v>516652.64399999997</v>
      </c>
      <c r="H937" s="5">
        <f>0 / 86400</f>
        <v>0</v>
      </c>
      <c r="I937" t="s">
        <v>382</v>
      </c>
      <c r="J937" t="s">
        <v>172</v>
      </c>
      <c r="K937" s="5">
        <f>110 / 86400</f>
        <v>1.2731481481481483E-3</v>
      </c>
      <c r="L937" s="5">
        <f>28 / 86400</f>
        <v>3.2407407407407406E-4</v>
      </c>
    </row>
    <row r="938" spans="1:12" x14ac:dyDescent="0.25">
      <c r="A938" s="3">
        <v>45707.255254629628</v>
      </c>
      <c r="B938" t="s">
        <v>424</v>
      </c>
      <c r="C938" s="3">
        <v>45707.255868055552</v>
      </c>
      <c r="D938" t="s">
        <v>424</v>
      </c>
      <c r="E938" s="4">
        <v>0.38700000000000001</v>
      </c>
      <c r="F938" s="4">
        <v>516652.84299999999</v>
      </c>
      <c r="G938" s="4">
        <v>516653.23</v>
      </c>
      <c r="H938" s="5">
        <f>30 / 86400</f>
        <v>3.4722222222222224E-4</v>
      </c>
      <c r="I938" t="s">
        <v>141</v>
      </c>
      <c r="J938" t="s">
        <v>155</v>
      </c>
      <c r="K938" s="5">
        <f>53 / 86400</f>
        <v>6.134259259259259E-4</v>
      </c>
      <c r="L938" s="5">
        <f>9 / 86400</f>
        <v>1.0416666666666667E-4</v>
      </c>
    </row>
    <row r="939" spans="1:12" x14ac:dyDescent="0.25">
      <c r="A939" s="3">
        <v>45707.255972222221</v>
      </c>
      <c r="B939" t="s">
        <v>424</v>
      </c>
      <c r="C939" s="3">
        <v>45707.256018518514</v>
      </c>
      <c r="D939" t="s">
        <v>424</v>
      </c>
      <c r="E939" s="4">
        <v>3.5000000000000003E-2</v>
      </c>
      <c r="F939" s="4">
        <v>516653.272</v>
      </c>
      <c r="G939" s="4">
        <v>516653.30699999997</v>
      </c>
      <c r="H939" s="5">
        <f>0 / 86400</f>
        <v>0</v>
      </c>
      <c r="I939" t="s">
        <v>299</v>
      </c>
      <c r="J939" t="s">
        <v>142</v>
      </c>
      <c r="K939" s="5">
        <f>4 / 86400</f>
        <v>4.6296296296296294E-5</v>
      </c>
      <c r="L939" s="5">
        <f>4 / 86400</f>
        <v>4.6296296296296294E-5</v>
      </c>
    </row>
    <row r="940" spans="1:12" x14ac:dyDescent="0.25">
      <c r="A940" s="3">
        <v>45707.256064814814</v>
      </c>
      <c r="B940" t="s">
        <v>424</v>
      </c>
      <c r="C940" s="3">
        <v>45707.258657407408</v>
      </c>
      <c r="D940" t="s">
        <v>275</v>
      </c>
      <c r="E940" s="4">
        <v>2.66</v>
      </c>
      <c r="F940" s="4">
        <v>516653.32699999999</v>
      </c>
      <c r="G940" s="4">
        <v>516655.98700000002</v>
      </c>
      <c r="H940" s="5">
        <f>0 / 86400</f>
        <v>0</v>
      </c>
      <c r="I940" t="s">
        <v>61</v>
      </c>
      <c r="J940" t="s">
        <v>174</v>
      </c>
      <c r="K940" s="5">
        <f>224 / 86400</f>
        <v>2.5925925925925925E-3</v>
      </c>
      <c r="L940" s="5">
        <f>4 / 86400</f>
        <v>4.6296296296296294E-5</v>
      </c>
    </row>
    <row r="941" spans="1:12" x14ac:dyDescent="0.25">
      <c r="A941" s="3">
        <v>45707.258703703701</v>
      </c>
      <c r="B941" t="s">
        <v>275</v>
      </c>
      <c r="C941" s="3">
        <v>45707.264861111107</v>
      </c>
      <c r="D941" t="s">
        <v>82</v>
      </c>
      <c r="E941" s="4">
        <v>6.4210000000000003</v>
      </c>
      <c r="F941" s="4">
        <v>516655.99099999998</v>
      </c>
      <c r="G941" s="4">
        <v>516662.41200000001</v>
      </c>
      <c r="H941" s="5">
        <f>30 / 86400</f>
        <v>3.4722222222222224E-4</v>
      </c>
      <c r="I941" t="s">
        <v>61</v>
      </c>
      <c r="J941" t="s">
        <v>174</v>
      </c>
      <c r="K941" s="5">
        <f>532 / 86400</f>
        <v>6.1574074074074074E-3</v>
      </c>
      <c r="L941" s="5">
        <f>3 / 86400</f>
        <v>3.4722222222222222E-5</v>
      </c>
    </row>
    <row r="942" spans="1:12" x14ac:dyDescent="0.25">
      <c r="A942" s="3">
        <v>45707.26489583333</v>
      </c>
      <c r="B942" t="s">
        <v>82</v>
      </c>
      <c r="C942" s="3">
        <v>45707.265185185184</v>
      </c>
      <c r="D942" t="s">
        <v>82</v>
      </c>
      <c r="E942" s="4">
        <v>0.32400000000000001</v>
      </c>
      <c r="F942" s="4">
        <v>516662.451</v>
      </c>
      <c r="G942" s="4">
        <v>516662.77500000002</v>
      </c>
      <c r="H942" s="5">
        <f>0 / 86400</f>
        <v>0</v>
      </c>
      <c r="I942" t="s">
        <v>160</v>
      </c>
      <c r="J942" t="s">
        <v>147</v>
      </c>
      <c r="K942" s="5">
        <f>25 / 86400</f>
        <v>2.8935185185185184E-4</v>
      </c>
      <c r="L942" s="5">
        <f>13 / 86400</f>
        <v>1.5046296296296297E-4</v>
      </c>
    </row>
    <row r="943" spans="1:12" x14ac:dyDescent="0.25">
      <c r="A943" s="3">
        <v>45707.265335648146</v>
      </c>
      <c r="B943" t="s">
        <v>82</v>
      </c>
      <c r="C943" s="3">
        <v>45707.266828703709</v>
      </c>
      <c r="D943" t="s">
        <v>175</v>
      </c>
      <c r="E943" s="4">
        <v>0.96699999999999997</v>
      </c>
      <c r="F943" s="4">
        <v>516662.84</v>
      </c>
      <c r="G943" s="4">
        <v>516663.80699999997</v>
      </c>
      <c r="H943" s="5">
        <f>30 / 86400</f>
        <v>3.4722222222222224E-4</v>
      </c>
      <c r="I943" t="s">
        <v>193</v>
      </c>
      <c r="J943" t="s">
        <v>84</v>
      </c>
      <c r="K943" s="5">
        <f>129 / 86400</f>
        <v>1.4930555555555556E-3</v>
      </c>
      <c r="L943" s="5">
        <f>10 / 86400</f>
        <v>1.1574074074074075E-4</v>
      </c>
    </row>
    <row r="944" spans="1:12" x14ac:dyDescent="0.25">
      <c r="A944" s="3">
        <v>45707.266944444447</v>
      </c>
      <c r="B944" t="s">
        <v>175</v>
      </c>
      <c r="C944" s="3">
        <v>45707.284467592588</v>
      </c>
      <c r="D944" t="s">
        <v>91</v>
      </c>
      <c r="E944" s="4">
        <v>9.1080000000000005</v>
      </c>
      <c r="F944" s="4">
        <v>516663.84399999998</v>
      </c>
      <c r="G944" s="4">
        <v>516672.95199999999</v>
      </c>
      <c r="H944" s="5">
        <f>480 / 86400</f>
        <v>5.5555555555555558E-3</v>
      </c>
      <c r="I944" t="s">
        <v>96</v>
      </c>
      <c r="J944" t="s">
        <v>129</v>
      </c>
      <c r="K944" s="5">
        <f>1514 / 86400</f>
        <v>1.7523148148148149E-2</v>
      </c>
      <c r="L944" s="5">
        <f>2 / 86400</f>
        <v>2.3148148148148147E-5</v>
      </c>
    </row>
    <row r="945" spans="1:12" x14ac:dyDescent="0.25">
      <c r="A945" s="3">
        <v>45707.284490740742</v>
      </c>
      <c r="B945" t="s">
        <v>91</v>
      </c>
      <c r="C945" s="3">
        <v>45707.28805555556</v>
      </c>
      <c r="D945" t="s">
        <v>425</v>
      </c>
      <c r="E945" s="4">
        <v>1.7450000000000001</v>
      </c>
      <c r="F945" s="4">
        <v>516672.96899999998</v>
      </c>
      <c r="G945" s="4">
        <v>516674.71399999998</v>
      </c>
      <c r="H945" s="5">
        <f>30 / 86400</f>
        <v>3.4722222222222224E-4</v>
      </c>
      <c r="I945" t="s">
        <v>68</v>
      </c>
      <c r="J945" t="s">
        <v>149</v>
      </c>
      <c r="K945" s="5">
        <f>308 / 86400</f>
        <v>3.5648148148148149E-3</v>
      </c>
      <c r="L945" s="5">
        <f>6 / 86400</f>
        <v>6.9444444444444444E-5</v>
      </c>
    </row>
    <row r="946" spans="1:12" x14ac:dyDescent="0.25">
      <c r="A946" s="3">
        <v>45707.288124999999</v>
      </c>
      <c r="B946" t="s">
        <v>426</v>
      </c>
      <c r="C946" s="3">
        <v>45707.288171296299</v>
      </c>
      <c r="D946" t="s">
        <v>426</v>
      </c>
      <c r="E946" s="4">
        <v>5.0000000000000001E-3</v>
      </c>
      <c r="F946" s="4">
        <v>516674.72100000002</v>
      </c>
      <c r="G946" s="4">
        <v>516674.72600000002</v>
      </c>
      <c r="H946" s="5">
        <f>0 / 86400</f>
        <v>0</v>
      </c>
      <c r="I946" t="s">
        <v>37</v>
      </c>
      <c r="J946" t="s">
        <v>134</v>
      </c>
      <c r="K946" s="5">
        <f>4 / 86400</f>
        <v>4.6296296296296294E-5</v>
      </c>
      <c r="L946" s="5">
        <f>7 / 86400</f>
        <v>8.1018518518518516E-5</v>
      </c>
    </row>
    <row r="947" spans="1:12" x14ac:dyDescent="0.25">
      <c r="A947" s="3">
        <v>45707.288252314815</v>
      </c>
      <c r="B947" t="s">
        <v>427</v>
      </c>
      <c r="C947" s="3">
        <v>45707.292592592596</v>
      </c>
      <c r="D947" t="s">
        <v>190</v>
      </c>
      <c r="E947" s="4">
        <v>0.58199999999999996</v>
      </c>
      <c r="F947" s="4">
        <v>516674.761</v>
      </c>
      <c r="G947" s="4">
        <v>516675.34299999999</v>
      </c>
      <c r="H947" s="5">
        <f>120 / 86400</f>
        <v>1.3888888888888889E-3</v>
      </c>
      <c r="I947" t="s">
        <v>181</v>
      </c>
      <c r="J947" t="s">
        <v>101</v>
      </c>
      <c r="K947" s="5">
        <f>375 / 86400</f>
        <v>4.340277777777778E-3</v>
      </c>
      <c r="L947" s="5">
        <f>4 / 86400</f>
        <v>4.6296296296296294E-5</v>
      </c>
    </row>
    <row r="948" spans="1:12" x14ac:dyDescent="0.25">
      <c r="A948" s="3">
        <v>45707.292638888888</v>
      </c>
      <c r="B948" t="s">
        <v>190</v>
      </c>
      <c r="C948" s="3">
        <v>45707.293182870373</v>
      </c>
      <c r="D948" t="s">
        <v>190</v>
      </c>
      <c r="E948" s="4">
        <v>0.50900000000000001</v>
      </c>
      <c r="F948" s="4">
        <v>516675.34299999999</v>
      </c>
      <c r="G948" s="4">
        <v>516675.85200000001</v>
      </c>
      <c r="H948" s="5">
        <f>0 / 86400</f>
        <v>0</v>
      </c>
      <c r="I948" t="s">
        <v>382</v>
      </c>
      <c r="J948" t="s">
        <v>181</v>
      </c>
      <c r="K948" s="5">
        <f>47 / 86400</f>
        <v>5.4398148148148144E-4</v>
      </c>
      <c r="L948" s="5">
        <f>30 / 86400</f>
        <v>3.4722222222222224E-4</v>
      </c>
    </row>
    <row r="949" spans="1:12" x14ac:dyDescent="0.25">
      <c r="A949" s="3">
        <v>45707.293530092589</v>
      </c>
      <c r="B949" t="s">
        <v>104</v>
      </c>
      <c r="C949" s="3">
        <v>45707.31759259259</v>
      </c>
      <c r="D949" t="s">
        <v>428</v>
      </c>
      <c r="E949" s="4">
        <v>6.1929999999999996</v>
      </c>
      <c r="F949" s="4">
        <v>516676.28700000001</v>
      </c>
      <c r="G949" s="4">
        <v>516682.48</v>
      </c>
      <c r="H949" s="5">
        <f>961 / 86400</f>
        <v>1.1122685185185185E-2</v>
      </c>
      <c r="I949" t="s">
        <v>174</v>
      </c>
      <c r="J949" t="s">
        <v>137</v>
      </c>
      <c r="K949" s="5">
        <f>2079 / 86400</f>
        <v>2.4062500000000001E-2</v>
      </c>
      <c r="L949" s="5">
        <f>9 / 86400</f>
        <v>1.0416666666666667E-4</v>
      </c>
    </row>
    <row r="950" spans="1:12" x14ac:dyDescent="0.25">
      <c r="A950" s="3">
        <v>45707.317696759259</v>
      </c>
      <c r="B950" t="s">
        <v>428</v>
      </c>
      <c r="C950" s="3">
        <v>45707.325162037036</v>
      </c>
      <c r="D950" t="s">
        <v>244</v>
      </c>
      <c r="E950" s="4">
        <v>2.7240000000000002</v>
      </c>
      <c r="F950" s="4">
        <v>516682.516</v>
      </c>
      <c r="G950" s="4">
        <v>516685.24</v>
      </c>
      <c r="H950" s="5">
        <f>60 / 86400</f>
        <v>6.9444444444444447E-4</v>
      </c>
      <c r="I950" t="s">
        <v>193</v>
      </c>
      <c r="J950" t="s">
        <v>46</v>
      </c>
      <c r="K950" s="5">
        <f>645 / 86400</f>
        <v>7.4652777777777781E-3</v>
      </c>
      <c r="L950" s="5">
        <f>30 / 86400</f>
        <v>3.4722222222222224E-4</v>
      </c>
    </row>
    <row r="951" spans="1:12" x14ac:dyDescent="0.25">
      <c r="A951" s="3">
        <v>45707.325509259259</v>
      </c>
      <c r="B951" t="s">
        <v>316</v>
      </c>
      <c r="C951" s="3">
        <v>45707.381666666668</v>
      </c>
      <c r="D951" t="s">
        <v>429</v>
      </c>
      <c r="E951" s="4">
        <v>16.591000000000001</v>
      </c>
      <c r="F951" s="4">
        <v>516685.30099999998</v>
      </c>
      <c r="G951" s="4">
        <v>516701.89199999999</v>
      </c>
      <c r="H951" s="5">
        <f>1680 / 86400</f>
        <v>1.9444444444444445E-2</v>
      </c>
      <c r="I951" t="s">
        <v>100</v>
      </c>
      <c r="J951" t="s">
        <v>148</v>
      </c>
      <c r="K951" s="5">
        <f>4852 / 86400</f>
        <v>5.6157407407407406E-2</v>
      </c>
      <c r="L951" s="5">
        <f>30 / 86400</f>
        <v>3.4722222222222224E-4</v>
      </c>
    </row>
    <row r="952" spans="1:12" x14ac:dyDescent="0.25">
      <c r="A952" s="3">
        <v>45707.382013888884</v>
      </c>
      <c r="B952" t="s">
        <v>429</v>
      </c>
      <c r="C952" s="3">
        <v>45707.473750000005</v>
      </c>
      <c r="D952" t="s">
        <v>49</v>
      </c>
      <c r="E952" s="4">
        <v>43.081000000000003</v>
      </c>
      <c r="F952" s="4">
        <v>516702.054</v>
      </c>
      <c r="G952" s="4">
        <v>516745.13500000001</v>
      </c>
      <c r="H952" s="5">
        <f>1619 / 86400</f>
        <v>1.8738425925925926E-2</v>
      </c>
      <c r="I952" t="s">
        <v>111</v>
      </c>
      <c r="J952" t="s">
        <v>149</v>
      </c>
      <c r="K952" s="5">
        <f>7926 / 86400</f>
        <v>9.1736111111111115E-2</v>
      </c>
      <c r="L952" s="5">
        <f>1635 / 86400</f>
        <v>1.892361111111111E-2</v>
      </c>
    </row>
    <row r="953" spans="1:12" x14ac:dyDescent="0.25">
      <c r="A953" s="3">
        <v>45707.492673611108</v>
      </c>
      <c r="B953" t="s">
        <v>49</v>
      </c>
      <c r="C953" s="3">
        <v>45707.497060185182</v>
      </c>
      <c r="D953" t="s">
        <v>130</v>
      </c>
      <c r="E953" s="4">
        <v>1.0029999999999999</v>
      </c>
      <c r="F953" s="4">
        <v>516745.13500000001</v>
      </c>
      <c r="G953" s="4">
        <v>516746.13799999998</v>
      </c>
      <c r="H953" s="5">
        <f>30 / 86400</f>
        <v>3.4722222222222224E-4</v>
      </c>
      <c r="I953" t="s">
        <v>27</v>
      </c>
      <c r="J953" t="s">
        <v>123</v>
      </c>
      <c r="K953" s="5">
        <f>379 / 86400</f>
        <v>4.386574074074074E-3</v>
      </c>
      <c r="L953" s="5">
        <f>2300 / 86400</f>
        <v>2.6620370370370371E-2</v>
      </c>
    </row>
    <row r="954" spans="1:12" x14ac:dyDescent="0.25">
      <c r="A954" s="3">
        <v>45707.523680555554</v>
      </c>
      <c r="B954" t="s">
        <v>130</v>
      </c>
      <c r="C954" s="3">
        <v>45707.545011574075</v>
      </c>
      <c r="D954" t="s">
        <v>281</v>
      </c>
      <c r="E954" s="4">
        <v>7.84</v>
      </c>
      <c r="F954" s="4">
        <v>516746.13799999998</v>
      </c>
      <c r="G954" s="4">
        <v>516753.978</v>
      </c>
      <c r="H954" s="5">
        <f>331 / 86400</f>
        <v>3.8310185185185183E-3</v>
      </c>
      <c r="I954" t="s">
        <v>68</v>
      </c>
      <c r="J954" t="s">
        <v>46</v>
      </c>
      <c r="K954" s="5">
        <f>1843 / 86400</f>
        <v>2.133101851851852E-2</v>
      </c>
      <c r="L954" s="5">
        <f>30 / 86400</f>
        <v>3.4722222222222224E-4</v>
      </c>
    </row>
    <row r="955" spans="1:12" x14ac:dyDescent="0.25">
      <c r="A955" s="3">
        <v>45707.545358796298</v>
      </c>
      <c r="B955" t="s">
        <v>281</v>
      </c>
      <c r="C955" s="3">
        <v>45707.623784722222</v>
      </c>
      <c r="D955" t="s">
        <v>336</v>
      </c>
      <c r="E955" s="4">
        <v>35.494999999999997</v>
      </c>
      <c r="F955" s="4">
        <v>516754.435</v>
      </c>
      <c r="G955" s="4">
        <v>516789.93</v>
      </c>
      <c r="H955" s="5">
        <f>1832 / 86400</f>
        <v>2.1203703703703704E-2</v>
      </c>
      <c r="I955" t="s">
        <v>165</v>
      </c>
      <c r="J955" t="s">
        <v>33</v>
      </c>
      <c r="K955" s="5">
        <f>6776 / 86400</f>
        <v>7.8425925925925927E-2</v>
      </c>
      <c r="L955" s="5">
        <f>4 / 86400</f>
        <v>4.6296296296296294E-5</v>
      </c>
    </row>
    <row r="956" spans="1:12" x14ac:dyDescent="0.25">
      <c r="A956" s="3">
        <v>45707.623831018514</v>
      </c>
      <c r="B956" t="s">
        <v>336</v>
      </c>
      <c r="C956" s="3">
        <v>45707.629155092596</v>
      </c>
      <c r="D956" t="s">
        <v>430</v>
      </c>
      <c r="E956" s="4">
        <v>1.7430000000000001</v>
      </c>
      <c r="F956" s="4">
        <v>516789.93300000002</v>
      </c>
      <c r="G956" s="4">
        <v>516791.67599999998</v>
      </c>
      <c r="H956" s="5">
        <f>210 / 86400</f>
        <v>2.4305555555555556E-3</v>
      </c>
      <c r="I956" t="s">
        <v>256</v>
      </c>
      <c r="J956" t="s">
        <v>43</v>
      </c>
      <c r="K956" s="5">
        <f>460 / 86400</f>
        <v>5.324074074074074E-3</v>
      </c>
      <c r="L956" s="5">
        <f>5 / 86400</f>
        <v>5.7870370370370373E-5</v>
      </c>
    </row>
    <row r="957" spans="1:12" x14ac:dyDescent="0.25">
      <c r="A957" s="3">
        <v>45707.629212962958</v>
      </c>
      <c r="B957" t="s">
        <v>430</v>
      </c>
      <c r="C957" s="3">
        <v>45707.694050925929</v>
      </c>
      <c r="D957" t="s">
        <v>250</v>
      </c>
      <c r="E957" s="4">
        <v>13.035</v>
      </c>
      <c r="F957" s="4">
        <v>516791.68300000002</v>
      </c>
      <c r="G957" s="4">
        <v>516804.71799999999</v>
      </c>
      <c r="H957" s="5">
        <f>2909 / 86400</f>
        <v>3.366898148148148E-2</v>
      </c>
      <c r="I957" t="s">
        <v>301</v>
      </c>
      <c r="J957" t="s">
        <v>31</v>
      </c>
      <c r="K957" s="5">
        <f>5602 / 86400</f>
        <v>6.4837962962962958E-2</v>
      </c>
      <c r="L957" s="5">
        <f>13 / 86400</f>
        <v>1.5046296296296297E-4</v>
      </c>
    </row>
    <row r="958" spans="1:12" x14ac:dyDescent="0.25">
      <c r="A958" s="3">
        <v>45707.694201388891</v>
      </c>
      <c r="B958" t="s">
        <v>250</v>
      </c>
      <c r="C958" s="3">
        <v>45707.807951388888</v>
      </c>
      <c r="D958" t="s">
        <v>120</v>
      </c>
      <c r="E958" s="4">
        <v>41.984000000000002</v>
      </c>
      <c r="F958" s="4">
        <v>516804.75099999999</v>
      </c>
      <c r="G958" s="4">
        <v>516846.73499999999</v>
      </c>
      <c r="H958" s="5">
        <f>3029 / 86400</f>
        <v>3.5057870370370371E-2</v>
      </c>
      <c r="I958" t="s">
        <v>106</v>
      </c>
      <c r="J958" t="s">
        <v>46</v>
      </c>
      <c r="K958" s="5">
        <f>9828 / 86400</f>
        <v>0.11375</v>
      </c>
      <c r="L958" s="5">
        <f>1337 / 86400</f>
        <v>1.5474537037037037E-2</v>
      </c>
    </row>
    <row r="959" spans="1:12" x14ac:dyDescent="0.25">
      <c r="A959" s="3">
        <v>45707.823425925926</v>
      </c>
      <c r="B959" t="s">
        <v>120</v>
      </c>
      <c r="C959" s="3">
        <v>45707.829502314809</v>
      </c>
      <c r="D959" t="s">
        <v>49</v>
      </c>
      <c r="E959" s="4">
        <v>0.94099999999999995</v>
      </c>
      <c r="F959" s="4">
        <v>516846.73499999999</v>
      </c>
      <c r="G959" s="4">
        <v>516847.67599999998</v>
      </c>
      <c r="H959" s="5">
        <f>181 / 86400</f>
        <v>2.0949074074074073E-3</v>
      </c>
      <c r="I959" t="s">
        <v>185</v>
      </c>
      <c r="J959" t="s">
        <v>101</v>
      </c>
      <c r="K959" s="5">
        <f>525 / 86400</f>
        <v>6.076388888888889E-3</v>
      </c>
      <c r="L959" s="5">
        <f>14730 / 86400</f>
        <v>0.17048611111111112</v>
      </c>
    </row>
    <row r="960" spans="1:12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</row>
    <row r="961" spans="1:12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</row>
    <row r="962" spans="1:12" s="10" customFormat="1" ht="20.100000000000001" customHeight="1" x14ac:dyDescent="0.35">
      <c r="A962" s="15" t="s">
        <v>493</v>
      </c>
      <c r="B962" s="15"/>
      <c r="C962" s="15"/>
      <c r="D962" s="15"/>
      <c r="E962" s="15"/>
      <c r="F962" s="15"/>
      <c r="G962" s="15"/>
      <c r="H962" s="15"/>
      <c r="I962" s="15"/>
      <c r="J962" s="15"/>
    </row>
    <row r="963" spans="1:12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</row>
    <row r="964" spans="1:12" ht="30" x14ac:dyDescent="0.25">
      <c r="A964" s="2" t="s">
        <v>6</v>
      </c>
      <c r="B964" s="2" t="s">
        <v>7</v>
      </c>
      <c r="C964" s="2" t="s">
        <v>8</v>
      </c>
      <c r="D964" s="2" t="s">
        <v>9</v>
      </c>
      <c r="E964" s="2" t="s">
        <v>10</v>
      </c>
      <c r="F964" s="2" t="s">
        <v>11</v>
      </c>
      <c r="G964" s="2" t="s">
        <v>12</v>
      </c>
      <c r="H964" s="2" t="s">
        <v>13</v>
      </c>
      <c r="I964" s="2" t="s">
        <v>14</v>
      </c>
      <c r="J964" s="2" t="s">
        <v>15</v>
      </c>
      <c r="K964" s="2" t="s">
        <v>16</v>
      </c>
      <c r="L964" s="2" t="s">
        <v>17</v>
      </c>
    </row>
    <row r="965" spans="1:12" x14ac:dyDescent="0.25">
      <c r="A965" s="3">
        <v>45707.223796296297</v>
      </c>
      <c r="B965" t="s">
        <v>79</v>
      </c>
      <c r="C965" s="3">
        <v>45707.839849537035</v>
      </c>
      <c r="D965" t="s">
        <v>80</v>
      </c>
      <c r="E965" s="4">
        <v>204.31200000000001</v>
      </c>
      <c r="F965" s="4">
        <v>506271.777</v>
      </c>
      <c r="G965" s="4">
        <v>506476.08899999998</v>
      </c>
      <c r="H965" s="5">
        <f>23300 / 86400</f>
        <v>0.26967592592592593</v>
      </c>
      <c r="I965" t="s">
        <v>78</v>
      </c>
      <c r="J965" t="s">
        <v>43</v>
      </c>
      <c r="K965" s="5">
        <f>53227 / 86400</f>
        <v>0.61605324074074075</v>
      </c>
      <c r="L965" s="5">
        <f>33172 / 86400</f>
        <v>0.38393518518518521</v>
      </c>
    </row>
    <row r="966" spans="1:12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</row>
    <row r="967" spans="1:12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</row>
    <row r="968" spans="1:12" s="10" customFormat="1" ht="20.100000000000001" customHeight="1" x14ac:dyDescent="0.35">
      <c r="A968" s="15" t="s">
        <v>494</v>
      </c>
      <c r="B968" s="15"/>
      <c r="C968" s="15"/>
      <c r="D968" s="15"/>
      <c r="E968" s="15"/>
      <c r="F968" s="15"/>
      <c r="G968" s="15"/>
      <c r="H968" s="15"/>
      <c r="I968" s="15"/>
      <c r="J968" s="15"/>
    </row>
    <row r="969" spans="1:12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</row>
    <row r="970" spans="1:12" ht="30" x14ac:dyDescent="0.25">
      <c r="A970" s="2" t="s">
        <v>6</v>
      </c>
      <c r="B970" s="2" t="s">
        <v>7</v>
      </c>
      <c r="C970" s="2" t="s">
        <v>8</v>
      </c>
      <c r="D970" s="2" t="s">
        <v>9</v>
      </c>
      <c r="E970" s="2" t="s">
        <v>10</v>
      </c>
      <c r="F970" s="2" t="s">
        <v>11</v>
      </c>
      <c r="G970" s="2" t="s">
        <v>12</v>
      </c>
      <c r="H970" s="2" t="s">
        <v>13</v>
      </c>
      <c r="I970" s="2" t="s">
        <v>14</v>
      </c>
      <c r="J970" s="2" t="s">
        <v>15</v>
      </c>
      <c r="K970" s="2" t="s">
        <v>16</v>
      </c>
      <c r="L970" s="2" t="s">
        <v>17</v>
      </c>
    </row>
    <row r="971" spans="1:12" x14ac:dyDescent="0.25">
      <c r="A971" s="3">
        <v>45707</v>
      </c>
      <c r="B971" t="s">
        <v>81</v>
      </c>
      <c r="C971" s="3">
        <v>45707</v>
      </c>
      <c r="D971" t="s">
        <v>81</v>
      </c>
      <c r="E971" s="4">
        <v>0</v>
      </c>
      <c r="F971" s="4">
        <v>352664.18</v>
      </c>
      <c r="G971" s="4">
        <v>352664.18</v>
      </c>
      <c r="H971" s="5">
        <f>0 / 86400</f>
        <v>0</v>
      </c>
      <c r="I971" t="s">
        <v>72</v>
      </c>
      <c r="J971" t="s">
        <v>72</v>
      </c>
      <c r="K971" s="5">
        <f>0 / 86400</f>
        <v>0</v>
      </c>
      <c r="L971" s="5">
        <f>21888 / 86400</f>
        <v>0.25333333333333335</v>
      </c>
    </row>
    <row r="972" spans="1:12" x14ac:dyDescent="0.25">
      <c r="A972" s="3">
        <v>45707.253333333334</v>
      </c>
      <c r="B972" t="s">
        <v>431</v>
      </c>
      <c r="C972" s="3">
        <v>45707.263391203705</v>
      </c>
      <c r="D972" t="s">
        <v>150</v>
      </c>
      <c r="E972" s="4">
        <v>5.2160000000000002</v>
      </c>
      <c r="F972" s="4">
        <v>352664.18</v>
      </c>
      <c r="G972" s="4">
        <v>352669.39600000001</v>
      </c>
      <c r="H972" s="5">
        <f>300 / 86400</f>
        <v>3.472222222222222E-3</v>
      </c>
      <c r="I972" t="s">
        <v>194</v>
      </c>
      <c r="J972" t="s">
        <v>129</v>
      </c>
      <c r="K972" s="5">
        <f>869 / 86400</f>
        <v>1.005787037037037E-2</v>
      </c>
      <c r="L972" s="5">
        <f>62 / 86400</f>
        <v>7.1759259259259259E-4</v>
      </c>
    </row>
    <row r="973" spans="1:12" x14ac:dyDescent="0.25">
      <c r="A973" s="3">
        <v>45707.264108796298</v>
      </c>
      <c r="B973" t="s">
        <v>150</v>
      </c>
      <c r="C973" s="3">
        <v>45707.264305555553</v>
      </c>
      <c r="D973" t="s">
        <v>150</v>
      </c>
      <c r="E973" s="4">
        <v>8.0000000000000002E-3</v>
      </c>
      <c r="F973" s="4">
        <v>352669.39600000001</v>
      </c>
      <c r="G973" s="4">
        <v>352669.40399999998</v>
      </c>
      <c r="H973" s="5">
        <f>0 / 86400</f>
        <v>0</v>
      </c>
      <c r="I973" t="s">
        <v>72</v>
      </c>
      <c r="J973" t="s">
        <v>136</v>
      </c>
      <c r="K973" s="5">
        <f>16 / 86400</f>
        <v>1.8518518518518518E-4</v>
      </c>
      <c r="L973" s="5">
        <f>80 / 86400</f>
        <v>9.2592592592592596E-4</v>
      </c>
    </row>
    <row r="974" spans="1:12" x14ac:dyDescent="0.25">
      <c r="A974" s="3">
        <v>45707.265231481477</v>
      </c>
      <c r="B974" t="s">
        <v>150</v>
      </c>
      <c r="C974" s="3">
        <v>45707.265300925923</v>
      </c>
      <c r="D974" t="s">
        <v>150</v>
      </c>
      <c r="E974" s="4">
        <v>2E-3</v>
      </c>
      <c r="F974" s="4">
        <v>352669.40399999998</v>
      </c>
      <c r="G974" s="4">
        <v>352669.40600000002</v>
      </c>
      <c r="H974" s="5">
        <f>0 / 86400</f>
        <v>0</v>
      </c>
      <c r="I974" t="s">
        <v>72</v>
      </c>
      <c r="J974" t="s">
        <v>127</v>
      </c>
      <c r="K974" s="5">
        <f>5 / 86400</f>
        <v>5.7870370370370373E-5</v>
      </c>
      <c r="L974" s="5">
        <f>169 / 86400</f>
        <v>1.9560185185185184E-3</v>
      </c>
    </row>
    <row r="975" spans="1:12" x14ac:dyDescent="0.25">
      <c r="A975" s="3">
        <v>45707.26725694444</v>
      </c>
      <c r="B975" t="s">
        <v>150</v>
      </c>
      <c r="C975" s="3">
        <v>45707.26734953704</v>
      </c>
      <c r="D975" t="s">
        <v>150</v>
      </c>
      <c r="E975" s="4">
        <v>0</v>
      </c>
      <c r="F975" s="4">
        <v>352669.40600000002</v>
      </c>
      <c r="G975" s="4">
        <v>352669.40600000002</v>
      </c>
      <c r="H975" s="5">
        <f>0 / 86400</f>
        <v>0</v>
      </c>
      <c r="I975" t="s">
        <v>72</v>
      </c>
      <c r="J975" t="s">
        <v>72</v>
      </c>
      <c r="K975" s="5">
        <f>7 / 86400</f>
        <v>8.1018518518518516E-5</v>
      </c>
      <c r="L975" s="5">
        <f>20 / 86400</f>
        <v>2.3148148148148149E-4</v>
      </c>
    </row>
    <row r="976" spans="1:12" x14ac:dyDescent="0.25">
      <c r="A976" s="3">
        <v>45707.267581018517</v>
      </c>
      <c r="B976" t="s">
        <v>150</v>
      </c>
      <c r="C976" s="3">
        <v>45707.389756944445</v>
      </c>
      <c r="D976" t="s">
        <v>394</v>
      </c>
      <c r="E976" s="4">
        <v>50.232999999999997</v>
      </c>
      <c r="F976" s="4">
        <v>352669.40600000002</v>
      </c>
      <c r="G976" s="4">
        <v>352719.63900000002</v>
      </c>
      <c r="H976" s="5">
        <f>3678 / 86400</f>
        <v>4.2569444444444444E-2</v>
      </c>
      <c r="I976" t="s">
        <v>61</v>
      </c>
      <c r="J976" t="s">
        <v>37</v>
      </c>
      <c r="K976" s="5">
        <f>10556 / 86400</f>
        <v>0.12217592592592592</v>
      </c>
      <c r="L976" s="5">
        <f>700 / 86400</f>
        <v>8.1018518518518514E-3</v>
      </c>
    </row>
    <row r="977" spans="1:12" x14ac:dyDescent="0.25">
      <c r="A977" s="3">
        <v>45707.397858796292</v>
      </c>
      <c r="B977" t="s">
        <v>394</v>
      </c>
      <c r="C977" s="3">
        <v>45707.534814814819</v>
      </c>
      <c r="D977" t="s">
        <v>110</v>
      </c>
      <c r="E977" s="4">
        <v>50.23</v>
      </c>
      <c r="F977" s="4">
        <v>352719.63900000002</v>
      </c>
      <c r="G977" s="4">
        <v>352769.86900000001</v>
      </c>
      <c r="H977" s="5">
        <f>4179 / 86400</f>
        <v>4.8368055555555553E-2</v>
      </c>
      <c r="I977" t="s">
        <v>302</v>
      </c>
      <c r="J977" t="s">
        <v>46</v>
      </c>
      <c r="K977" s="5">
        <f>11833 / 86400</f>
        <v>0.13695601851851852</v>
      </c>
      <c r="L977" s="5">
        <f>863 / 86400</f>
        <v>9.9884259259259266E-3</v>
      </c>
    </row>
    <row r="978" spans="1:12" x14ac:dyDescent="0.25">
      <c r="A978" s="3">
        <v>45707.544803240744</v>
      </c>
      <c r="B978" t="s">
        <v>110</v>
      </c>
      <c r="C978" s="3">
        <v>45707.547418981485</v>
      </c>
      <c r="D978" t="s">
        <v>21</v>
      </c>
      <c r="E978" s="4">
        <v>0.57999999999999996</v>
      </c>
      <c r="F978" s="4">
        <v>352769.86900000001</v>
      </c>
      <c r="G978" s="4">
        <v>352770.44900000002</v>
      </c>
      <c r="H978" s="5">
        <f>59 / 86400</f>
        <v>6.8287037037037036E-4</v>
      </c>
      <c r="I978" t="s">
        <v>84</v>
      </c>
      <c r="J978" t="s">
        <v>132</v>
      </c>
      <c r="K978" s="5">
        <f>226 / 86400</f>
        <v>2.6157407407407405E-3</v>
      </c>
      <c r="L978" s="5">
        <f>752 / 86400</f>
        <v>8.7037037037037031E-3</v>
      </c>
    </row>
    <row r="979" spans="1:12" x14ac:dyDescent="0.25">
      <c r="A979" s="3">
        <v>45707.556122685186</v>
      </c>
      <c r="B979" t="s">
        <v>21</v>
      </c>
      <c r="C979" s="3">
        <v>45707.559513888889</v>
      </c>
      <c r="D979" t="s">
        <v>110</v>
      </c>
      <c r="E979" s="4">
        <v>0.54200000000000004</v>
      </c>
      <c r="F979" s="4">
        <v>352770.44900000002</v>
      </c>
      <c r="G979" s="4">
        <v>352770.99099999998</v>
      </c>
      <c r="H979" s="5">
        <f>139 / 86400</f>
        <v>1.6087962962962963E-3</v>
      </c>
      <c r="I979" t="s">
        <v>57</v>
      </c>
      <c r="J979" t="s">
        <v>85</v>
      </c>
      <c r="K979" s="5">
        <f>293 / 86400</f>
        <v>3.3912037037037036E-3</v>
      </c>
      <c r="L979" s="5">
        <f>486 / 86400</f>
        <v>5.6249999999999998E-3</v>
      </c>
    </row>
    <row r="980" spans="1:12" x14ac:dyDescent="0.25">
      <c r="A980" s="3">
        <v>45707.565138888887</v>
      </c>
      <c r="B980" t="s">
        <v>110</v>
      </c>
      <c r="C980" s="3">
        <v>45707.56621527778</v>
      </c>
      <c r="D980" t="s">
        <v>120</v>
      </c>
      <c r="E980" s="4">
        <v>0.27600000000000002</v>
      </c>
      <c r="F980" s="4">
        <v>352770.99099999998</v>
      </c>
      <c r="G980" s="4">
        <v>352771.26699999999</v>
      </c>
      <c r="H980" s="5">
        <f>0 / 86400</f>
        <v>0</v>
      </c>
      <c r="I980" t="s">
        <v>20</v>
      </c>
      <c r="J980" t="s">
        <v>137</v>
      </c>
      <c r="K980" s="5">
        <f>93 / 86400</f>
        <v>1.0763888888888889E-3</v>
      </c>
      <c r="L980" s="5">
        <f>3381 / 86400</f>
        <v>3.9131944444444441E-2</v>
      </c>
    </row>
    <row r="981" spans="1:12" x14ac:dyDescent="0.25">
      <c r="A981" s="3">
        <v>45707.605347222227</v>
      </c>
      <c r="B981" t="s">
        <v>120</v>
      </c>
      <c r="C981" s="3">
        <v>45707.60628472222</v>
      </c>
      <c r="D981" t="s">
        <v>432</v>
      </c>
      <c r="E981" s="4">
        <v>0</v>
      </c>
      <c r="F981" s="4">
        <v>352771.26699999999</v>
      </c>
      <c r="G981" s="4">
        <v>352771.26699999999</v>
      </c>
      <c r="H981" s="5">
        <f>79 / 86400</f>
        <v>9.1435185185185185E-4</v>
      </c>
      <c r="I981" t="s">
        <v>72</v>
      </c>
      <c r="J981" t="s">
        <v>72</v>
      </c>
      <c r="K981" s="5">
        <f>80 / 86400</f>
        <v>9.2592592592592596E-4</v>
      </c>
      <c r="L981" s="5">
        <f>761 / 86400</f>
        <v>8.8078703703703704E-3</v>
      </c>
    </row>
    <row r="982" spans="1:12" x14ac:dyDescent="0.25">
      <c r="A982" s="3">
        <v>45707.61509259259</v>
      </c>
      <c r="B982" t="s">
        <v>108</v>
      </c>
      <c r="C982" s="3">
        <v>45707.615659722222</v>
      </c>
      <c r="D982" t="s">
        <v>108</v>
      </c>
      <c r="E982" s="4">
        <v>8.6999999999999994E-2</v>
      </c>
      <c r="F982" s="4">
        <v>352771.26699999999</v>
      </c>
      <c r="G982" s="4">
        <v>352771.35399999999</v>
      </c>
      <c r="H982" s="5">
        <f>0 / 86400</f>
        <v>0</v>
      </c>
      <c r="I982" t="s">
        <v>62</v>
      </c>
      <c r="J982" t="s">
        <v>85</v>
      </c>
      <c r="K982" s="5">
        <f>48 / 86400</f>
        <v>5.5555555555555556E-4</v>
      </c>
      <c r="L982" s="5">
        <f>286 / 86400</f>
        <v>3.3101851851851851E-3</v>
      </c>
    </row>
    <row r="983" spans="1:12" x14ac:dyDescent="0.25">
      <c r="A983" s="3">
        <v>45707.618969907402</v>
      </c>
      <c r="B983" t="s">
        <v>108</v>
      </c>
      <c r="C983" s="3">
        <v>45707.620069444441</v>
      </c>
      <c r="D983" t="s">
        <v>432</v>
      </c>
      <c r="E983" s="4">
        <v>8.4000000000000005E-2</v>
      </c>
      <c r="F983" s="4">
        <v>352771.35399999999</v>
      </c>
      <c r="G983" s="4">
        <v>352771.43800000002</v>
      </c>
      <c r="H983" s="5">
        <f>40 / 86400</f>
        <v>4.6296296296296298E-4</v>
      </c>
      <c r="I983" t="s">
        <v>62</v>
      </c>
      <c r="J983" t="s">
        <v>24</v>
      </c>
      <c r="K983" s="5">
        <f>94 / 86400</f>
        <v>1.0879629629629629E-3</v>
      </c>
      <c r="L983" s="5">
        <f>26 / 86400</f>
        <v>3.0092592592592595E-4</v>
      </c>
    </row>
    <row r="984" spans="1:12" x14ac:dyDescent="0.25">
      <c r="A984" s="3">
        <v>45707.620370370365</v>
      </c>
      <c r="B984" t="s">
        <v>432</v>
      </c>
      <c r="C984" s="3">
        <v>45707.620856481481</v>
      </c>
      <c r="D984" t="s">
        <v>432</v>
      </c>
      <c r="E984" s="4">
        <v>5.0000000000000001E-3</v>
      </c>
      <c r="F984" s="4">
        <v>352771.43800000002</v>
      </c>
      <c r="G984" s="4">
        <v>352771.44300000003</v>
      </c>
      <c r="H984" s="5">
        <f>39 / 86400</f>
        <v>4.5138888888888887E-4</v>
      </c>
      <c r="I984" t="s">
        <v>72</v>
      </c>
      <c r="J984" t="s">
        <v>72</v>
      </c>
      <c r="K984" s="5">
        <f>42 / 86400</f>
        <v>4.861111111111111E-4</v>
      </c>
      <c r="L984" s="5">
        <f>632 / 86400</f>
        <v>7.3148148148148148E-3</v>
      </c>
    </row>
    <row r="985" spans="1:12" x14ac:dyDescent="0.25">
      <c r="A985" s="3">
        <v>45707.628171296295</v>
      </c>
      <c r="B985" t="s">
        <v>432</v>
      </c>
      <c r="C985" s="3">
        <v>45707.632939814815</v>
      </c>
      <c r="D985" t="s">
        <v>108</v>
      </c>
      <c r="E985" s="4">
        <v>1.6180000000000001</v>
      </c>
      <c r="F985" s="4">
        <v>352771.44300000003</v>
      </c>
      <c r="G985" s="4">
        <v>352773.06099999999</v>
      </c>
      <c r="H985" s="5">
        <f>20 / 86400</f>
        <v>2.3148148148148149E-4</v>
      </c>
      <c r="I985" t="s">
        <v>131</v>
      </c>
      <c r="J985" t="s">
        <v>43</v>
      </c>
      <c r="K985" s="5">
        <f>412 / 86400</f>
        <v>4.7685185185185183E-3</v>
      </c>
      <c r="L985" s="5">
        <f>37 / 86400</f>
        <v>4.2824074074074075E-4</v>
      </c>
    </row>
    <row r="986" spans="1:12" x14ac:dyDescent="0.25">
      <c r="A986" s="3">
        <v>45707.633368055554</v>
      </c>
      <c r="B986" t="s">
        <v>108</v>
      </c>
      <c r="C986" s="3">
        <v>45707.650613425925</v>
      </c>
      <c r="D986" t="s">
        <v>433</v>
      </c>
      <c r="E986" s="4">
        <v>7.1429999999999998</v>
      </c>
      <c r="F986" s="4">
        <v>352773.06099999999</v>
      </c>
      <c r="G986" s="4">
        <v>352780.20400000003</v>
      </c>
      <c r="H986" s="5">
        <f>159 / 86400</f>
        <v>1.8402777777777777E-3</v>
      </c>
      <c r="I986" t="s">
        <v>193</v>
      </c>
      <c r="J986" t="s">
        <v>37</v>
      </c>
      <c r="K986" s="5">
        <f>1489 / 86400</f>
        <v>1.7233796296296296E-2</v>
      </c>
      <c r="L986" s="5">
        <f>507 / 86400</f>
        <v>5.8680555555555552E-3</v>
      </c>
    </row>
    <row r="987" spans="1:12" x14ac:dyDescent="0.25">
      <c r="A987" s="3">
        <v>45707.656481481477</v>
      </c>
      <c r="B987" t="s">
        <v>433</v>
      </c>
      <c r="C987" s="3">
        <v>45707.659953703704</v>
      </c>
      <c r="D987" t="s">
        <v>434</v>
      </c>
      <c r="E987" s="4">
        <v>1.1830000000000001</v>
      </c>
      <c r="F987" s="4">
        <v>352780.20400000003</v>
      </c>
      <c r="G987" s="4">
        <v>352781.38699999999</v>
      </c>
      <c r="H987" s="5">
        <f>0 / 86400</f>
        <v>0</v>
      </c>
      <c r="I987" t="s">
        <v>169</v>
      </c>
      <c r="J987" t="s">
        <v>43</v>
      </c>
      <c r="K987" s="5">
        <f>300 / 86400</f>
        <v>3.472222222222222E-3</v>
      </c>
      <c r="L987" s="5">
        <f>1226 / 86400</f>
        <v>1.4189814814814815E-2</v>
      </c>
    </row>
    <row r="988" spans="1:12" x14ac:dyDescent="0.25">
      <c r="A988" s="3">
        <v>45707.674143518518</v>
      </c>
      <c r="B988" t="s">
        <v>434</v>
      </c>
      <c r="C988" s="3">
        <v>45707.680092592593</v>
      </c>
      <c r="D988" t="s">
        <v>86</v>
      </c>
      <c r="E988" s="4">
        <v>2.02</v>
      </c>
      <c r="F988" s="4">
        <v>352781.38699999999</v>
      </c>
      <c r="G988" s="4">
        <v>352783.40700000001</v>
      </c>
      <c r="H988" s="5">
        <f>60 / 86400</f>
        <v>6.9444444444444447E-4</v>
      </c>
      <c r="I988" t="s">
        <v>57</v>
      </c>
      <c r="J988" t="s">
        <v>43</v>
      </c>
      <c r="K988" s="5">
        <f>514 / 86400</f>
        <v>5.9490740740740745E-3</v>
      </c>
      <c r="L988" s="5">
        <f>1577 / 86400</f>
        <v>1.8252314814814815E-2</v>
      </c>
    </row>
    <row r="989" spans="1:12" x14ac:dyDescent="0.25">
      <c r="A989" s="3">
        <v>45707.698344907403</v>
      </c>
      <c r="B989" t="s">
        <v>86</v>
      </c>
      <c r="C989" s="3">
        <v>45707.766365740739</v>
      </c>
      <c r="D989" t="s">
        <v>28</v>
      </c>
      <c r="E989" s="4">
        <v>33.195999999999998</v>
      </c>
      <c r="F989" s="4">
        <v>352783.40700000001</v>
      </c>
      <c r="G989" s="4">
        <v>352816.603</v>
      </c>
      <c r="H989" s="5">
        <f>1140 / 86400</f>
        <v>1.3194444444444444E-2</v>
      </c>
      <c r="I989" t="s">
        <v>55</v>
      </c>
      <c r="J989" t="s">
        <v>149</v>
      </c>
      <c r="K989" s="5">
        <f>5876 / 86400</f>
        <v>6.8009259259259255E-2</v>
      </c>
      <c r="L989" s="5">
        <f>2354 / 86400</f>
        <v>2.7245370370370371E-2</v>
      </c>
    </row>
    <row r="990" spans="1:12" x14ac:dyDescent="0.25">
      <c r="A990" s="3">
        <v>45707.793611111112</v>
      </c>
      <c r="B990" t="s">
        <v>28</v>
      </c>
      <c r="C990" s="3">
        <v>45707.797013888892</v>
      </c>
      <c r="D990" t="s">
        <v>28</v>
      </c>
      <c r="E990" s="4">
        <v>1.0609999999999999</v>
      </c>
      <c r="F990" s="4">
        <v>352816.603</v>
      </c>
      <c r="G990" s="4">
        <v>352817.66399999999</v>
      </c>
      <c r="H990" s="5">
        <f>60 / 86400</f>
        <v>6.9444444444444447E-4</v>
      </c>
      <c r="I990" t="s">
        <v>172</v>
      </c>
      <c r="J990" t="s">
        <v>62</v>
      </c>
      <c r="K990" s="5">
        <f>294 / 86400</f>
        <v>3.4027777777777776E-3</v>
      </c>
      <c r="L990" s="5">
        <f>395 / 86400</f>
        <v>4.5717592592592589E-3</v>
      </c>
    </row>
    <row r="991" spans="1:12" x14ac:dyDescent="0.25">
      <c r="A991" s="3">
        <v>45707.801585648151</v>
      </c>
      <c r="B991" t="s">
        <v>28</v>
      </c>
      <c r="C991" s="3">
        <v>45707.99998842593</v>
      </c>
      <c r="D991" t="s">
        <v>82</v>
      </c>
      <c r="E991" s="4">
        <v>84.305000000000007</v>
      </c>
      <c r="F991" s="4">
        <v>352817.66399999999</v>
      </c>
      <c r="G991" s="4">
        <v>352901.96899999998</v>
      </c>
      <c r="H991" s="5">
        <f>4980 / 86400</f>
        <v>5.7638888888888892E-2</v>
      </c>
      <c r="I991" t="s">
        <v>63</v>
      </c>
      <c r="J991" t="s">
        <v>27</v>
      </c>
      <c r="K991" s="5">
        <f>17142 / 86400</f>
        <v>0.19840277777777779</v>
      </c>
      <c r="L991" s="5">
        <f>0 / 86400</f>
        <v>0</v>
      </c>
    </row>
    <row r="992" spans="1:12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</row>
    <row r="993" spans="1:12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</row>
    <row r="994" spans="1:12" s="10" customFormat="1" ht="20.100000000000001" customHeight="1" x14ac:dyDescent="0.35">
      <c r="A994" s="15" t="s">
        <v>495</v>
      </c>
      <c r="B994" s="15"/>
      <c r="C994" s="15"/>
      <c r="D994" s="15"/>
      <c r="E994" s="15"/>
      <c r="F994" s="15"/>
      <c r="G994" s="15"/>
      <c r="H994" s="15"/>
      <c r="I994" s="15"/>
      <c r="J994" s="15"/>
    </row>
    <row r="995" spans="1:12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</row>
    <row r="996" spans="1:12" ht="30" x14ac:dyDescent="0.25">
      <c r="A996" s="2" t="s">
        <v>6</v>
      </c>
      <c r="B996" s="2" t="s">
        <v>7</v>
      </c>
      <c r="C996" s="2" t="s">
        <v>8</v>
      </c>
      <c r="D996" s="2" t="s">
        <v>9</v>
      </c>
      <c r="E996" s="2" t="s">
        <v>10</v>
      </c>
      <c r="F996" s="2" t="s">
        <v>11</v>
      </c>
      <c r="G996" s="2" t="s">
        <v>12</v>
      </c>
      <c r="H996" s="2" t="s">
        <v>13</v>
      </c>
      <c r="I996" s="2" t="s">
        <v>14</v>
      </c>
      <c r="J996" s="2" t="s">
        <v>15</v>
      </c>
      <c r="K996" s="2" t="s">
        <v>16</v>
      </c>
      <c r="L996" s="2" t="s">
        <v>17</v>
      </c>
    </row>
    <row r="997" spans="1:12" x14ac:dyDescent="0.25">
      <c r="A997" s="3">
        <v>45707.3205787037</v>
      </c>
      <c r="B997" t="s">
        <v>83</v>
      </c>
      <c r="C997" s="3">
        <v>45707.324745370366</v>
      </c>
      <c r="D997" t="s">
        <v>156</v>
      </c>
      <c r="E997" s="4">
        <v>0.91500000000000004</v>
      </c>
      <c r="F997" s="4">
        <v>411871.136</v>
      </c>
      <c r="G997" s="4">
        <v>411872.05099999998</v>
      </c>
      <c r="H997" s="5">
        <f>119 / 86400</f>
        <v>1.3773148148148147E-3</v>
      </c>
      <c r="I997" t="s">
        <v>35</v>
      </c>
      <c r="J997" t="s">
        <v>132</v>
      </c>
      <c r="K997" s="5">
        <f>360 / 86400</f>
        <v>4.1666666666666666E-3</v>
      </c>
      <c r="L997" s="5">
        <f>29815 / 86400</f>
        <v>0.34508101851851852</v>
      </c>
    </row>
    <row r="998" spans="1:12" x14ac:dyDescent="0.25">
      <c r="A998" s="3">
        <v>45707.349247685182</v>
      </c>
      <c r="B998" t="s">
        <v>156</v>
      </c>
      <c r="C998" s="3">
        <v>45707.350810185184</v>
      </c>
      <c r="D998" t="s">
        <v>156</v>
      </c>
      <c r="E998" s="4">
        <v>0</v>
      </c>
      <c r="F998" s="4">
        <v>411872.05099999998</v>
      </c>
      <c r="G998" s="4">
        <v>411872.05099999998</v>
      </c>
      <c r="H998" s="5">
        <f>119 / 86400</f>
        <v>1.3773148148148147E-3</v>
      </c>
      <c r="I998" t="s">
        <v>72</v>
      </c>
      <c r="J998" t="s">
        <v>72</v>
      </c>
      <c r="K998" s="5">
        <f>135 / 86400</f>
        <v>1.5625000000000001E-3</v>
      </c>
      <c r="L998" s="5">
        <f>18959 / 86400</f>
        <v>0.21943287037037038</v>
      </c>
    </row>
    <row r="999" spans="1:12" x14ac:dyDescent="0.25">
      <c r="A999" s="3">
        <v>45707.570243055554</v>
      </c>
      <c r="B999" t="s">
        <v>156</v>
      </c>
      <c r="C999" s="3">
        <v>45707.574479166666</v>
      </c>
      <c r="D999" t="s">
        <v>83</v>
      </c>
      <c r="E999" s="4">
        <v>1.157</v>
      </c>
      <c r="F999" s="4">
        <v>411872.05099999998</v>
      </c>
      <c r="G999" s="4">
        <v>411873.20799999998</v>
      </c>
      <c r="H999" s="5">
        <f>99 / 86400</f>
        <v>1.1458333333333333E-3</v>
      </c>
      <c r="I999" t="s">
        <v>84</v>
      </c>
      <c r="J999" t="s">
        <v>137</v>
      </c>
      <c r="K999" s="5">
        <f>365 / 86400</f>
        <v>4.2245370370370371E-3</v>
      </c>
      <c r="L999" s="5">
        <f>24933 / 86400</f>
        <v>0.28857638888888887</v>
      </c>
    </row>
    <row r="1000" spans="1:12" x14ac:dyDescent="0.25">
      <c r="A1000" s="3">
        <v>45707.863055555557</v>
      </c>
      <c r="B1000" t="s">
        <v>83</v>
      </c>
      <c r="C1000" s="3">
        <v>45707.865381944444</v>
      </c>
      <c r="D1000" t="s">
        <v>83</v>
      </c>
      <c r="E1000" s="4">
        <v>3.9E-2</v>
      </c>
      <c r="F1000" s="4">
        <v>411873.20799999998</v>
      </c>
      <c r="G1000" s="4">
        <v>411873.24699999997</v>
      </c>
      <c r="H1000" s="5">
        <f>79 / 86400</f>
        <v>9.1435185185185185E-4</v>
      </c>
      <c r="I1000" t="s">
        <v>24</v>
      </c>
      <c r="J1000" t="s">
        <v>127</v>
      </c>
      <c r="K1000" s="5">
        <f>200 / 86400</f>
        <v>2.3148148148148147E-3</v>
      </c>
      <c r="L1000" s="5">
        <f>11630 / 86400</f>
        <v>0.13460648148148149</v>
      </c>
    </row>
    <row r="1001" spans="1:12" x14ac:dyDescent="0.2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</row>
    <row r="1002" spans="1:12" x14ac:dyDescent="0.25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</row>
    <row r="1003" spans="1:12" s="10" customFormat="1" ht="20.100000000000001" customHeight="1" x14ac:dyDescent="0.35">
      <c r="A1003" s="15" t="s">
        <v>496</v>
      </c>
      <c r="B1003" s="15"/>
      <c r="C1003" s="15"/>
      <c r="D1003" s="15"/>
      <c r="E1003" s="15"/>
      <c r="F1003" s="15"/>
      <c r="G1003" s="15"/>
      <c r="H1003" s="15"/>
      <c r="I1003" s="15"/>
      <c r="J1003" s="15"/>
    </row>
    <row r="1004" spans="1:12" x14ac:dyDescent="0.25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</row>
    <row r="1005" spans="1:12" ht="30" x14ac:dyDescent="0.25">
      <c r="A1005" s="2" t="s">
        <v>6</v>
      </c>
      <c r="B1005" s="2" t="s">
        <v>7</v>
      </c>
      <c r="C1005" s="2" t="s">
        <v>8</v>
      </c>
      <c r="D1005" s="2" t="s">
        <v>9</v>
      </c>
      <c r="E1005" s="2" t="s">
        <v>10</v>
      </c>
      <c r="F1005" s="2" t="s">
        <v>11</v>
      </c>
      <c r="G1005" s="2" t="s">
        <v>12</v>
      </c>
      <c r="H1005" s="2" t="s">
        <v>13</v>
      </c>
      <c r="I1005" s="2" t="s">
        <v>14</v>
      </c>
      <c r="J1005" s="2" t="s">
        <v>15</v>
      </c>
      <c r="K1005" s="2" t="s">
        <v>16</v>
      </c>
      <c r="L1005" s="2" t="s">
        <v>17</v>
      </c>
    </row>
    <row r="1006" spans="1:12" x14ac:dyDescent="0.25">
      <c r="A1006" s="3">
        <v>45707.154050925921</v>
      </c>
      <c r="B1006" t="s">
        <v>28</v>
      </c>
      <c r="C1006" s="3">
        <v>45707.217881944445</v>
      </c>
      <c r="D1006" t="s">
        <v>22</v>
      </c>
      <c r="E1006" s="4">
        <v>34.566000000000003</v>
      </c>
      <c r="F1006" s="4">
        <v>442611.83100000001</v>
      </c>
      <c r="G1006" s="4">
        <v>442646.397</v>
      </c>
      <c r="H1006" s="5">
        <f>859 / 86400</f>
        <v>9.9421296296296289E-3</v>
      </c>
      <c r="I1006" t="s">
        <v>50</v>
      </c>
      <c r="J1006" t="s">
        <v>35</v>
      </c>
      <c r="K1006" s="5">
        <f>5515 / 86400</f>
        <v>6.3831018518518523E-2</v>
      </c>
      <c r="L1006" s="5">
        <f>14035 / 86400</f>
        <v>0.16244212962962962</v>
      </c>
    </row>
    <row r="1007" spans="1:12" x14ac:dyDescent="0.25">
      <c r="A1007" s="3">
        <v>45707.226273148146</v>
      </c>
      <c r="B1007" t="s">
        <v>22</v>
      </c>
      <c r="C1007" s="3">
        <v>45707.332592592589</v>
      </c>
      <c r="D1007" t="s">
        <v>130</v>
      </c>
      <c r="E1007" s="4">
        <v>50.59</v>
      </c>
      <c r="F1007" s="4">
        <v>442646.397</v>
      </c>
      <c r="G1007" s="4">
        <v>442696.98700000002</v>
      </c>
      <c r="H1007" s="5">
        <f>2040 / 86400</f>
        <v>2.361111111111111E-2</v>
      </c>
      <c r="I1007" t="s">
        <v>106</v>
      </c>
      <c r="J1007" t="s">
        <v>149</v>
      </c>
      <c r="K1007" s="5">
        <f>9186 / 86400</f>
        <v>0.10631944444444444</v>
      </c>
      <c r="L1007" s="5">
        <f>1576 / 86400</f>
        <v>1.8240740740740741E-2</v>
      </c>
    </row>
    <row r="1008" spans="1:12" x14ac:dyDescent="0.25">
      <c r="A1008" s="3">
        <v>45707.35083333333</v>
      </c>
      <c r="B1008" t="s">
        <v>130</v>
      </c>
      <c r="C1008" s="3">
        <v>45707.358483796299</v>
      </c>
      <c r="D1008" t="s">
        <v>120</v>
      </c>
      <c r="E1008" s="4">
        <v>1.4530000000000001</v>
      </c>
      <c r="F1008" s="4">
        <v>442696.98700000002</v>
      </c>
      <c r="G1008" s="4">
        <v>442698.44</v>
      </c>
      <c r="H1008" s="5">
        <f>240 / 86400</f>
        <v>2.7777777777777779E-3</v>
      </c>
      <c r="I1008" t="s">
        <v>84</v>
      </c>
      <c r="J1008" t="s">
        <v>31</v>
      </c>
      <c r="K1008" s="5">
        <f>661 / 86400</f>
        <v>7.6504629629629631E-3</v>
      </c>
      <c r="L1008" s="5">
        <f>253 / 86400</f>
        <v>2.9282407407407408E-3</v>
      </c>
    </row>
    <row r="1009" spans="1:12" x14ac:dyDescent="0.25">
      <c r="A1009" s="3">
        <v>45707.361412037033</v>
      </c>
      <c r="B1009" t="s">
        <v>120</v>
      </c>
      <c r="C1009" s="3">
        <v>45707.477685185186</v>
      </c>
      <c r="D1009" t="s">
        <v>133</v>
      </c>
      <c r="E1009" s="4">
        <v>49.573</v>
      </c>
      <c r="F1009" s="4">
        <v>442698.44</v>
      </c>
      <c r="G1009" s="4">
        <v>442748.01299999998</v>
      </c>
      <c r="H1009" s="5">
        <f>3060 / 86400</f>
        <v>3.5416666666666666E-2</v>
      </c>
      <c r="I1009" t="s">
        <v>61</v>
      </c>
      <c r="J1009" t="s">
        <v>27</v>
      </c>
      <c r="K1009" s="5">
        <f>10045 / 86400</f>
        <v>0.11626157407407407</v>
      </c>
      <c r="L1009" s="5">
        <f>3795 / 86400</f>
        <v>4.3923611111111108E-2</v>
      </c>
    </row>
    <row r="1010" spans="1:12" x14ac:dyDescent="0.25">
      <c r="A1010" s="3">
        <v>45707.521608796298</v>
      </c>
      <c r="B1010" t="s">
        <v>133</v>
      </c>
      <c r="C1010" s="3">
        <v>45707.681458333333</v>
      </c>
      <c r="D1010" t="s">
        <v>406</v>
      </c>
      <c r="E1010" s="4">
        <v>67.700999999999993</v>
      </c>
      <c r="F1010" s="4">
        <v>442748.01299999998</v>
      </c>
      <c r="G1010" s="4">
        <v>442815.71399999998</v>
      </c>
      <c r="H1010" s="5">
        <f>3917 / 86400</f>
        <v>4.5335648148148146E-2</v>
      </c>
      <c r="I1010" t="s">
        <v>170</v>
      </c>
      <c r="J1010" t="s">
        <v>27</v>
      </c>
      <c r="K1010" s="5">
        <f>13811 / 86400</f>
        <v>0.15984953703703703</v>
      </c>
      <c r="L1010" s="5">
        <f>593 / 86400</f>
        <v>6.8634259259259256E-3</v>
      </c>
    </row>
    <row r="1011" spans="1:12" x14ac:dyDescent="0.25">
      <c r="A1011" s="3">
        <v>45707.688321759255</v>
      </c>
      <c r="B1011" t="s">
        <v>28</v>
      </c>
      <c r="C1011" s="3">
        <v>45707.693518518514</v>
      </c>
      <c r="D1011" t="s">
        <v>156</v>
      </c>
      <c r="E1011" s="4">
        <v>1.9450000000000001</v>
      </c>
      <c r="F1011" s="4">
        <v>442815.71399999998</v>
      </c>
      <c r="G1011" s="4">
        <v>442817.65899999999</v>
      </c>
      <c r="H1011" s="5">
        <f>60 / 86400</f>
        <v>6.9444444444444447E-4</v>
      </c>
      <c r="I1011" t="s">
        <v>194</v>
      </c>
      <c r="J1011" t="s">
        <v>20</v>
      </c>
      <c r="K1011" s="5">
        <f>448 / 86400</f>
        <v>5.185185185185185E-3</v>
      </c>
      <c r="L1011" s="5">
        <f>165 / 86400</f>
        <v>1.9097222222222222E-3</v>
      </c>
    </row>
    <row r="1012" spans="1:12" x14ac:dyDescent="0.25">
      <c r="A1012" s="3">
        <v>45707.695428240739</v>
      </c>
      <c r="B1012" t="s">
        <v>156</v>
      </c>
      <c r="C1012" s="3">
        <v>45707.695752314816</v>
      </c>
      <c r="D1012" t="s">
        <v>28</v>
      </c>
      <c r="E1012" s="4">
        <v>2.3E-2</v>
      </c>
      <c r="F1012" s="4">
        <v>442817.65899999999</v>
      </c>
      <c r="G1012" s="4">
        <v>442817.68199999997</v>
      </c>
      <c r="H1012" s="5">
        <f>0 / 86400</f>
        <v>0</v>
      </c>
      <c r="I1012" t="s">
        <v>101</v>
      </c>
      <c r="J1012" t="s">
        <v>24</v>
      </c>
      <c r="K1012" s="5">
        <f>28 / 86400</f>
        <v>3.2407407407407406E-4</v>
      </c>
      <c r="L1012" s="5">
        <f>2751 / 86400</f>
        <v>3.184027777777778E-2</v>
      </c>
    </row>
    <row r="1013" spans="1:12" x14ac:dyDescent="0.25">
      <c r="A1013" s="3">
        <v>45707.727592592593</v>
      </c>
      <c r="B1013" t="s">
        <v>28</v>
      </c>
      <c r="C1013" s="3">
        <v>45707.728599537033</v>
      </c>
      <c r="D1013" t="s">
        <v>28</v>
      </c>
      <c r="E1013" s="4">
        <v>5.0000000000000001E-3</v>
      </c>
      <c r="F1013" s="4">
        <v>442817.68199999997</v>
      </c>
      <c r="G1013" s="4">
        <v>442817.68699999998</v>
      </c>
      <c r="H1013" s="5">
        <f>59 / 86400</f>
        <v>6.8287037037037036E-4</v>
      </c>
      <c r="I1013" t="s">
        <v>136</v>
      </c>
      <c r="J1013" t="s">
        <v>72</v>
      </c>
      <c r="K1013" s="5">
        <f>87 / 86400</f>
        <v>1.0069444444444444E-3</v>
      </c>
      <c r="L1013" s="5">
        <f>1088 / 86400</f>
        <v>1.2592592592592593E-2</v>
      </c>
    </row>
    <row r="1014" spans="1:12" x14ac:dyDescent="0.25">
      <c r="A1014" s="3">
        <v>45707.74119212963</v>
      </c>
      <c r="B1014" t="s">
        <v>28</v>
      </c>
      <c r="C1014" s="3">
        <v>45707.757280092592</v>
      </c>
      <c r="D1014" t="s">
        <v>435</v>
      </c>
      <c r="E1014" s="4">
        <v>7.69</v>
      </c>
      <c r="F1014" s="4">
        <v>442817.68699999998</v>
      </c>
      <c r="G1014" s="4">
        <v>442825.37699999998</v>
      </c>
      <c r="H1014" s="5">
        <f>200 / 86400</f>
        <v>2.3148148148148147E-3</v>
      </c>
      <c r="I1014" t="s">
        <v>177</v>
      </c>
      <c r="J1014" t="s">
        <v>149</v>
      </c>
      <c r="K1014" s="5">
        <f>1390 / 86400</f>
        <v>1.6087962962962964E-2</v>
      </c>
      <c r="L1014" s="5">
        <f>3654 / 86400</f>
        <v>4.2291666666666665E-2</v>
      </c>
    </row>
    <row r="1015" spans="1:12" x14ac:dyDescent="0.25">
      <c r="A1015" s="3">
        <v>45707.799571759257</v>
      </c>
      <c r="B1015" t="s">
        <v>435</v>
      </c>
      <c r="C1015" s="3">
        <v>45707.849479166667</v>
      </c>
      <c r="D1015" t="s">
        <v>28</v>
      </c>
      <c r="E1015" s="4">
        <v>14.871</v>
      </c>
      <c r="F1015" s="4">
        <v>442825.37699999998</v>
      </c>
      <c r="G1015" s="4">
        <v>442840.24800000002</v>
      </c>
      <c r="H1015" s="5">
        <f>1259 / 86400</f>
        <v>1.457175925925926E-2</v>
      </c>
      <c r="I1015" t="s">
        <v>254</v>
      </c>
      <c r="J1015" t="s">
        <v>148</v>
      </c>
      <c r="K1015" s="5">
        <f>4311 / 86400</f>
        <v>4.9895833333333334E-2</v>
      </c>
      <c r="L1015" s="5">
        <f>13004 / 86400</f>
        <v>0.15050925925925926</v>
      </c>
    </row>
    <row r="1016" spans="1:12" x14ac:dyDescent="0.25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</row>
    <row r="1017" spans="1:12" x14ac:dyDescent="0.25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</row>
    <row r="1018" spans="1:12" s="10" customFormat="1" ht="20.100000000000001" customHeight="1" x14ac:dyDescent="0.35">
      <c r="A1018" s="15" t="s">
        <v>497</v>
      </c>
      <c r="B1018" s="15"/>
      <c r="C1018" s="15"/>
      <c r="D1018" s="15"/>
      <c r="E1018" s="15"/>
      <c r="F1018" s="15"/>
      <c r="G1018" s="15"/>
      <c r="H1018" s="15"/>
      <c r="I1018" s="15"/>
      <c r="J1018" s="15"/>
    </row>
    <row r="1019" spans="1:12" x14ac:dyDescent="0.25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</row>
    <row r="1020" spans="1:12" ht="30" x14ac:dyDescent="0.25">
      <c r="A1020" s="2" t="s">
        <v>6</v>
      </c>
      <c r="B1020" s="2" t="s">
        <v>7</v>
      </c>
      <c r="C1020" s="2" t="s">
        <v>8</v>
      </c>
      <c r="D1020" s="2" t="s">
        <v>9</v>
      </c>
      <c r="E1020" s="2" t="s">
        <v>10</v>
      </c>
      <c r="F1020" s="2" t="s">
        <v>11</v>
      </c>
      <c r="G1020" s="2" t="s">
        <v>12</v>
      </c>
      <c r="H1020" s="2" t="s">
        <v>13</v>
      </c>
      <c r="I1020" s="2" t="s">
        <v>14</v>
      </c>
      <c r="J1020" s="2" t="s">
        <v>15</v>
      </c>
      <c r="K1020" s="2" t="s">
        <v>16</v>
      </c>
      <c r="L1020" s="2" t="s">
        <v>17</v>
      </c>
    </row>
    <row r="1021" spans="1:12" x14ac:dyDescent="0.25">
      <c r="A1021" s="3">
        <v>45707.234328703707</v>
      </c>
      <c r="B1021" t="s">
        <v>86</v>
      </c>
      <c r="C1021" s="3">
        <v>45707.477141203708</v>
      </c>
      <c r="D1021" t="s">
        <v>121</v>
      </c>
      <c r="E1021" s="4">
        <v>97.38</v>
      </c>
      <c r="F1021" s="4">
        <v>474937.47700000001</v>
      </c>
      <c r="G1021" s="4">
        <v>475034.85700000002</v>
      </c>
      <c r="H1021" s="5">
        <f>6560 / 86400</f>
        <v>7.5925925925925924E-2</v>
      </c>
      <c r="I1021" t="s">
        <v>87</v>
      </c>
      <c r="J1021" t="s">
        <v>37</v>
      </c>
      <c r="K1021" s="5">
        <f>20979 / 86400</f>
        <v>0.24281249999999999</v>
      </c>
      <c r="L1021" s="5">
        <f>21577 / 86400</f>
        <v>0.2497337962962963</v>
      </c>
    </row>
    <row r="1022" spans="1:12" x14ac:dyDescent="0.25">
      <c r="A1022" s="3">
        <v>45707.4925462963</v>
      </c>
      <c r="B1022" t="s">
        <v>121</v>
      </c>
      <c r="C1022" s="3">
        <v>45707.493229166663</v>
      </c>
      <c r="D1022" t="s">
        <v>121</v>
      </c>
      <c r="E1022" s="4">
        <v>6.7000000000000004E-2</v>
      </c>
      <c r="F1022" s="4">
        <v>475034.85700000002</v>
      </c>
      <c r="G1022" s="4">
        <v>475034.924</v>
      </c>
      <c r="H1022" s="5">
        <f>20 / 86400</f>
        <v>2.3148148148148149E-4</v>
      </c>
      <c r="I1022" t="s">
        <v>31</v>
      </c>
      <c r="J1022" t="s">
        <v>58</v>
      </c>
      <c r="K1022" s="5">
        <f>59 / 86400</f>
        <v>6.8287037037037036E-4</v>
      </c>
      <c r="L1022" s="5">
        <f>22 / 86400</f>
        <v>2.5462962962962961E-4</v>
      </c>
    </row>
    <row r="1023" spans="1:12" x14ac:dyDescent="0.25">
      <c r="A1023" s="3">
        <v>45707.493483796294</v>
      </c>
      <c r="B1023" t="s">
        <v>121</v>
      </c>
      <c r="C1023" s="3">
        <v>45707.493530092594</v>
      </c>
      <c r="D1023" t="s">
        <v>121</v>
      </c>
      <c r="E1023" s="4">
        <v>0</v>
      </c>
      <c r="F1023" s="4">
        <v>475034.924</v>
      </c>
      <c r="G1023" s="4">
        <v>475034.924</v>
      </c>
      <c r="H1023" s="5">
        <f>0 / 86400</f>
        <v>0</v>
      </c>
      <c r="I1023" t="s">
        <v>72</v>
      </c>
      <c r="J1023" t="s">
        <v>72</v>
      </c>
      <c r="K1023" s="5">
        <f>4 / 86400</f>
        <v>4.6296296296296294E-5</v>
      </c>
      <c r="L1023" s="5">
        <f>675 / 86400</f>
        <v>7.8125E-3</v>
      </c>
    </row>
    <row r="1024" spans="1:12" x14ac:dyDescent="0.25">
      <c r="A1024" s="3">
        <v>45707.501342592594</v>
      </c>
      <c r="B1024" t="s">
        <v>121</v>
      </c>
      <c r="C1024" s="3">
        <v>45707.507326388892</v>
      </c>
      <c r="D1024" t="s">
        <v>130</v>
      </c>
      <c r="E1024" s="4">
        <v>1.6870000000000001</v>
      </c>
      <c r="F1024" s="4">
        <v>475034.924</v>
      </c>
      <c r="G1024" s="4">
        <v>475036.61099999998</v>
      </c>
      <c r="H1024" s="5">
        <f>59 / 86400</f>
        <v>6.8287037037037036E-4</v>
      </c>
      <c r="I1024" t="s">
        <v>84</v>
      </c>
      <c r="J1024" t="s">
        <v>148</v>
      </c>
      <c r="K1024" s="5">
        <f>517 / 86400</f>
        <v>5.9837962962962961E-3</v>
      </c>
      <c r="L1024" s="5">
        <f>156 / 86400</f>
        <v>1.8055555555555555E-3</v>
      </c>
    </row>
    <row r="1025" spans="1:12" x14ac:dyDescent="0.25">
      <c r="A1025" s="3">
        <v>45707.509131944447</v>
      </c>
      <c r="B1025" t="s">
        <v>130</v>
      </c>
      <c r="C1025" s="3">
        <v>45707.513020833328</v>
      </c>
      <c r="D1025" t="s">
        <v>110</v>
      </c>
      <c r="E1025" s="4">
        <v>1.294</v>
      </c>
      <c r="F1025" s="4">
        <v>475036.61099999998</v>
      </c>
      <c r="G1025" s="4">
        <v>475037.90500000003</v>
      </c>
      <c r="H1025" s="5">
        <f>20 / 86400</f>
        <v>2.3148148148148149E-4</v>
      </c>
      <c r="I1025" t="s">
        <v>191</v>
      </c>
      <c r="J1025" t="s">
        <v>43</v>
      </c>
      <c r="K1025" s="5">
        <f>336 / 86400</f>
        <v>3.8888888888888888E-3</v>
      </c>
      <c r="L1025" s="5">
        <f>202 / 86400</f>
        <v>2.3379629629629631E-3</v>
      </c>
    </row>
    <row r="1026" spans="1:12" x14ac:dyDescent="0.25">
      <c r="A1026" s="3">
        <v>45707.5153587963</v>
      </c>
      <c r="B1026" t="s">
        <v>110</v>
      </c>
      <c r="C1026" s="3">
        <v>45707.772893518515</v>
      </c>
      <c r="D1026" t="s">
        <v>436</v>
      </c>
      <c r="E1026" s="4">
        <v>90.787999999999997</v>
      </c>
      <c r="F1026" s="4">
        <v>475037.90500000003</v>
      </c>
      <c r="G1026" s="4">
        <v>475128.69300000003</v>
      </c>
      <c r="H1026" s="5">
        <f>8894 / 86400</f>
        <v>0.10293981481481482</v>
      </c>
      <c r="I1026" t="s">
        <v>42</v>
      </c>
      <c r="J1026" t="s">
        <v>46</v>
      </c>
      <c r="K1026" s="5">
        <f>22251 / 86400</f>
        <v>0.25753472222222223</v>
      </c>
      <c r="L1026" s="5">
        <f>369 / 86400</f>
        <v>4.2708333333333331E-3</v>
      </c>
    </row>
    <row r="1027" spans="1:12" x14ac:dyDescent="0.25">
      <c r="A1027" s="3">
        <v>45707.77716435185</v>
      </c>
      <c r="B1027" t="s">
        <v>436</v>
      </c>
      <c r="C1027" s="3">
        <v>45707.780578703707</v>
      </c>
      <c r="D1027" t="s">
        <v>86</v>
      </c>
      <c r="E1027" s="4">
        <v>0.82</v>
      </c>
      <c r="F1027" s="4">
        <v>475128.69300000003</v>
      </c>
      <c r="G1027" s="4">
        <v>475129.51299999998</v>
      </c>
      <c r="H1027" s="5">
        <f>80 / 86400</f>
        <v>9.2592592592592596E-4</v>
      </c>
      <c r="I1027" t="s">
        <v>84</v>
      </c>
      <c r="J1027" t="s">
        <v>123</v>
      </c>
      <c r="K1027" s="5">
        <f>295 / 86400</f>
        <v>3.414351851851852E-3</v>
      </c>
      <c r="L1027" s="5">
        <f>6734 / 86400</f>
        <v>7.7939814814814809E-2</v>
      </c>
    </row>
    <row r="1028" spans="1:12" x14ac:dyDescent="0.25">
      <c r="A1028" s="3">
        <v>45707.858518518522</v>
      </c>
      <c r="B1028" t="s">
        <v>86</v>
      </c>
      <c r="C1028" s="3">
        <v>45707.859872685185</v>
      </c>
      <c r="D1028" t="s">
        <v>86</v>
      </c>
      <c r="E1028" s="4">
        <v>7.0000000000000001E-3</v>
      </c>
      <c r="F1028" s="4">
        <v>475129.51299999998</v>
      </c>
      <c r="G1028" s="4">
        <v>475129.52</v>
      </c>
      <c r="H1028" s="5">
        <f>99 / 86400</f>
        <v>1.1458333333333333E-3</v>
      </c>
      <c r="I1028" t="s">
        <v>72</v>
      </c>
      <c r="J1028" t="s">
        <v>72</v>
      </c>
      <c r="K1028" s="5">
        <f>116 / 86400</f>
        <v>1.3425925925925925E-3</v>
      </c>
      <c r="L1028" s="5">
        <f>12106 / 86400</f>
        <v>0.14011574074074074</v>
      </c>
    </row>
    <row r="1029" spans="1:12" x14ac:dyDescent="0.25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</row>
    <row r="1030" spans="1:12" x14ac:dyDescent="0.25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</row>
    <row r="1031" spans="1:12" s="10" customFormat="1" ht="20.100000000000001" customHeight="1" x14ac:dyDescent="0.35">
      <c r="A1031" s="15" t="s">
        <v>498</v>
      </c>
      <c r="B1031" s="15"/>
      <c r="C1031" s="15"/>
      <c r="D1031" s="15"/>
      <c r="E1031" s="15"/>
      <c r="F1031" s="15"/>
      <c r="G1031" s="15"/>
      <c r="H1031" s="15"/>
      <c r="I1031" s="15"/>
      <c r="J1031" s="15"/>
    </row>
    <row r="1032" spans="1:12" x14ac:dyDescent="0.25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</row>
    <row r="1033" spans="1:12" ht="30" x14ac:dyDescent="0.25">
      <c r="A1033" s="2" t="s">
        <v>6</v>
      </c>
      <c r="B1033" s="2" t="s">
        <v>7</v>
      </c>
      <c r="C1033" s="2" t="s">
        <v>8</v>
      </c>
      <c r="D1033" s="2" t="s">
        <v>9</v>
      </c>
      <c r="E1033" s="2" t="s">
        <v>10</v>
      </c>
      <c r="F1033" s="2" t="s">
        <v>11</v>
      </c>
      <c r="G1033" s="2" t="s">
        <v>12</v>
      </c>
      <c r="H1033" s="2" t="s">
        <v>13</v>
      </c>
      <c r="I1033" s="2" t="s">
        <v>14</v>
      </c>
      <c r="J1033" s="2" t="s">
        <v>15</v>
      </c>
      <c r="K1033" s="2" t="s">
        <v>16</v>
      </c>
      <c r="L1033" s="2" t="s">
        <v>17</v>
      </c>
    </row>
    <row r="1034" spans="1:12" x14ac:dyDescent="0.25">
      <c r="A1034" s="3">
        <v>45707.00167824074</v>
      </c>
      <c r="B1034" t="s">
        <v>79</v>
      </c>
      <c r="C1034" s="3">
        <v>45707.004942129628</v>
      </c>
      <c r="D1034" t="s">
        <v>88</v>
      </c>
      <c r="E1034" s="4">
        <v>1.085</v>
      </c>
      <c r="F1034" s="4">
        <v>415411.598</v>
      </c>
      <c r="G1034" s="4">
        <v>415412.68300000002</v>
      </c>
      <c r="H1034" s="5">
        <f>79 / 86400</f>
        <v>9.1435185185185185E-4</v>
      </c>
      <c r="I1034" t="s">
        <v>235</v>
      </c>
      <c r="J1034" t="s">
        <v>43</v>
      </c>
      <c r="K1034" s="5">
        <f>281 / 86400</f>
        <v>3.2523148148148147E-3</v>
      </c>
      <c r="L1034" s="5">
        <f>1630 / 86400</f>
        <v>1.8865740740740742E-2</v>
      </c>
    </row>
    <row r="1035" spans="1:12" x14ac:dyDescent="0.25">
      <c r="A1035" s="3">
        <v>45707.022129629629</v>
      </c>
      <c r="B1035" t="s">
        <v>88</v>
      </c>
      <c r="C1035" s="3">
        <v>45707.02444444444</v>
      </c>
      <c r="D1035" t="s">
        <v>80</v>
      </c>
      <c r="E1035" s="4">
        <v>0.45500000000000002</v>
      </c>
      <c r="F1035" s="4">
        <v>415412.68300000002</v>
      </c>
      <c r="G1035" s="4">
        <v>415413.13799999998</v>
      </c>
      <c r="H1035" s="5">
        <f>40 / 86400</f>
        <v>4.6296296296296298E-4</v>
      </c>
      <c r="I1035" t="s">
        <v>37</v>
      </c>
      <c r="J1035" t="s">
        <v>31</v>
      </c>
      <c r="K1035" s="5">
        <f>199 / 86400</f>
        <v>2.3032407407407407E-3</v>
      </c>
      <c r="L1035" s="5">
        <f>6271 / 86400</f>
        <v>7.2581018518518517E-2</v>
      </c>
    </row>
    <row r="1036" spans="1:12" x14ac:dyDescent="0.25">
      <c r="A1036" s="3">
        <v>45707.097025462965</v>
      </c>
      <c r="B1036" t="s">
        <v>80</v>
      </c>
      <c r="C1036" s="3">
        <v>45707.102500000001</v>
      </c>
      <c r="D1036" t="s">
        <v>80</v>
      </c>
      <c r="E1036" s="4">
        <v>7.2999999999999995E-2</v>
      </c>
      <c r="F1036" s="4">
        <v>415413.13799999998</v>
      </c>
      <c r="G1036" s="4">
        <v>415413.21100000001</v>
      </c>
      <c r="H1036" s="5">
        <f>319 / 86400</f>
        <v>3.6921296296296298E-3</v>
      </c>
      <c r="I1036" t="s">
        <v>134</v>
      </c>
      <c r="J1036" t="s">
        <v>127</v>
      </c>
      <c r="K1036" s="5">
        <f>473 / 86400</f>
        <v>5.4745370370370373E-3</v>
      </c>
      <c r="L1036" s="5">
        <f>14720 / 86400</f>
        <v>0.17037037037037037</v>
      </c>
    </row>
    <row r="1037" spans="1:12" x14ac:dyDescent="0.25">
      <c r="A1037" s="3">
        <v>45707.272870370369</v>
      </c>
      <c r="B1037" t="s">
        <v>80</v>
      </c>
      <c r="C1037" s="3">
        <v>45707.274398148147</v>
      </c>
      <c r="D1037" t="s">
        <v>80</v>
      </c>
      <c r="E1037" s="4">
        <v>3.4000000000000002E-2</v>
      </c>
      <c r="F1037" s="4">
        <v>415413.21100000001</v>
      </c>
      <c r="G1037" s="4">
        <v>415413.245</v>
      </c>
      <c r="H1037" s="5">
        <f>59 / 86400</f>
        <v>6.8287037037037036E-4</v>
      </c>
      <c r="I1037" t="s">
        <v>134</v>
      </c>
      <c r="J1037" t="s">
        <v>127</v>
      </c>
      <c r="K1037" s="5">
        <f>131 / 86400</f>
        <v>1.5162037037037036E-3</v>
      </c>
      <c r="L1037" s="5">
        <f>358 / 86400</f>
        <v>4.1435185185185186E-3</v>
      </c>
    </row>
    <row r="1038" spans="1:12" x14ac:dyDescent="0.25">
      <c r="A1038" s="3">
        <v>45707.278541666667</v>
      </c>
      <c r="B1038" t="s">
        <v>80</v>
      </c>
      <c r="C1038" s="3">
        <v>45707.323171296295</v>
      </c>
      <c r="D1038" t="s">
        <v>110</v>
      </c>
      <c r="E1038" s="4">
        <v>23.474</v>
      </c>
      <c r="F1038" s="4">
        <v>415413.245</v>
      </c>
      <c r="G1038" s="4">
        <v>415436.71899999998</v>
      </c>
      <c r="H1038" s="5">
        <f>520 / 86400</f>
        <v>6.0185185185185185E-3</v>
      </c>
      <c r="I1038" t="s">
        <v>213</v>
      </c>
      <c r="J1038" t="s">
        <v>129</v>
      </c>
      <c r="K1038" s="5">
        <f>3856 / 86400</f>
        <v>4.462962962962963E-2</v>
      </c>
      <c r="L1038" s="5">
        <f>111 / 86400</f>
        <v>1.2847222222222223E-3</v>
      </c>
    </row>
    <row r="1039" spans="1:12" x14ac:dyDescent="0.25">
      <c r="A1039" s="3">
        <v>45707.324456018519</v>
      </c>
      <c r="B1039" t="s">
        <v>110</v>
      </c>
      <c r="C1039" s="3">
        <v>45707.324872685189</v>
      </c>
      <c r="D1039" t="s">
        <v>110</v>
      </c>
      <c r="E1039" s="4">
        <v>1.4999999999999999E-2</v>
      </c>
      <c r="F1039" s="4">
        <v>415436.71899999998</v>
      </c>
      <c r="G1039" s="4">
        <v>415436.734</v>
      </c>
      <c r="H1039" s="5">
        <f>0 / 86400</f>
        <v>0</v>
      </c>
      <c r="I1039" t="s">
        <v>134</v>
      </c>
      <c r="J1039" t="s">
        <v>136</v>
      </c>
      <c r="K1039" s="5">
        <f>35 / 86400</f>
        <v>4.0509259259259258E-4</v>
      </c>
      <c r="L1039" s="5">
        <f>3798 / 86400</f>
        <v>4.3958333333333335E-2</v>
      </c>
    </row>
    <row r="1040" spans="1:12" x14ac:dyDescent="0.25">
      <c r="A1040" s="3">
        <v>45707.368831018517</v>
      </c>
      <c r="B1040" t="s">
        <v>110</v>
      </c>
      <c r="C1040" s="3">
        <v>45707.372546296298</v>
      </c>
      <c r="D1040" t="s">
        <v>130</v>
      </c>
      <c r="E1040" s="4">
        <v>1.302</v>
      </c>
      <c r="F1040" s="4">
        <v>415436.734</v>
      </c>
      <c r="G1040" s="4">
        <v>415438.03600000002</v>
      </c>
      <c r="H1040" s="5">
        <f>0 / 86400</f>
        <v>0</v>
      </c>
      <c r="I1040" t="s">
        <v>57</v>
      </c>
      <c r="J1040" t="s">
        <v>46</v>
      </c>
      <c r="K1040" s="5">
        <f>320 / 86400</f>
        <v>3.7037037037037038E-3</v>
      </c>
      <c r="L1040" s="5">
        <f>1015 / 86400</f>
        <v>1.1747685185185186E-2</v>
      </c>
    </row>
    <row r="1041" spans="1:12" x14ac:dyDescent="0.25">
      <c r="A1041" s="3">
        <v>45707.384293981479</v>
      </c>
      <c r="B1041" t="s">
        <v>130</v>
      </c>
      <c r="C1041" s="3">
        <v>45707.387696759259</v>
      </c>
      <c r="D1041" t="s">
        <v>150</v>
      </c>
      <c r="E1041" s="4">
        <v>0.78600000000000003</v>
      </c>
      <c r="F1041" s="4">
        <v>415438.03600000002</v>
      </c>
      <c r="G1041" s="4">
        <v>415438.82199999999</v>
      </c>
      <c r="H1041" s="5">
        <f>79 / 86400</f>
        <v>9.1435185185185185E-4</v>
      </c>
      <c r="I1041" t="s">
        <v>166</v>
      </c>
      <c r="J1041" t="s">
        <v>123</v>
      </c>
      <c r="K1041" s="5">
        <f>294 / 86400</f>
        <v>3.4027777777777776E-3</v>
      </c>
      <c r="L1041" s="5">
        <f>33 / 86400</f>
        <v>3.8194444444444446E-4</v>
      </c>
    </row>
    <row r="1042" spans="1:12" x14ac:dyDescent="0.25">
      <c r="A1042" s="3">
        <v>45707.388078703705</v>
      </c>
      <c r="B1042" t="s">
        <v>150</v>
      </c>
      <c r="C1042" s="3">
        <v>45707.501296296294</v>
      </c>
      <c r="D1042" t="s">
        <v>212</v>
      </c>
      <c r="E1042" s="4">
        <v>47.637999999999998</v>
      </c>
      <c r="F1042" s="4">
        <v>415438.82199999999</v>
      </c>
      <c r="G1042" s="4">
        <v>415486.46</v>
      </c>
      <c r="H1042" s="5">
        <f>3019 / 86400</f>
        <v>3.4942129629629629E-2</v>
      </c>
      <c r="I1042" t="s">
        <v>302</v>
      </c>
      <c r="J1042" t="s">
        <v>27</v>
      </c>
      <c r="K1042" s="5">
        <f>9781 / 86400</f>
        <v>0.11320601851851853</v>
      </c>
      <c r="L1042" s="5">
        <f>136 / 86400</f>
        <v>1.5740740740740741E-3</v>
      </c>
    </row>
    <row r="1043" spans="1:12" x14ac:dyDescent="0.25">
      <c r="A1043" s="3">
        <v>45707.502870370372</v>
      </c>
      <c r="B1043" t="s">
        <v>437</v>
      </c>
      <c r="C1043" s="3">
        <v>45707.59039351852</v>
      </c>
      <c r="D1043" t="s">
        <v>80</v>
      </c>
      <c r="E1043" s="4">
        <v>28.765999999999998</v>
      </c>
      <c r="F1043" s="4">
        <v>415486.46</v>
      </c>
      <c r="G1043" s="4">
        <v>415515.22600000002</v>
      </c>
      <c r="H1043" s="5">
        <f>2839 / 86400</f>
        <v>3.2858796296296296E-2</v>
      </c>
      <c r="I1043" t="s">
        <v>302</v>
      </c>
      <c r="J1043" t="s">
        <v>43</v>
      </c>
      <c r="K1043" s="5">
        <f>7561 / 86400</f>
        <v>8.7511574074074075E-2</v>
      </c>
      <c r="L1043" s="5">
        <f>3135 / 86400</f>
        <v>3.6284722222222225E-2</v>
      </c>
    </row>
    <row r="1044" spans="1:12" x14ac:dyDescent="0.25">
      <c r="A1044" s="3">
        <v>45707.62667824074</v>
      </c>
      <c r="B1044" t="s">
        <v>80</v>
      </c>
      <c r="C1044" s="3">
        <v>45707.725798611107</v>
      </c>
      <c r="D1044" t="s">
        <v>104</v>
      </c>
      <c r="E1044" s="4">
        <v>49.939</v>
      </c>
      <c r="F1044" s="4">
        <v>415515.22600000002</v>
      </c>
      <c r="G1044" s="4">
        <v>415565.16499999998</v>
      </c>
      <c r="H1044" s="5">
        <f>2901 / 86400</f>
        <v>3.3576388888888892E-2</v>
      </c>
      <c r="I1044" t="s">
        <v>52</v>
      </c>
      <c r="J1044" t="s">
        <v>166</v>
      </c>
      <c r="K1044" s="5">
        <f>8563 / 86400</f>
        <v>9.9108796296296292E-2</v>
      </c>
      <c r="L1044" s="5">
        <f>299 / 86400</f>
        <v>3.460648148148148E-3</v>
      </c>
    </row>
    <row r="1045" spans="1:12" x14ac:dyDescent="0.25">
      <c r="A1045" s="3">
        <v>45707.729259259257</v>
      </c>
      <c r="B1045" t="s">
        <v>104</v>
      </c>
      <c r="C1045" s="3">
        <v>45707.970266203702</v>
      </c>
      <c r="D1045" t="s">
        <v>79</v>
      </c>
      <c r="E1045" s="4">
        <v>101.774</v>
      </c>
      <c r="F1045" s="4">
        <v>415565.16499999998</v>
      </c>
      <c r="G1045" s="4">
        <v>415666.93900000001</v>
      </c>
      <c r="H1045" s="5">
        <f>7126 / 86400</f>
        <v>8.2476851851851857E-2</v>
      </c>
      <c r="I1045" t="s">
        <v>45</v>
      </c>
      <c r="J1045" t="s">
        <v>27</v>
      </c>
      <c r="K1045" s="5">
        <f>20822 / 86400</f>
        <v>0.24099537037037036</v>
      </c>
      <c r="L1045" s="5">
        <f>510 / 86400</f>
        <v>5.9027777777777776E-3</v>
      </c>
    </row>
    <row r="1046" spans="1:12" x14ac:dyDescent="0.25">
      <c r="A1046" s="3">
        <v>45707.976168981477</v>
      </c>
      <c r="B1046" t="s">
        <v>79</v>
      </c>
      <c r="C1046" s="3">
        <v>45707.976481481484</v>
      </c>
      <c r="D1046" t="s">
        <v>79</v>
      </c>
      <c r="E1046" s="4">
        <v>5.7000000000000002E-2</v>
      </c>
      <c r="F1046" s="4">
        <v>415666.93900000001</v>
      </c>
      <c r="G1046" s="4">
        <v>415666.99599999998</v>
      </c>
      <c r="H1046" s="5">
        <f>0 / 86400</f>
        <v>0</v>
      </c>
      <c r="I1046" t="s">
        <v>137</v>
      </c>
      <c r="J1046" t="s">
        <v>31</v>
      </c>
      <c r="K1046" s="5">
        <f>26 / 86400</f>
        <v>3.0092592592592595E-4</v>
      </c>
      <c r="L1046" s="5">
        <f>1014 / 86400</f>
        <v>1.173611111111111E-2</v>
      </c>
    </row>
    <row r="1047" spans="1:12" x14ac:dyDescent="0.25">
      <c r="A1047" s="3">
        <v>45707.988217592589</v>
      </c>
      <c r="B1047" t="s">
        <v>79</v>
      </c>
      <c r="C1047" s="3">
        <v>45707.991493055553</v>
      </c>
      <c r="D1047" t="s">
        <v>88</v>
      </c>
      <c r="E1047" s="4">
        <v>1.034</v>
      </c>
      <c r="F1047" s="4">
        <v>415666.99599999998</v>
      </c>
      <c r="G1047" s="4">
        <v>415668.03</v>
      </c>
      <c r="H1047" s="5">
        <f>60 / 86400</f>
        <v>6.9444444444444447E-4</v>
      </c>
      <c r="I1047" t="s">
        <v>181</v>
      </c>
      <c r="J1047" t="s">
        <v>62</v>
      </c>
      <c r="K1047" s="5">
        <f>282 / 86400</f>
        <v>3.2638888888888891E-3</v>
      </c>
      <c r="L1047" s="5">
        <f>734 / 86400</f>
        <v>8.4953703703703701E-3</v>
      </c>
    </row>
    <row r="1048" spans="1:12" x14ac:dyDescent="0.25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</row>
    <row r="1049" spans="1:12" x14ac:dyDescent="0.25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</row>
    <row r="1050" spans="1:12" s="10" customFormat="1" ht="20.100000000000001" customHeight="1" x14ac:dyDescent="0.35">
      <c r="A1050" s="15" t="s">
        <v>499</v>
      </c>
      <c r="B1050" s="15"/>
      <c r="C1050" s="15"/>
      <c r="D1050" s="15"/>
      <c r="E1050" s="15"/>
      <c r="F1050" s="15"/>
      <c r="G1050" s="15"/>
      <c r="H1050" s="15"/>
      <c r="I1050" s="15"/>
      <c r="J1050" s="15"/>
    </row>
    <row r="1051" spans="1:12" x14ac:dyDescent="0.25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</row>
    <row r="1052" spans="1:12" ht="30" x14ac:dyDescent="0.25">
      <c r="A1052" s="2" t="s">
        <v>6</v>
      </c>
      <c r="B1052" s="2" t="s">
        <v>7</v>
      </c>
      <c r="C1052" s="2" t="s">
        <v>8</v>
      </c>
      <c r="D1052" s="2" t="s">
        <v>9</v>
      </c>
      <c r="E1052" s="2" t="s">
        <v>10</v>
      </c>
      <c r="F1052" s="2" t="s">
        <v>11</v>
      </c>
      <c r="G1052" s="2" t="s">
        <v>12</v>
      </c>
      <c r="H1052" s="2" t="s">
        <v>13</v>
      </c>
      <c r="I1052" s="2" t="s">
        <v>14</v>
      </c>
      <c r="J1052" s="2" t="s">
        <v>15</v>
      </c>
      <c r="K1052" s="2" t="s">
        <v>16</v>
      </c>
      <c r="L1052" s="2" t="s">
        <v>17</v>
      </c>
    </row>
    <row r="1053" spans="1:12" x14ac:dyDescent="0.25">
      <c r="A1053" s="3">
        <v>45707.007766203707</v>
      </c>
      <c r="B1053" t="s">
        <v>89</v>
      </c>
      <c r="C1053" s="3">
        <v>45707.007905092592</v>
      </c>
      <c r="D1053" t="s">
        <v>89</v>
      </c>
      <c r="E1053" s="4">
        <v>1.2999999999999999E-2</v>
      </c>
      <c r="F1053" s="4">
        <v>329416.52399999998</v>
      </c>
      <c r="G1053" s="4">
        <v>329416.53700000001</v>
      </c>
      <c r="H1053" s="5">
        <f>0 / 86400</f>
        <v>0</v>
      </c>
      <c r="I1053" t="s">
        <v>85</v>
      </c>
      <c r="J1053" t="s">
        <v>58</v>
      </c>
      <c r="K1053" s="5">
        <f>11 / 86400</f>
        <v>1.273148148148148E-4</v>
      </c>
      <c r="L1053" s="5">
        <f>1289 / 86400</f>
        <v>1.4918981481481481E-2</v>
      </c>
    </row>
    <row r="1054" spans="1:12" x14ac:dyDescent="0.25">
      <c r="A1054" s="3">
        <v>45707.015057870369</v>
      </c>
      <c r="B1054" t="s">
        <v>406</v>
      </c>
      <c r="C1054" s="3">
        <v>45707.017905092594</v>
      </c>
      <c r="D1054" t="s">
        <v>28</v>
      </c>
      <c r="E1054" s="4">
        <v>0.498</v>
      </c>
      <c r="F1054" s="4">
        <v>329416.53700000001</v>
      </c>
      <c r="G1054" s="4">
        <v>329417.03499999997</v>
      </c>
      <c r="H1054" s="5">
        <f>99 / 86400</f>
        <v>1.1458333333333333E-3</v>
      </c>
      <c r="I1054" t="s">
        <v>30</v>
      </c>
      <c r="J1054" t="s">
        <v>85</v>
      </c>
      <c r="K1054" s="5">
        <f>245 / 86400</f>
        <v>2.8356481481481483E-3</v>
      </c>
      <c r="L1054" s="5">
        <f>19889 / 86400</f>
        <v>0.23019675925925925</v>
      </c>
    </row>
    <row r="1055" spans="1:12" x14ac:dyDescent="0.25">
      <c r="A1055" s="3">
        <v>45707.248101851852</v>
      </c>
      <c r="B1055" t="s">
        <v>28</v>
      </c>
      <c r="C1055" s="3">
        <v>45707.248784722222</v>
      </c>
      <c r="D1055" t="s">
        <v>28</v>
      </c>
      <c r="E1055" s="4">
        <v>1.9E-2</v>
      </c>
      <c r="F1055" s="4">
        <v>329417.03499999997</v>
      </c>
      <c r="G1055" s="4">
        <v>329417.054</v>
      </c>
      <c r="H1055" s="5">
        <f>39 / 86400</f>
        <v>4.5138888888888887E-4</v>
      </c>
      <c r="I1055" t="s">
        <v>72</v>
      </c>
      <c r="J1055" t="s">
        <v>127</v>
      </c>
      <c r="K1055" s="5">
        <f>58 / 86400</f>
        <v>6.7129629629629625E-4</v>
      </c>
      <c r="L1055" s="5">
        <f>5700 / 86400</f>
        <v>6.5972222222222224E-2</v>
      </c>
    </row>
    <row r="1056" spans="1:12" x14ac:dyDescent="0.25">
      <c r="A1056" s="3">
        <v>45707.314756944441</v>
      </c>
      <c r="B1056" t="s">
        <v>28</v>
      </c>
      <c r="C1056" s="3">
        <v>45707.315960648149</v>
      </c>
      <c r="D1056" t="s">
        <v>28</v>
      </c>
      <c r="E1056" s="4">
        <v>1.2E-2</v>
      </c>
      <c r="F1056" s="4">
        <v>329417.054</v>
      </c>
      <c r="G1056" s="4">
        <v>329417.06599999999</v>
      </c>
      <c r="H1056" s="5">
        <f>99 / 86400</f>
        <v>1.1458333333333333E-3</v>
      </c>
      <c r="I1056" t="s">
        <v>72</v>
      </c>
      <c r="J1056" t="s">
        <v>72</v>
      </c>
      <c r="K1056" s="5">
        <f>104 / 86400</f>
        <v>1.2037037037037038E-3</v>
      </c>
      <c r="L1056" s="5">
        <f>7108 / 86400</f>
        <v>8.2268518518518519E-2</v>
      </c>
    </row>
    <row r="1057" spans="1:12" x14ac:dyDescent="0.25">
      <c r="A1057" s="3">
        <v>45707.398229166662</v>
      </c>
      <c r="B1057" t="s">
        <v>28</v>
      </c>
      <c r="C1057" s="3">
        <v>45707.400891203702</v>
      </c>
      <c r="D1057" t="s">
        <v>28</v>
      </c>
      <c r="E1057" s="4">
        <v>2.7E-2</v>
      </c>
      <c r="F1057" s="4">
        <v>329417.06599999999</v>
      </c>
      <c r="G1057" s="4">
        <v>329417.09299999999</v>
      </c>
      <c r="H1057" s="5">
        <f>199 / 86400</f>
        <v>2.3032407407407407E-3</v>
      </c>
      <c r="I1057" t="s">
        <v>134</v>
      </c>
      <c r="J1057" t="s">
        <v>72</v>
      </c>
      <c r="K1057" s="5">
        <f>230 / 86400</f>
        <v>2.662037037037037E-3</v>
      </c>
      <c r="L1057" s="5">
        <f>726 / 86400</f>
        <v>8.4027777777777781E-3</v>
      </c>
    </row>
    <row r="1058" spans="1:12" x14ac:dyDescent="0.25">
      <c r="A1058" s="3">
        <v>45707.40929398148</v>
      </c>
      <c r="B1058" t="s">
        <v>28</v>
      </c>
      <c r="C1058" s="3">
        <v>45707.412511574075</v>
      </c>
      <c r="D1058" t="s">
        <v>438</v>
      </c>
      <c r="E1058" s="4">
        <v>2.1669999999999998</v>
      </c>
      <c r="F1058" s="4">
        <v>329417.09299999999</v>
      </c>
      <c r="G1058" s="4">
        <v>329419.26</v>
      </c>
      <c r="H1058" s="5">
        <f>41 / 86400</f>
        <v>4.7453703703703704E-4</v>
      </c>
      <c r="I1058" t="s">
        <v>141</v>
      </c>
      <c r="J1058" t="s">
        <v>178</v>
      </c>
      <c r="K1058" s="5">
        <f>278 / 86400</f>
        <v>3.2175925925925926E-3</v>
      </c>
      <c r="L1058" s="5">
        <f>119 / 86400</f>
        <v>1.3773148148148147E-3</v>
      </c>
    </row>
    <row r="1059" spans="1:12" x14ac:dyDescent="0.25">
      <c r="A1059" s="3">
        <v>45707.413888888885</v>
      </c>
      <c r="B1059" t="s">
        <v>438</v>
      </c>
      <c r="C1059" s="3">
        <v>45707.504930555559</v>
      </c>
      <c r="D1059" t="s">
        <v>145</v>
      </c>
      <c r="E1059" s="4">
        <v>40.286000000000001</v>
      </c>
      <c r="F1059" s="4">
        <v>329419.26</v>
      </c>
      <c r="G1059" s="4">
        <v>329459.54599999997</v>
      </c>
      <c r="H1059" s="5">
        <f>2600 / 86400</f>
        <v>3.0092592592592591E-2</v>
      </c>
      <c r="I1059" t="s">
        <v>87</v>
      </c>
      <c r="J1059" t="s">
        <v>27</v>
      </c>
      <c r="K1059" s="5">
        <f>7865 / 86400</f>
        <v>9.1030092592592593E-2</v>
      </c>
      <c r="L1059" s="5">
        <f>75 / 86400</f>
        <v>8.6805555555555551E-4</v>
      </c>
    </row>
    <row r="1060" spans="1:12" x14ac:dyDescent="0.25">
      <c r="A1060" s="3">
        <v>45707.505798611106</v>
      </c>
      <c r="B1060" t="s">
        <v>146</v>
      </c>
      <c r="C1060" s="3">
        <v>45707.556006944447</v>
      </c>
      <c r="D1060" t="s">
        <v>377</v>
      </c>
      <c r="E1060" s="4">
        <v>15.680999999999999</v>
      </c>
      <c r="F1060" s="4">
        <v>329459.54599999997</v>
      </c>
      <c r="G1060" s="4">
        <v>329475.22700000001</v>
      </c>
      <c r="H1060" s="5">
        <f>1780 / 86400</f>
        <v>2.060185185185185E-2</v>
      </c>
      <c r="I1060" t="s">
        <v>153</v>
      </c>
      <c r="J1060" t="s">
        <v>62</v>
      </c>
      <c r="K1060" s="5">
        <f>4337 / 86400</f>
        <v>5.019675925925926E-2</v>
      </c>
      <c r="L1060" s="5">
        <f>1166 / 86400</f>
        <v>1.3495370370370371E-2</v>
      </c>
    </row>
    <row r="1061" spans="1:12" x14ac:dyDescent="0.25">
      <c r="A1061" s="3">
        <v>45707.569502314815</v>
      </c>
      <c r="B1061" t="s">
        <v>377</v>
      </c>
      <c r="C1061" s="3">
        <v>45707.776087962964</v>
      </c>
      <c r="D1061" t="s">
        <v>34</v>
      </c>
      <c r="E1061" s="4">
        <v>59.942</v>
      </c>
      <c r="F1061" s="4">
        <v>329475.22700000001</v>
      </c>
      <c r="G1061" s="4">
        <v>329535.16899999999</v>
      </c>
      <c r="H1061" s="5">
        <f>8719 / 86400</f>
        <v>0.10091435185185185</v>
      </c>
      <c r="I1061" t="s">
        <v>29</v>
      </c>
      <c r="J1061" t="s">
        <v>148</v>
      </c>
      <c r="K1061" s="5">
        <f>17849 / 86400</f>
        <v>0.20658564814814814</v>
      </c>
      <c r="L1061" s="5">
        <f>3377 / 86400</f>
        <v>3.9085648148148147E-2</v>
      </c>
    </row>
    <row r="1062" spans="1:12" x14ac:dyDescent="0.25">
      <c r="A1062" s="3">
        <v>45707.81517361111</v>
      </c>
      <c r="B1062" t="s">
        <v>34</v>
      </c>
      <c r="C1062" s="3">
        <v>45707.892187500001</v>
      </c>
      <c r="D1062" t="s">
        <v>89</v>
      </c>
      <c r="E1062" s="4">
        <v>24.74</v>
      </c>
      <c r="F1062" s="4">
        <v>329535.16899999999</v>
      </c>
      <c r="G1062" s="4">
        <v>329559.90899999999</v>
      </c>
      <c r="H1062" s="5">
        <f>2519 / 86400</f>
        <v>2.9155092592592594E-2</v>
      </c>
      <c r="I1062" t="s">
        <v>299</v>
      </c>
      <c r="J1062" t="s">
        <v>62</v>
      </c>
      <c r="K1062" s="5">
        <f>6654 / 86400</f>
        <v>7.7013888888888896E-2</v>
      </c>
      <c r="L1062" s="5">
        <f>464 / 86400</f>
        <v>5.37037037037037E-3</v>
      </c>
    </row>
    <row r="1063" spans="1:12" x14ac:dyDescent="0.25">
      <c r="A1063" s="3">
        <v>45707.897557870368</v>
      </c>
      <c r="B1063" t="s">
        <v>89</v>
      </c>
      <c r="C1063" s="3">
        <v>45707.898460648154</v>
      </c>
      <c r="D1063" t="s">
        <v>89</v>
      </c>
      <c r="E1063" s="4">
        <v>9.8000000000000004E-2</v>
      </c>
      <c r="F1063" s="4">
        <v>329559.90899999999</v>
      </c>
      <c r="G1063" s="4">
        <v>329560.00699999998</v>
      </c>
      <c r="H1063" s="5">
        <f>20 / 86400</f>
        <v>2.3148148148148149E-4</v>
      </c>
      <c r="I1063" t="s">
        <v>62</v>
      </c>
      <c r="J1063" t="s">
        <v>134</v>
      </c>
      <c r="K1063" s="5">
        <f>77 / 86400</f>
        <v>8.9120370370370373E-4</v>
      </c>
      <c r="L1063" s="5">
        <f>866 / 86400</f>
        <v>1.0023148148148147E-2</v>
      </c>
    </row>
    <row r="1064" spans="1:12" x14ac:dyDescent="0.25">
      <c r="A1064" s="3">
        <v>45707.908483796295</v>
      </c>
      <c r="B1064" t="s">
        <v>89</v>
      </c>
      <c r="C1064" s="3">
        <v>45707.91170138889</v>
      </c>
      <c r="D1064" t="s">
        <v>28</v>
      </c>
      <c r="E1064" s="4">
        <v>0.42499999999999999</v>
      </c>
      <c r="F1064" s="4">
        <v>329560.00699999998</v>
      </c>
      <c r="G1064" s="4">
        <v>329560.43199999997</v>
      </c>
      <c r="H1064" s="5">
        <f>140 / 86400</f>
        <v>1.6203703703703703E-3</v>
      </c>
      <c r="I1064" t="s">
        <v>27</v>
      </c>
      <c r="J1064" t="s">
        <v>101</v>
      </c>
      <c r="K1064" s="5">
        <f>278 / 86400</f>
        <v>3.2175925925925926E-3</v>
      </c>
      <c r="L1064" s="5">
        <f>7628 / 86400</f>
        <v>8.8287037037037039E-2</v>
      </c>
    </row>
    <row r="1065" spans="1:12" x14ac:dyDescent="0.25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</row>
    <row r="1066" spans="1:12" x14ac:dyDescent="0.25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</row>
    <row r="1067" spans="1:12" s="10" customFormat="1" ht="20.100000000000001" customHeight="1" x14ac:dyDescent="0.35">
      <c r="A1067" s="15" t="s">
        <v>500</v>
      </c>
      <c r="B1067" s="15"/>
      <c r="C1067" s="15"/>
      <c r="D1067" s="15"/>
      <c r="E1067" s="15"/>
      <c r="F1067" s="15"/>
      <c r="G1067" s="15"/>
      <c r="H1067" s="15"/>
      <c r="I1067" s="15"/>
      <c r="J1067" s="15"/>
    </row>
    <row r="1068" spans="1:12" x14ac:dyDescent="0.25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</row>
    <row r="1069" spans="1:12" ht="30" x14ac:dyDescent="0.25">
      <c r="A1069" s="2" t="s">
        <v>6</v>
      </c>
      <c r="B1069" s="2" t="s">
        <v>7</v>
      </c>
      <c r="C1069" s="2" t="s">
        <v>8</v>
      </c>
      <c r="D1069" s="2" t="s">
        <v>9</v>
      </c>
      <c r="E1069" s="2" t="s">
        <v>10</v>
      </c>
      <c r="F1069" s="2" t="s">
        <v>11</v>
      </c>
      <c r="G1069" s="2" t="s">
        <v>12</v>
      </c>
      <c r="H1069" s="2" t="s">
        <v>13</v>
      </c>
      <c r="I1069" s="2" t="s">
        <v>14</v>
      </c>
      <c r="J1069" s="2" t="s">
        <v>15</v>
      </c>
      <c r="K1069" s="2" t="s">
        <v>16</v>
      </c>
      <c r="L1069" s="2" t="s">
        <v>17</v>
      </c>
    </row>
    <row r="1070" spans="1:12" x14ac:dyDescent="0.25">
      <c r="A1070" s="3">
        <v>45707.256620370375</v>
      </c>
      <c r="B1070" t="s">
        <v>28</v>
      </c>
      <c r="C1070" s="3">
        <v>45707.261874999997</v>
      </c>
      <c r="D1070" t="s">
        <v>156</v>
      </c>
      <c r="E1070" s="4">
        <v>0.58899999999999997</v>
      </c>
      <c r="F1070" s="4">
        <v>361105.83299999998</v>
      </c>
      <c r="G1070" s="4">
        <v>361106.42200000002</v>
      </c>
      <c r="H1070" s="5">
        <f>200 / 86400</f>
        <v>2.3148148148148147E-3</v>
      </c>
      <c r="I1070" t="s">
        <v>27</v>
      </c>
      <c r="J1070" t="s">
        <v>134</v>
      </c>
      <c r="K1070" s="5">
        <f>454 / 86400</f>
        <v>5.2546296296296299E-3</v>
      </c>
      <c r="L1070" s="5">
        <f>25687 / 86400</f>
        <v>0.29730324074074072</v>
      </c>
    </row>
    <row r="1071" spans="1:12" x14ac:dyDescent="0.25">
      <c r="A1071" s="3">
        <v>45707.302557870367</v>
      </c>
      <c r="B1071" t="s">
        <v>156</v>
      </c>
      <c r="C1071" s="3">
        <v>45707.53125</v>
      </c>
      <c r="D1071" t="s">
        <v>110</v>
      </c>
      <c r="E1071" s="4">
        <v>81.582999999999998</v>
      </c>
      <c r="F1071" s="4">
        <v>361106.42200000002</v>
      </c>
      <c r="G1071" s="4">
        <v>361188.005</v>
      </c>
      <c r="H1071" s="5">
        <f>6861 / 86400</f>
        <v>7.9409722222222229E-2</v>
      </c>
      <c r="I1071" t="s">
        <v>382</v>
      </c>
      <c r="J1071" t="s">
        <v>46</v>
      </c>
      <c r="K1071" s="5">
        <f>19759 / 86400</f>
        <v>0.22869212962962962</v>
      </c>
      <c r="L1071" s="5">
        <f>405 / 86400</f>
        <v>4.6874999999999998E-3</v>
      </c>
    </row>
    <row r="1072" spans="1:12" x14ac:dyDescent="0.25">
      <c r="A1072" s="3">
        <v>45707.535937499997</v>
      </c>
      <c r="B1072" t="s">
        <v>110</v>
      </c>
      <c r="C1072" s="3">
        <v>45707.538877314815</v>
      </c>
      <c r="D1072" t="s">
        <v>121</v>
      </c>
      <c r="E1072" s="4">
        <v>0.86499999999999999</v>
      </c>
      <c r="F1072" s="4">
        <v>361188.005</v>
      </c>
      <c r="G1072" s="4">
        <v>361188.87</v>
      </c>
      <c r="H1072" s="5">
        <f>60 / 86400</f>
        <v>6.9444444444444447E-4</v>
      </c>
      <c r="I1072" t="s">
        <v>185</v>
      </c>
      <c r="J1072" t="s">
        <v>148</v>
      </c>
      <c r="K1072" s="5">
        <f>254 / 86400</f>
        <v>2.9398148148148148E-3</v>
      </c>
      <c r="L1072" s="5">
        <f>1987 / 86400</f>
        <v>2.2997685185185184E-2</v>
      </c>
    </row>
    <row r="1073" spans="1:12" x14ac:dyDescent="0.25">
      <c r="A1073" s="3">
        <v>45707.561874999999</v>
      </c>
      <c r="B1073" t="s">
        <v>121</v>
      </c>
      <c r="C1073" s="3">
        <v>45707.566701388889</v>
      </c>
      <c r="D1073" t="s">
        <v>130</v>
      </c>
      <c r="E1073" s="4">
        <v>1.1930000000000001</v>
      </c>
      <c r="F1073" s="4">
        <v>361188.87</v>
      </c>
      <c r="G1073" s="4">
        <v>361190.06300000002</v>
      </c>
      <c r="H1073" s="5">
        <f>99 / 86400</f>
        <v>1.1458333333333333E-3</v>
      </c>
      <c r="I1073" t="s">
        <v>35</v>
      </c>
      <c r="J1073" t="s">
        <v>123</v>
      </c>
      <c r="K1073" s="5">
        <f>417 / 86400</f>
        <v>4.8263888888888887E-3</v>
      </c>
      <c r="L1073" s="5">
        <f>1432 / 86400</f>
        <v>1.6574074074074074E-2</v>
      </c>
    </row>
    <row r="1074" spans="1:12" x14ac:dyDescent="0.25">
      <c r="A1074" s="3">
        <v>45707.583275462966</v>
      </c>
      <c r="B1074" t="s">
        <v>130</v>
      </c>
      <c r="C1074" s="3">
        <v>45707.587812500002</v>
      </c>
      <c r="D1074" t="s">
        <v>150</v>
      </c>
      <c r="E1074" s="4">
        <v>0.76900000000000002</v>
      </c>
      <c r="F1074" s="4">
        <v>361190.06300000002</v>
      </c>
      <c r="G1074" s="4">
        <v>361190.83199999999</v>
      </c>
      <c r="H1074" s="5">
        <f>180 / 86400</f>
        <v>2.0833333333333333E-3</v>
      </c>
      <c r="I1074" t="s">
        <v>33</v>
      </c>
      <c r="J1074" t="s">
        <v>85</v>
      </c>
      <c r="K1074" s="5">
        <f>391 / 86400</f>
        <v>4.5254629629629629E-3</v>
      </c>
      <c r="L1074" s="5">
        <f>313 / 86400</f>
        <v>3.6226851851851854E-3</v>
      </c>
    </row>
    <row r="1075" spans="1:12" x14ac:dyDescent="0.25">
      <c r="A1075" s="3">
        <v>45707.591435185182</v>
      </c>
      <c r="B1075" t="s">
        <v>120</v>
      </c>
      <c r="C1075" s="3">
        <v>45707.854062500002</v>
      </c>
      <c r="D1075" t="s">
        <v>156</v>
      </c>
      <c r="E1075" s="4">
        <v>82.786000000000001</v>
      </c>
      <c r="F1075" s="4">
        <v>361190.83199999999</v>
      </c>
      <c r="G1075" s="4">
        <v>361273.61800000002</v>
      </c>
      <c r="H1075" s="5">
        <f>8879 / 86400</f>
        <v>0.10276620370370371</v>
      </c>
      <c r="I1075" t="s">
        <v>32</v>
      </c>
      <c r="J1075" t="s">
        <v>62</v>
      </c>
      <c r="K1075" s="5">
        <f>22691 / 86400</f>
        <v>0.26262731481481483</v>
      </c>
      <c r="L1075" s="5">
        <f>357 / 86400</f>
        <v>4.1319444444444442E-3</v>
      </c>
    </row>
    <row r="1076" spans="1:12" x14ac:dyDescent="0.25">
      <c r="A1076" s="3">
        <v>45707.858194444445</v>
      </c>
      <c r="B1076" t="s">
        <v>156</v>
      </c>
      <c r="C1076" s="3">
        <v>45707.862511574072</v>
      </c>
      <c r="D1076" t="s">
        <v>28</v>
      </c>
      <c r="E1076" s="4">
        <v>0.65400000000000003</v>
      </c>
      <c r="F1076" s="4">
        <v>361273.61800000002</v>
      </c>
      <c r="G1076" s="4">
        <v>361274.272</v>
      </c>
      <c r="H1076" s="5">
        <f>180 / 86400</f>
        <v>2.0833333333333333E-3</v>
      </c>
      <c r="I1076" t="s">
        <v>155</v>
      </c>
      <c r="J1076" t="s">
        <v>101</v>
      </c>
      <c r="K1076" s="5">
        <f>373 / 86400</f>
        <v>4.31712962962963E-3</v>
      </c>
      <c r="L1076" s="5">
        <f>11878 / 86400</f>
        <v>0.13747685185185185</v>
      </c>
    </row>
    <row r="1077" spans="1:12" x14ac:dyDescent="0.25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</row>
    <row r="1078" spans="1:12" x14ac:dyDescent="0.25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</row>
    <row r="1079" spans="1:12" s="10" customFormat="1" ht="20.100000000000001" customHeight="1" x14ac:dyDescent="0.35">
      <c r="A1079" s="15" t="s">
        <v>501</v>
      </c>
      <c r="B1079" s="15"/>
      <c r="C1079" s="15"/>
      <c r="D1079" s="15"/>
      <c r="E1079" s="15"/>
      <c r="F1079" s="15"/>
      <c r="G1079" s="15"/>
      <c r="H1079" s="15"/>
      <c r="I1079" s="15"/>
      <c r="J1079" s="15"/>
    </row>
    <row r="1080" spans="1:12" x14ac:dyDescent="0.25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</row>
    <row r="1081" spans="1:12" ht="30" x14ac:dyDescent="0.25">
      <c r="A1081" s="2" t="s">
        <v>6</v>
      </c>
      <c r="B1081" s="2" t="s">
        <v>7</v>
      </c>
      <c r="C1081" s="2" t="s">
        <v>8</v>
      </c>
      <c r="D1081" s="2" t="s">
        <v>9</v>
      </c>
      <c r="E1081" s="2" t="s">
        <v>10</v>
      </c>
      <c r="F1081" s="2" t="s">
        <v>11</v>
      </c>
      <c r="G1081" s="2" t="s">
        <v>12</v>
      </c>
      <c r="H1081" s="2" t="s">
        <v>13</v>
      </c>
      <c r="I1081" s="2" t="s">
        <v>14</v>
      </c>
      <c r="J1081" s="2" t="s">
        <v>15</v>
      </c>
      <c r="K1081" s="2" t="s">
        <v>16</v>
      </c>
      <c r="L1081" s="2" t="s">
        <v>17</v>
      </c>
    </row>
    <row r="1082" spans="1:12" x14ac:dyDescent="0.25">
      <c r="A1082" s="3">
        <v>45707.274363425924</v>
      </c>
      <c r="B1082" t="s">
        <v>66</v>
      </c>
      <c r="C1082" s="3">
        <v>45707.545555555553</v>
      </c>
      <c r="D1082" t="s">
        <v>439</v>
      </c>
      <c r="E1082" s="4">
        <v>105.871</v>
      </c>
      <c r="F1082" s="4">
        <v>82193.788</v>
      </c>
      <c r="G1082" s="4">
        <v>82299.659</v>
      </c>
      <c r="H1082" s="5">
        <f>7721 / 86400</f>
        <v>8.9363425925925929E-2</v>
      </c>
      <c r="I1082" t="s">
        <v>90</v>
      </c>
      <c r="J1082" t="s">
        <v>20</v>
      </c>
      <c r="K1082" s="5">
        <f>23431 / 86400</f>
        <v>0.27119212962962963</v>
      </c>
      <c r="L1082" s="5">
        <f>24094 / 86400</f>
        <v>0.27886574074074072</v>
      </c>
    </row>
    <row r="1083" spans="1:12" x14ac:dyDescent="0.25">
      <c r="A1083" s="3">
        <v>45707.550057870365</v>
      </c>
      <c r="B1083" t="s">
        <v>439</v>
      </c>
      <c r="C1083" s="3">
        <v>45707.552523148144</v>
      </c>
      <c r="D1083" t="s">
        <v>66</v>
      </c>
      <c r="E1083" s="4">
        <v>1.159</v>
      </c>
      <c r="F1083" s="4">
        <v>82299.659</v>
      </c>
      <c r="G1083" s="4">
        <v>82300.817999999999</v>
      </c>
      <c r="H1083" s="5">
        <f>0 / 86400</f>
        <v>0</v>
      </c>
      <c r="I1083" t="s">
        <v>194</v>
      </c>
      <c r="J1083" t="s">
        <v>149</v>
      </c>
      <c r="K1083" s="5">
        <f>212 / 86400</f>
        <v>2.4537037037037036E-3</v>
      </c>
      <c r="L1083" s="5">
        <f>5417 / 86400</f>
        <v>6.2696759259259258E-2</v>
      </c>
    </row>
    <row r="1084" spans="1:12" x14ac:dyDescent="0.25">
      <c r="A1084" s="3">
        <v>45707.615219907406</v>
      </c>
      <c r="B1084" t="s">
        <v>66</v>
      </c>
      <c r="C1084" s="3">
        <v>45707.867800925931</v>
      </c>
      <c r="D1084" t="s">
        <v>290</v>
      </c>
      <c r="E1084" s="4">
        <v>95.248999999999995</v>
      </c>
      <c r="F1084" s="4">
        <v>82300.817999999999</v>
      </c>
      <c r="G1084" s="4">
        <v>82396.066999999995</v>
      </c>
      <c r="H1084" s="5">
        <f>7458 / 86400</f>
        <v>8.6319444444444449E-2</v>
      </c>
      <c r="I1084" t="s">
        <v>48</v>
      </c>
      <c r="J1084" t="s">
        <v>20</v>
      </c>
      <c r="K1084" s="5">
        <f>21823 / 86400</f>
        <v>0.2525810185185185</v>
      </c>
      <c r="L1084" s="5">
        <f>453 / 86400</f>
        <v>5.2430555555555555E-3</v>
      </c>
    </row>
    <row r="1085" spans="1:12" x14ac:dyDescent="0.25">
      <c r="A1085" s="3">
        <v>45707.873043981483</v>
      </c>
      <c r="B1085" t="s">
        <v>290</v>
      </c>
      <c r="C1085" s="3">
        <v>45707.8825462963</v>
      </c>
      <c r="D1085" t="s">
        <v>66</v>
      </c>
      <c r="E1085" s="4">
        <v>1.528</v>
      </c>
      <c r="F1085" s="4">
        <v>82396.066999999995</v>
      </c>
      <c r="G1085" s="4">
        <v>82397.595000000001</v>
      </c>
      <c r="H1085" s="5">
        <f>359 / 86400</f>
        <v>4.1550925925925922E-3</v>
      </c>
      <c r="I1085" t="s">
        <v>185</v>
      </c>
      <c r="J1085" t="s">
        <v>85</v>
      </c>
      <c r="K1085" s="5">
        <f>820 / 86400</f>
        <v>9.4907407407407406E-3</v>
      </c>
      <c r="L1085" s="5">
        <f>10147 / 86400</f>
        <v>0.11744212962962963</v>
      </c>
    </row>
    <row r="1086" spans="1:12" x14ac:dyDescent="0.25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</row>
    <row r="1087" spans="1:12" x14ac:dyDescent="0.25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</row>
    <row r="1088" spans="1:12" s="10" customFormat="1" ht="20.100000000000001" customHeight="1" x14ac:dyDescent="0.35">
      <c r="A1088" s="15" t="s">
        <v>502</v>
      </c>
      <c r="B1088" s="15"/>
      <c r="C1088" s="15"/>
      <c r="D1088" s="15"/>
      <c r="E1088" s="15"/>
      <c r="F1088" s="15"/>
      <c r="G1088" s="15"/>
      <c r="H1088" s="15"/>
      <c r="I1088" s="15"/>
      <c r="J1088" s="15"/>
    </row>
    <row r="1089" spans="1:12" x14ac:dyDescent="0.25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</row>
    <row r="1090" spans="1:12" ht="30" x14ac:dyDescent="0.25">
      <c r="A1090" s="2" t="s">
        <v>6</v>
      </c>
      <c r="B1090" s="2" t="s">
        <v>7</v>
      </c>
      <c r="C1090" s="2" t="s">
        <v>8</v>
      </c>
      <c r="D1090" s="2" t="s">
        <v>9</v>
      </c>
      <c r="E1090" s="2" t="s">
        <v>10</v>
      </c>
      <c r="F1090" s="2" t="s">
        <v>11</v>
      </c>
      <c r="G1090" s="2" t="s">
        <v>12</v>
      </c>
      <c r="H1090" s="2" t="s">
        <v>13</v>
      </c>
      <c r="I1090" s="2" t="s">
        <v>14</v>
      </c>
      <c r="J1090" s="2" t="s">
        <v>15</v>
      </c>
      <c r="K1090" s="2" t="s">
        <v>16</v>
      </c>
      <c r="L1090" s="2" t="s">
        <v>17</v>
      </c>
    </row>
    <row r="1091" spans="1:12" x14ac:dyDescent="0.25">
      <c r="A1091" s="3">
        <v>45707.214456018519</v>
      </c>
      <c r="B1091" t="s">
        <v>39</v>
      </c>
      <c r="C1091" s="3">
        <v>45707.219178240739</v>
      </c>
      <c r="D1091" t="s">
        <v>150</v>
      </c>
      <c r="E1091" s="4">
        <v>0.6</v>
      </c>
      <c r="F1091" s="4">
        <v>470887.53899999999</v>
      </c>
      <c r="G1091" s="4">
        <v>470888.13900000002</v>
      </c>
      <c r="H1091" s="5">
        <f>260 / 86400</f>
        <v>3.0092592592592593E-3</v>
      </c>
      <c r="I1091" t="s">
        <v>129</v>
      </c>
      <c r="J1091" t="s">
        <v>134</v>
      </c>
      <c r="K1091" s="5">
        <f>408 / 86400</f>
        <v>4.7222222222222223E-3</v>
      </c>
      <c r="L1091" s="5">
        <f>18759 / 86400</f>
        <v>0.21711805555555555</v>
      </c>
    </row>
    <row r="1092" spans="1:12" x14ac:dyDescent="0.25">
      <c r="A1092" s="3">
        <v>45707.22184027778</v>
      </c>
      <c r="B1092" t="s">
        <v>150</v>
      </c>
      <c r="C1092" s="3">
        <v>45707.222175925926</v>
      </c>
      <c r="D1092" t="s">
        <v>150</v>
      </c>
      <c r="E1092" s="4">
        <v>1.2E-2</v>
      </c>
      <c r="F1092" s="4">
        <v>470888.13900000002</v>
      </c>
      <c r="G1092" s="4">
        <v>470888.15100000001</v>
      </c>
      <c r="H1092" s="5">
        <f>0 / 86400</f>
        <v>0</v>
      </c>
      <c r="I1092" t="s">
        <v>127</v>
      </c>
      <c r="J1092" t="s">
        <v>136</v>
      </c>
      <c r="K1092" s="5">
        <f>28 / 86400</f>
        <v>3.2407407407407406E-4</v>
      </c>
      <c r="L1092" s="5">
        <f>76 / 86400</f>
        <v>8.7962962962962962E-4</v>
      </c>
    </row>
    <row r="1093" spans="1:12" x14ac:dyDescent="0.25">
      <c r="A1093" s="3">
        <v>45707.223055555558</v>
      </c>
      <c r="B1093" t="s">
        <v>150</v>
      </c>
      <c r="C1093" s="3">
        <v>45707.481539351851</v>
      </c>
      <c r="D1093" t="s">
        <v>144</v>
      </c>
      <c r="E1093" s="4">
        <v>101.866</v>
      </c>
      <c r="F1093" s="4">
        <v>470888.15100000001</v>
      </c>
      <c r="G1093" s="4">
        <v>470990.01699999999</v>
      </c>
      <c r="H1093" s="5">
        <f>7829 / 86400</f>
        <v>9.0613425925925931E-2</v>
      </c>
      <c r="I1093" t="s">
        <v>440</v>
      </c>
      <c r="J1093" t="s">
        <v>20</v>
      </c>
      <c r="K1093" s="5">
        <f>22332 / 86400</f>
        <v>0.25847222222222221</v>
      </c>
      <c r="L1093" s="5">
        <f>1510 / 86400</f>
        <v>1.7476851851851851E-2</v>
      </c>
    </row>
    <row r="1094" spans="1:12" x14ac:dyDescent="0.25">
      <c r="A1094" s="3">
        <v>45707.499016203699</v>
      </c>
      <c r="B1094" t="s">
        <v>144</v>
      </c>
      <c r="C1094" s="3">
        <v>45707.508391203708</v>
      </c>
      <c r="D1094" t="s">
        <v>110</v>
      </c>
      <c r="E1094" s="4">
        <v>1.383</v>
      </c>
      <c r="F1094" s="4">
        <v>470990.01699999999</v>
      </c>
      <c r="G1094" s="4">
        <v>470991.4</v>
      </c>
      <c r="H1094" s="5">
        <f>452 / 86400</f>
        <v>5.2314814814814811E-3</v>
      </c>
      <c r="I1094" t="s">
        <v>57</v>
      </c>
      <c r="J1094" t="s">
        <v>101</v>
      </c>
      <c r="K1094" s="5">
        <f>810 / 86400</f>
        <v>9.3749999999999997E-3</v>
      </c>
      <c r="L1094" s="5">
        <f>540 / 86400</f>
        <v>6.2500000000000003E-3</v>
      </c>
    </row>
    <row r="1095" spans="1:12" x14ac:dyDescent="0.25">
      <c r="A1095" s="3">
        <v>45707.514641203699</v>
      </c>
      <c r="B1095" t="s">
        <v>110</v>
      </c>
      <c r="C1095" s="3">
        <v>45707.515902777777</v>
      </c>
      <c r="D1095" t="s">
        <v>110</v>
      </c>
      <c r="E1095" s="4">
        <v>9.9000000000000005E-2</v>
      </c>
      <c r="F1095" s="4">
        <v>470991.4</v>
      </c>
      <c r="G1095" s="4">
        <v>470991.49900000001</v>
      </c>
      <c r="H1095" s="5">
        <f>20 / 86400</f>
        <v>2.3148148148148149E-4</v>
      </c>
      <c r="I1095" t="s">
        <v>85</v>
      </c>
      <c r="J1095" t="s">
        <v>24</v>
      </c>
      <c r="K1095" s="5">
        <f>109 / 86400</f>
        <v>1.261574074074074E-3</v>
      </c>
      <c r="L1095" s="5">
        <f>77 / 86400</f>
        <v>8.9120370370370373E-4</v>
      </c>
    </row>
    <row r="1096" spans="1:12" x14ac:dyDescent="0.25">
      <c r="A1096" s="3">
        <v>45707.516793981486</v>
      </c>
      <c r="B1096" t="s">
        <v>110</v>
      </c>
      <c r="C1096" s="3">
        <v>45707.520578703705</v>
      </c>
      <c r="D1096" t="s">
        <v>121</v>
      </c>
      <c r="E1096" s="4">
        <v>0.81699999999999995</v>
      </c>
      <c r="F1096" s="4">
        <v>470991.49900000001</v>
      </c>
      <c r="G1096" s="4">
        <v>470992.31599999999</v>
      </c>
      <c r="H1096" s="5">
        <f>81 / 86400</f>
        <v>9.3749999999999997E-4</v>
      </c>
      <c r="I1096" t="s">
        <v>172</v>
      </c>
      <c r="J1096" t="s">
        <v>132</v>
      </c>
      <c r="K1096" s="5">
        <f>327 / 86400</f>
        <v>3.7847222222222223E-3</v>
      </c>
      <c r="L1096" s="5">
        <f>406 / 86400</f>
        <v>4.6990740740740743E-3</v>
      </c>
    </row>
    <row r="1097" spans="1:12" x14ac:dyDescent="0.25">
      <c r="A1097" s="3">
        <v>45707.525277777779</v>
      </c>
      <c r="B1097" t="s">
        <v>121</v>
      </c>
      <c r="C1097" s="3">
        <v>45707.527835648143</v>
      </c>
      <c r="D1097" t="s">
        <v>39</v>
      </c>
      <c r="E1097" s="4">
        <v>0.193</v>
      </c>
      <c r="F1097" s="4">
        <v>470992.31599999999</v>
      </c>
      <c r="G1097" s="4">
        <v>470992.50900000002</v>
      </c>
      <c r="H1097" s="5">
        <f>100 / 86400</f>
        <v>1.1574074074074073E-3</v>
      </c>
      <c r="I1097" t="s">
        <v>85</v>
      </c>
      <c r="J1097" t="s">
        <v>24</v>
      </c>
      <c r="K1097" s="5">
        <f>220 / 86400</f>
        <v>2.5462962962962965E-3</v>
      </c>
      <c r="L1097" s="5">
        <f>13489 / 86400</f>
        <v>0.15612268518518518</v>
      </c>
    </row>
    <row r="1098" spans="1:12" x14ac:dyDescent="0.25">
      <c r="A1098" s="3">
        <v>45707.683958333335</v>
      </c>
      <c r="B1098" t="s">
        <v>39</v>
      </c>
      <c r="C1098" s="3">
        <v>45707.686296296291</v>
      </c>
      <c r="D1098" t="s">
        <v>49</v>
      </c>
      <c r="E1098" s="4">
        <v>0.499</v>
      </c>
      <c r="F1098" s="4">
        <v>470992.50900000002</v>
      </c>
      <c r="G1098" s="4">
        <v>470993.00799999997</v>
      </c>
      <c r="H1098" s="5">
        <f>79 / 86400</f>
        <v>9.1435185185185185E-4</v>
      </c>
      <c r="I1098" t="s">
        <v>84</v>
      </c>
      <c r="J1098" t="s">
        <v>132</v>
      </c>
      <c r="K1098" s="5">
        <f>202 / 86400</f>
        <v>2.3379629629629631E-3</v>
      </c>
      <c r="L1098" s="5">
        <f>668 / 86400</f>
        <v>7.7314814814814815E-3</v>
      </c>
    </row>
    <row r="1099" spans="1:12" x14ac:dyDescent="0.25">
      <c r="A1099" s="3">
        <v>45707.694027777776</v>
      </c>
      <c r="B1099" t="s">
        <v>49</v>
      </c>
      <c r="C1099" s="3">
        <v>45707.703402777777</v>
      </c>
      <c r="D1099" t="s">
        <v>150</v>
      </c>
      <c r="E1099" s="4">
        <v>0.746</v>
      </c>
      <c r="F1099" s="4">
        <v>470993.00799999997</v>
      </c>
      <c r="G1099" s="4">
        <v>470993.75400000002</v>
      </c>
      <c r="H1099" s="5">
        <f>580 / 86400</f>
        <v>6.7129629629629631E-3</v>
      </c>
      <c r="I1099" t="s">
        <v>57</v>
      </c>
      <c r="J1099" t="s">
        <v>24</v>
      </c>
      <c r="K1099" s="5">
        <f>809 / 86400</f>
        <v>9.3634259259259261E-3</v>
      </c>
      <c r="L1099" s="5">
        <f>279 / 86400</f>
        <v>3.2291666666666666E-3</v>
      </c>
    </row>
    <row r="1100" spans="1:12" x14ac:dyDescent="0.25">
      <c r="A1100" s="3">
        <v>45707.706631944442</v>
      </c>
      <c r="B1100" t="s">
        <v>150</v>
      </c>
      <c r="C1100" s="3">
        <v>45707.706759259258</v>
      </c>
      <c r="D1100" t="s">
        <v>150</v>
      </c>
      <c r="E1100" s="4">
        <v>2E-3</v>
      </c>
      <c r="F1100" s="4">
        <v>470993.75400000002</v>
      </c>
      <c r="G1100" s="4">
        <v>470993.75599999999</v>
      </c>
      <c r="H1100" s="5">
        <f>0 / 86400</f>
        <v>0</v>
      </c>
      <c r="I1100" t="s">
        <v>101</v>
      </c>
      <c r="J1100" t="s">
        <v>127</v>
      </c>
      <c r="K1100" s="5">
        <f>10 / 86400</f>
        <v>1.1574074074074075E-4</v>
      </c>
      <c r="L1100" s="5">
        <f>344 / 86400</f>
        <v>3.9814814814814817E-3</v>
      </c>
    </row>
    <row r="1101" spans="1:12" x14ac:dyDescent="0.25">
      <c r="A1101" s="3">
        <v>45707.710740740746</v>
      </c>
      <c r="B1101" t="s">
        <v>152</v>
      </c>
      <c r="C1101" s="3">
        <v>45707.710914351846</v>
      </c>
      <c r="D1101" t="s">
        <v>150</v>
      </c>
      <c r="E1101" s="4">
        <v>7.0000000000000001E-3</v>
      </c>
      <c r="F1101" s="4">
        <v>470993.75599999999</v>
      </c>
      <c r="G1101" s="4">
        <v>470993.76299999998</v>
      </c>
      <c r="H1101" s="5">
        <f>0 / 86400</f>
        <v>0</v>
      </c>
      <c r="I1101" t="s">
        <v>72</v>
      </c>
      <c r="J1101" t="s">
        <v>136</v>
      </c>
      <c r="K1101" s="5">
        <f>14 / 86400</f>
        <v>1.6203703703703703E-4</v>
      </c>
      <c r="L1101" s="5">
        <f>239 / 86400</f>
        <v>2.7662037037037039E-3</v>
      </c>
    </row>
    <row r="1102" spans="1:12" x14ac:dyDescent="0.25">
      <c r="A1102" s="3">
        <v>45707.713680555556</v>
      </c>
      <c r="B1102" t="s">
        <v>150</v>
      </c>
      <c r="C1102" s="3">
        <v>45707.850682870368</v>
      </c>
      <c r="D1102" t="s">
        <v>22</v>
      </c>
      <c r="E1102" s="4">
        <v>50.39</v>
      </c>
      <c r="F1102" s="4">
        <v>470993.76299999998</v>
      </c>
      <c r="G1102" s="4">
        <v>471044.15299999999</v>
      </c>
      <c r="H1102" s="5">
        <f>4659 / 86400</f>
        <v>5.392361111111111E-2</v>
      </c>
      <c r="I1102" t="s">
        <v>90</v>
      </c>
      <c r="J1102" t="s">
        <v>46</v>
      </c>
      <c r="K1102" s="5">
        <f>11836 / 86400</f>
        <v>0.13699074074074075</v>
      </c>
      <c r="L1102" s="5">
        <f>158 / 86400</f>
        <v>1.8287037037037037E-3</v>
      </c>
    </row>
    <row r="1103" spans="1:12" x14ac:dyDescent="0.25">
      <c r="A1103" s="3">
        <v>45707.852511574078</v>
      </c>
      <c r="B1103" t="s">
        <v>22</v>
      </c>
      <c r="C1103" s="3">
        <v>45707.956053240741</v>
      </c>
      <c r="D1103" t="s">
        <v>108</v>
      </c>
      <c r="E1103" s="4">
        <v>49.857999999999997</v>
      </c>
      <c r="F1103" s="4">
        <v>471044.15299999999</v>
      </c>
      <c r="G1103" s="4">
        <v>471094.011</v>
      </c>
      <c r="H1103" s="5">
        <f>2201 / 86400</f>
        <v>2.5474537037037039E-2</v>
      </c>
      <c r="I1103" t="s">
        <v>32</v>
      </c>
      <c r="J1103" t="s">
        <v>149</v>
      </c>
      <c r="K1103" s="5">
        <f>8946 / 86400</f>
        <v>0.10354166666666667</v>
      </c>
      <c r="L1103" s="5">
        <f>719 / 86400</f>
        <v>8.3217592592592596E-3</v>
      </c>
    </row>
    <row r="1104" spans="1:12" x14ac:dyDescent="0.25">
      <c r="A1104" s="3">
        <v>45707.964374999996</v>
      </c>
      <c r="B1104" t="s">
        <v>108</v>
      </c>
      <c r="C1104" s="3">
        <v>45707.964733796296</v>
      </c>
      <c r="D1104" t="s">
        <v>108</v>
      </c>
      <c r="E1104" s="4">
        <v>3.7999999999999999E-2</v>
      </c>
      <c r="F1104" s="4">
        <v>471094.011</v>
      </c>
      <c r="G1104" s="4">
        <v>471094.049</v>
      </c>
      <c r="H1104" s="5">
        <f>0 / 86400</f>
        <v>0</v>
      </c>
      <c r="I1104" t="s">
        <v>132</v>
      </c>
      <c r="J1104" t="s">
        <v>134</v>
      </c>
      <c r="K1104" s="5">
        <f>30 / 86400</f>
        <v>3.4722222222222224E-4</v>
      </c>
      <c r="L1104" s="5">
        <f>374 / 86400</f>
        <v>4.3287037037037035E-3</v>
      </c>
    </row>
    <row r="1105" spans="1:12" x14ac:dyDescent="0.25">
      <c r="A1105" s="3">
        <v>45707.9690625</v>
      </c>
      <c r="B1105" t="s">
        <v>108</v>
      </c>
      <c r="C1105" s="3">
        <v>45707.972916666666</v>
      </c>
      <c r="D1105" t="s">
        <v>39</v>
      </c>
      <c r="E1105" s="4">
        <v>0.82</v>
      </c>
      <c r="F1105" s="4">
        <v>471094.049</v>
      </c>
      <c r="G1105" s="4">
        <v>471094.86900000001</v>
      </c>
      <c r="H1105" s="5">
        <f>100 / 86400</f>
        <v>1.1574074074074073E-3</v>
      </c>
      <c r="I1105" t="s">
        <v>57</v>
      </c>
      <c r="J1105" t="s">
        <v>132</v>
      </c>
      <c r="K1105" s="5">
        <f>332 / 86400</f>
        <v>3.8425925925925928E-3</v>
      </c>
      <c r="L1105" s="5">
        <f>2339 / 86400</f>
        <v>2.7071759259259261E-2</v>
      </c>
    </row>
    <row r="1106" spans="1:12" x14ac:dyDescent="0.25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</row>
    <row r="1107" spans="1:12" x14ac:dyDescent="0.25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</row>
    <row r="1108" spans="1:12" s="10" customFormat="1" ht="20.100000000000001" customHeight="1" x14ac:dyDescent="0.35">
      <c r="A1108" s="15" t="s">
        <v>503</v>
      </c>
      <c r="B1108" s="15"/>
      <c r="C1108" s="15"/>
      <c r="D1108" s="15"/>
      <c r="E1108" s="15"/>
      <c r="F1108" s="15"/>
      <c r="G1108" s="15"/>
      <c r="H1108" s="15"/>
      <c r="I1108" s="15"/>
      <c r="J1108" s="15"/>
    </row>
    <row r="1109" spans="1:12" x14ac:dyDescent="0.25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</row>
    <row r="1110" spans="1:12" ht="30" x14ac:dyDescent="0.25">
      <c r="A1110" s="2" t="s">
        <v>6</v>
      </c>
      <c r="B1110" s="2" t="s">
        <v>7</v>
      </c>
      <c r="C1110" s="2" t="s">
        <v>8</v>
      </c>
      <c r="D1110" s="2" t="s">
        <v>9</v>
      </c>
      <c r="E1110" s="2" t="s">
        <v>10</v>
      </c>
      <c r="F1110" s="2" t="s">
        <v>11</v>
      </c>
      <c r="G1110" s="2" t="s">
        <v>12</v>
      </c>
      <c r="H1110" s="2" t="s">
        <v>13</v>
      </c>
      <c r="I1110" s="2" t="s">
        <v>14</v>
      </c>
      <c r="J1110" s="2" t="s">
        <v>15</v>
      </c>
      <c r="K1110" s="2" t="s">
        <v>16</v>
      </c>
      <c r="L1110" s="2" t="s">
        <v>17</v>
      </c>
    </row>
    <row r="1111" spans="1:12" x14ac:dyDescent="0.25">
      <c r="A1111" s="3">
        <v>45707.536145833335</v>
      </c>
      <c r="B1111" t="s">
        <v>91</v>
      </c>
      <c r="C1111" s="3">
        <v>45707.54005787037</v>
      </c>
      <c r="D1111" t="s">
        <v>91</v>
      </c>
      <c r="E1111" s="4">
        <v>0</v>
      </c>
      <c r="F1111" s="4">
        <v>428213.33600000001</v>
      </c>
      <c r="G1111" s="4">
        <v>428213.33600000001</v>
      </c>
      <c r="H1111" s="5">
        <f>319 / 86400</f>
        <v>3.6921296296296298E-3</v>
      </c>
      <c r="I1111" t="s">
        <v>72</v>
      </c>
      <c r="J1111" t="s">
        <v>72</v>
      </c>
      <c r="K1111" s="5">
        <f>338 / 86400</f>
        <v>3.9120370370370368E-3</v>
      </c>
      <c r="L1111" s="5">
        <f>48154 / 86400</f>
        <v>0.55733796296296301</v>
      </c>
    </row>
    <row r="1112" spans="1:12" x14ac:dyDescent="0.25">
      <c r="A1112" s="3">
        <v>45707.561249999999</v>
      </c>
      <c r="B1112" t="s">
        <v>91</v>
      </c>
      <c r="C1112" s="3">
        <v>45707.5621412037</v>
      </c>
      <c r="D1112" t="s">
        <v>91</v>
      </c>
      <c r="E1112" s="4">
        <v>0</v>
      </c>
      <c r="F1112" s="4">
        <v>428213.33600000001</v>
      </c>
      <c r="G1112" s="4">
        <v>428213.33600000001</v>
      </c>
      <c r="H1112" s="5">
        <f>59 / 86400</f>
        <v>6.8287037037037036E-4</v>
      </c>
      <c r="I1112" t="s">
        <v>72</v>
      </c>
      <c r="J1112" t="s">
        <v>72</v>
      </c>
      <c r="K1112" s="5">
        <f>77 / 86400</f>
        <v>8.9120370370370373E-4</v>
      </c>
      <c r="L1112" s="5">
        <f>1801 / 86400</f>
        <v>2.0844907407407406E-2</v>
      </c>
    </row>
    <row r="1113" spans="1:12" x14ac:dyDescent="0.25">
      <c r="A1113" s="3">
        <v>45707.582986111112</v>
      </c>
      <c r="B1113" t="s">
        <v>91</v>
      </c>
      <c r="C1113" s="3">
        <v>45707.584282407406</v>
      </c>
      <c r="D1113" t="s">
        <v>91</v>
      </c>
      <c r="E1113" s="4">
        <v>0</v>
      </c>
      <c r="F1113" s="4">
        <v>428213.33600000001</v>
      </c>
      <c r="G1113" s="4">
        <v>428213.33600000001</v>
      </c>
      <c r="H1113" s="5">
        <f>101 / 86400</f>
        <v>1.1689814814814816E-3</v>
      </c>
      <c r="I1113" t="s">
        <v>72</v>
      </c>
      <c r="J1113" t="s">
        <v>72</v>
      </c>
      <c r="K1113" s="5">
        <f>112 / 86400</f>
        <v>1.2962962962962963E-3</v>
      </c>
      <c r="L1113" s="5">
        <f>3011 / 86400</f>
        <v>3.484953703703704E-2</v>
      </c>
    </row>
    <row r="1114" spans="1:12" x14ac:dyDescent="0.25">
      <c r="A1114" s="3">
        <v>45707.619131944448</v>
      </c>
      <c r="B1114" t="s">
        <v>91</v>
      </c>
      <c r="C1114" s="3">
        <v>45707.622349537036</v>
      </c>
      <c r="D1114" t="s">
        <v>91</v>
      </c>
      <c r="E1114" s="4">
        <v>0</v>
      </c>
      <c r="F1114" s="4">
        <v>428213.33600000001</v>
      </c>
      <c r="G1114" s="4">
        <v>428213.33600000001</v>
      </c>
      <c r="H1114" s="5">
        <f>259 / 86400</f>
        <v>2.9976851851851853E-3</v>
      </c>
      <c r="I1114" t="s">
        <v>72</v>
      </c>
      <c r="J1114" t="s">
        <v>72</v>
      </c>
      <c r="K1114" s="5">
        <f>278 / 86400</f>
        <v>3.2175925925925926E-3</v>
      </c>
      <c r="L1114" s="5">
        <f>1432 / 86400</f>
        <v>1.6574074074074074E-2</v>
      </c>
    </row>
    <row r="1115" spans="1:12" x14ac:dyDescent="0.25">
      <c r="A1115" s="3">
        <v>45707.638923611114</v>
      </c>
      <c r="B1115" t="s">
        <v>91</v>
      </c>
      <c r="C1115" s="3">
        <v>45707.640625</v>
      </c>
      <c r="D1115" t="s">
        <v>91</v>
      </c>
      <c r="E1115" s="4">
        <v>0</v>
      </c>
      <c r="F1115" s="4">
        <v>428213.33600000001</v>
      </c>
      <c r="G1115" s="4">
        <v>428213.33600000001</v>
      </c>
      <c r="H1115" s="5">
        <f>139 / 86400</f>
        <v>1.6087962962962963E-3</v>
      </c>
      <c r="I1115" t="s">
        <v>72</v>
      </c>
      <c r="J1115" t="s">
        <v>72</v>
      </c>
      <c r="K1115" s="5">
        <f>146 / 86400</f>
        <v>1.6898148148148148E-3</v>
      </c>
      <c r="L1115" s="5">
        <f>7 / 86400</f>
        <v>8.1018518518518516E-5</v>
      </c>
    </row>
    <row r="1116" spans="1:12" x14ac:dyDescent="0.25">
      <c r="A1116" s="3">
        <v>45707.640706018516</v>
      </c>
      <c r="B1116" t="s">
        <v>91</v>
      </c>
      <c r="C1116" s="3">
        <v>45707.640856481477</v>
      </c>
      <c r="D1116" t="s">
        <v>91</v>
      </c>
      <c r="E1116" s="4">
        <v>0</v>
      </c>
      <c r="F1116" s="4">
        <v>428213.33600000001</v>
      </c>
      <c r="G1116" s="4">
        <v>428213.33600000001</v>
      </c>
      <c r="H1116" s="5">
        <f>6 / 86400</f>
        <v>6.9444444444444444E-5</v>
      </c>
      <c r="I1116" t="s">
        <v>72</v>
      </c>
      <c r="J1116" t="s">
        <v>72</v>
      </c>
      <c r="K1116" s="5">
        <f>13 / 86400</f>
        <v>1.5046296296296297E-4</v>
      </c>
      <c r="L1116" s="5">
        <f>1870 / 86400</f>
        <v>2.1643518518518517E-2</v>
      </c>
    </row>
    <row r="1117" spans="1:12" x14ac:dyDescent="0.25">
      <c r="A1117" s="3">
        <v>45707.662499999999</v>
      </c>
      <c r="B1117" t="s">
        <v>91</v>
      </c>
      <c r="C1117" s="3">
        <v>45707.666226851856</v>
      </c>
      <c r="D1117" t="s">
        <v>91</v>
      </c>
      <c r="E1117" s="4">
        <v>0</v>
      </c>
      <c r="F1117" s="4">
        <v>428213.33600000001</v>
      </c>
      <c r="G1117" s="4">
        <v>428213.33600000001</v>
      </c>
      <c r="H1117" s="5">
        <f>318 / 86400</f>
        <v>3.6805555555555554E-3</v>
      </c>
      <c r="I1117" t="s">
        <v>72</v>
      </c>
      <c r="J1117" t="s">
        <v>72</v>
      </c>
      <c r="K1117" s="5">
        <f>321 / 86400</f>
        <v>3.7152777777777778E-3</v>
      </c>
      <c r="L1117" s="5">
        <f>215 / 86400</f>
        <v>2.488425925925926E-3</v>
      </c>
    </row>
    <row r="1118" spans="1:12" x14ac:dyDescent="0.25">
      <c r="A1118" s="3">
        <v>45707.668715277774</v>
      </c>
      <c r="B1118" t="s">
        <v>91</v>
      </c>
      <c r="C1118" s="3">
        <v>45707.669351851851</v>
      </c>
      <c r="D1118" t="s">
        <v>91</v>
      </c>
      <c r="E1118" s="4">
        <v>0</v>
      </c>
      <c r="F1118" s="4">
        <v>428213.33600000001</v>
      </c>
      <c r="G1118" s="4">
        <v>428213.33600000001</v>
      </c>
      <c r="H1118" s="5">
        <f>39 / 86400</f>
        <v>4.5138888888888887E-4</v>
      </c>
      <c r="I1118" t="s">
        <v>72</v>
      </c>
      <c r="J1118" t="s">
        <v>72</v>
      </c>
      <c r="K1118" s="5">
        <f>54 / 86400</f>
        <v>6.2500000000000001E-4</v>
      </c>
      <c r="L1118" s="5">
        <f>1409 / 86400</f>
        <v>1.6307870370370372E-2</v>
      </c>
    </row>
    <row r="1119" spans="1:12" x14ac:dyDescent="0.25">
      <c r="A1119" s="3">
        <v>45707.685659722221</v>
      </c>
      <c r="B1119" t="s">
        <v>91</v>
      </c>
      <c r="C1119" s="3">
        <v>45707.690312499995</v>
      </c>
      <c r="D1119" t="s">
        <v>91</v>
      </c>
      <c r="E1119" s="4">
        <v>0</v>
      </c>
      <c r="F1119" s="4">
        <v>428213.33600000001</v>
      </c>
      <c r="G1119" s="4">
        <v>428213.33600000001</v>
      </c>
      <c r="H1119" s="5">
        <f>399 / 86400</f>
        <v>4.6180555555555558E-3</v>
      </c>
      <c r="I1119" t="s">
        <v>72</v>
      </c>
      <c r="J1119" t="s">
        <v>72</v>
      </c>
      <c r="K1119" s="5">
        <f>402 / 86400</f>
        <v>4.6527777777777774E-3</v>
      </c>
      <c r="L1119" s="5">
        <f>813 / 86400</f>
        <v>9.4097222222222221E-3</v>
      </c>
    </row>
    <row r="1120" spans="1:12" x14ac:dyDescent="0.25">
      <c r="A1120" s="3">
        <v>45707.699722222227</v>
      </c>
      <c r="B1120" t="s">
        <v>91</v>
      </c>
      <c r="C1120" s="3">
        <v>45707.700092592597</v>
      </c>
      <c r="D1120" t="s">
        <v>91</v>
      </c>
      <c r="E1120" s="4">
        <v>0</v>
      </c>
      <c r="F1120" s="4">
        <v>428213.33600000001</v>
      </c>
      <c r="G1120" s="4">
        <v>428213.33600000001</v>
      </c>
      <c r="H1120" s="5">
        <f>19 / 86400</f>
        <v>2.199074074074074E-4</v>
      </c>
      <c r="I1120" t="s">
        <v>72</v>
      </c>
      <c r="J1120" t="s">
        <v>72</v>
      </c>
      <c r="K1120" s="5">
        <f>32 / 86400</f>
        <v>3.7037037037037035E-4</v>
      </c>
      <c r="L1120" s="5">
        <f>2561 / 86400</f>
        <v>2.9641203703703704E-2</v>
      </c>
    </row>
    <row r="1121" spans="1:12" x14ac:dyDescent="0.25">
      <c r="A1121" s="3">
        <v>45707.729733796295</v>
      </c>
      <c r="B1121" t="s">
        <v>91</v>
      </c>
      <c r="C1121" s="3">
        <v>45707.734317129631</v>
      </c>
      <c r="D1121" t="s">
        <v>91</v>
      </c>
      <c r="E1121" s="4">
        <v>0</v>
      </c>
      <c r="F1121" s="4">
        <v>428213.33600000001</v>
      </c>
      <c r="G1121" s="4">
        <v>428213.33600000001</v>
      </c>
      <c r="H1121" s="5">
        <f>379 / 86400</f>
        <v>4.386574074074074E-3</v>
      </c>
      <c r="I1121" t="s">
        <v>72</v>
      </c>
      <c r="J1121" t="s">
        <v>72</v>
      </c>
      <c r="K1121" s="5">
        <f>395 / 86400</f>
        <v>4.5717592592592589E-3</v>
      </c>
      <c r="L1121" s="5">
        <f>1819 / 86400</f>
        <v>2.105324074074074E-2</v>
      </c>
    </row>
    <row r="1122" spans="1:12" x14ac:dyDescent="0.25">
      <c r="A1122" s="3">
        <v>45707.755370370374</v>
      </c>
      <c r="B1122" t="s">
        <v>91</v>
      </c>
      <c r="C1122" s="3">
        <v>45707.756435185191</v>
      </c>
      <c r="D1122" t="s">
        <v>91</v>
      </c>
      <c r="E1122" s="4">
        <v>0</v>
      </c>
      <c r="F1122" s="4">
        <v>428213.33600000001</v>
      </c>
      <c r="G1122" s="4">
        <v>428213.33600000001</v>
      </c>
      <c r="H1122" s="5">
        <f>79 / 86400</f>
        <v>9.1435185185185185E-4</v>
      </c>
      <c r="I1122" t="s">
        <v>72</v>
      </c>
      <c r="J1122" t="s">
        <v>72</v>
      </c>
      <c r="K1122" s="5">
        <f>91 / 86400</f>
        <v>1.0532407407407407E-3</v>
      </c>
      <c r="L1122" s="5">
        <f>21043 / 86400</f>
        <v>0.24355324074074075</v>
      </c>
    </row>
    <row r="1123" spans="1:12" x14ac:dyDescent="0.25">
      <c r="A1123" s="12"/>
      <c r="B1123" s="12"/>
      <c r="C1123" s="12"/>
      <c r="D1123" s="12"/>
      <c r="E1123" s="12"/>
      <c r="F1123" s="12"/>
      <c r="G1123" s="12"/>
      <c r="H1123" s="12"/>
      <c r="I1123" s="12"/>
      <c r="J1123" s="12"/>
    </row>
    <row r="1124" spans="1:12" x14ac:dyDescent="0.25">
      <c r="A1124" s="12"/>
      <c r="B1124" s="12"/>
      <c r="C1124" s="12"/>
      <c r="D1124" s="12"/>
      <c r="E1124" s="12"/>
      <c r="F1124" s="12"/>
      <c r="G1124" s="12"/>
      <c r="H1124" s="12"/>
      <c r="I1124" s="12"/>
      <c r="J1124" s="12"/>
    </row>
    <row r="1125" spans="1:12" s="10" customFormat="1" ht="20.100000000000001" customHeight="1" x14ac:dyDescent="0.35">
      <c r="A1125" s="15" t="s">
        <v>504</v>
      </c>
      <c r="B1125" s="15"/>
      <c r="C1125" s="15"/>
      <c r="D1125" s="15"/>
      <c r="E1125" s="15"/>
      <c r="F1125" s="15"/>
      <c r="G1125" s="15"/>
      <c r="H1125" s="15"/>
      <c r="I1125" s="15"/>
      <c r="J1125" s="15"/>
    </row>
    <row r="1126" spans="1:12" x14ac:dyDescent="0.25">
      <c r="A1126" s="12"/>
      <c r="B1126" s="12"/>
      <c r="C1126" s="12"/>
      <c r="D1126" s="12"/>
      <c r="E1126" s="12"/>
      <c r="F1126" s="12"/>
      <c r="G1126" s="12"/>
      <c r="H1126" s="12"/>
      <c r="I1126" s="12"/>
      <c r="J1126" s="12"/>
    </row>
    <row r="1127" spans="1:12" ht="30" x14ac:dyDescent="0.25">
      <c r="A1127" s="2" t="s">
        <v>6</v>
      </c>
      <c r="B1127" s="2" t="s">
        <v>7</v>
      </c>
      <c r="C1127" s="2" t="s">
        <v>8</v>
      </c>
      <c r="D1127" s="2" t="s">
        <v>9</v>
      </c>
      <c r="E1127" s="2" t="s">
        <v>10</v>
      </c>
      <c r="F1127" s="2" t="s">
        <v>11</v>
      </c>
      <c r="G1127" s="2" t="s">
        <v>12</v>
      </c>
      <c r="H1127" s="2" t="s">
        <v>13</v>
      </c>
      <c r="I1127" s="2" t="s">
        <v>14</v>
      </c>
      <c r="J1127" s="2" t="s">
        <v>15</v>
      </c>
      <c r="K1127" s="2" t="s">
        <v>16</v>
      </c>
      <c r="L1127" s="2" t="s">
        <v>17</v>
      </c>
    </row>
    <row r="1128" spans="1:12" x14ac:dyDescent="0.25">
      <c r="A1128" s="3">
        <v>45707.142453703702</v>
      </c>
      <c r="B1128" t="s">
        <v>28</v>
      </c>
      <c r="C1128" s="3">
        <v>45707.153136574074</v>
      </c>
      <c r="D1128" t="s">
        <v>28</v>
      </c>
      <c r="E1128" s="4">
        <v>1.9950000000000001</v>
      </c>
      <c r="F1128" s="4">
        <v>576354.696</v>
      </c>
      <c r="G1128" s="4">
        <v>576356.69099999999</v>
      </c>
      <c r="H1128" s="5">
        <f>539 / 86400</f>
        <v>6.2384259259259259E-3</v>
      </c>
      <c r="I1128" t="s">
        <v>254</v>
      </c>
      <c r="J1128" t="s">
        <v>31</v>
      </c>
      <c r="K1128" s="5">
        <f>922 / 86400</f>
        <v>1.0671296296296297E-2</v>
      </c>
      <c r="L1128" s="5">
        <f>12425 / 86400</f>
        <v>0.14380787037037038</v>
      </c>
    </row>
    <row r="1129" spans="1:12" x14ac:dyDescent="0.25">
      <c r="A1129" s="3">
        <v>45707.154490740737</v>
      </c>
      <c r="B1129" t="s">
        <v>28</v>
      </c>
      <c r="C1129" s="3">
        <v>45707.212002314816</v>
      </c>
      <c r="D1129" t="s">
        <v>22</v>
      </c>
      <c r="E1129" s="4">
        <v>33.307000000000002</v>
      </c>
      <c r="F1129" s="4">
        <v>576356.69099999999</v>
      </c>
      <c r="G1129" s="4">
        <v>576389.99800000002</v>
      </c>
      <c r="H1129" s="5">
        <f>913 / 86400</f>
        <v>1.0567129629629629E-2</v>
      </c>
      <c r="I1129" t="s">
        <v>60</v>
      </c>
      <c r="J1129" t="s">
        <v>151</v>
      </c>
      <c r="K1129" s="5">
        <f>4969 / 86400</f>
        <v>5.7511574074074076E-2</v>
      </c>
      <c r="L1129" s="5">
        <f>223 / 86400</f>
        <v>2.5810185185185185E-3</v>
      </c>
    </row>
    <row r="1130" spans="1:12" x14ac:dyDescent="0.25">
      <c r="A1130" s="3">
        <v>45707.214583333334</v>
      </c>
      <c r="B1130" t="s">
        <v>22</v>
      </c>
      <c r="C1130" s="3">
        <v>45707.32984953704</v>
      </c>
      <c r="D1130" t="s">
        <v>291</v>
      </c>
      <c r="E1130" s="4">
        <v>53.317999999999998</v>
      </c>
      <c r="F1130" s="4">
        <v>576389.99800000002</v>
      </c>
      <c r="G1130" s="4">
        <v>576443.31599999999</v>
      </c>
      <c r="H1130" s="5">
        <f>2650 / 86400</f>
        <v>3.0671296296296297E-2</v>
      </c>
      <c r="I1130" t="s">
        <v>90</v>
      </c>
      <c r="J1130" t="s">
        <v>33</v>
      </c>
      <c r="K1130" s="5">
        <f>9958 / 86400</f>
        <v>0.11525462962962962</v>
      </c>
      <c r="L1130" s="5">
        <f>2532 / 86400</f>
        <v>2.9305555555555557E-2</v>
      </c>
    </row>
    <row r="1131" spans="1:12" x14ac:dyDescent="0.25">
      <c r="A1131" s="3">
        <v>45707.359155092592</v>
      </c>
      <c r="B1131" t="s">
        <v>291</v>
      </c>
      <c r="C1131" s="3">
        <v>45707.359421296293</v>
      </c>
      <c r="D1131" t="s">
        <v>291</v>
      </c>
      <c r="E1131" s="4">
        <v>0</v>
      </c>
      <c r="F1131" s="4">
        <v>576443.31599999999</v>
      </c>
      <c r="G1131" s="4">
        <v>576443.31599999999</v>
      </c>
      <c r="H1131" s="5">
        <f>19 / 86400</f>
        <v>2.199074074074074E-4</v>
      </c>
      <c r="I1131" t="s">
        <v>72</v>
      </c>
      <c r="J1131" t="s">
        <v>72</v>
      </c>
      <c r="K1131" s="5">
        <f>22 / 86400</f>
        <v>2.5462962962962961E-4</v>
      </c>
      <c r="L1131" s="5">
        <f>234 / 86400</f>
        <v>2.7083333333333334E-3</v>
      </c>
    </row>
    <row r="1132" spans="1:12" x14ac:dyDescent="0.25">
      <c r="A1132" s="3">
        <v>45707.362129629633</v>
      </c>
      <c r="B1132" t="s">
        <v>291</v>
      </c>
      <c r="C1132" s="3">
        <v>45707.367974537032</v>
      </c>
      <c r="D1132" t="s">
        <v>150</v>
      </c>
      <c r="E1132" s="4">
        <v>0.92400000000000004</v>
      </c>
      <c r="F1132" s="4">
        <v>576443.31599999999</v>
      </c>
      <c r="G1132" s="4">
        <v>576444.24</v>
      </c>
      <c r="H1132" s="5">
        <f>279 / 86400</f>
        <v>3.2291666666666666E-3</v>
      </c>
      <c r="I1132" t="s">
        <v>84</v>
      </c>
      <c r="J1132" t="s">
        <v>85</v>
      </c>
      <c r="K1132" s="5">
        <f>504 / 86400</f>
        <v>5.8333333333333336E-3</v>
      </c>
      <c r="L1132" s="5">
        <f>700 / 86400</f>
        <v>8.1018518518518514E-3</v>
      </c>
    </row>
    <row r="1133" spans="1:12" x14ac:dyDescent="0.25">
      <c r="A1133" s="3">
        <v>45707.376076388886</v>
      </c>
      <c r="B1133" t="s">
        <v>150</v>
      </c>
      <c r="C1133" s="3">
        <v>45707.376273148147</v>
      </c>
      <c r="D1133" t="s">
        <v>150</v>
      </c>
      <c r="E1133" s="4">
        <v>8.0000000000000002E-3</v>
      </c>
      <c r="F1133" s="4">
        <v>576444.24</v>
      </c>
      <c r="G1133" s="4">
        <v>576444.24800000002</v>
      </c>
      <c r="H1133" s="5">
        <f>0 / 86400</f>
        <v>0</v>
      </c>
      <c r="I1133" t="s">
        <v>72</v>
      </c>
      <c r="J1133" t="s">
        <v>136</v>
      </c>
      <c r="K1133" s="5">
        <f>16 / 86400</f>
        <v>1.8518518518518518E-4</v>
      </c>
      <c r="L1133" s="5">
        <f>181 / 86400</f>
        <v>2.0949074074074073E-3</v>
      </c>
    </row>
    <row r="1134" spans="1:12" x14ac:dyDescent="0.25">
      <c r="A1134" s="3">
        <v>45707.378368055557</v>
      </c>
      <c r="B1134" t="s">
        <v>150</v>
      </c>
      <c r="C1134" s="3">
        <v>45707.519699074073</v>
      </c>
      <c r="D1134" t="s">
        <v>206</v>
      </c>
      <c r="E1134" s="4">
        <v>50.317999999999998</v>
      </c>
      <c r="F1134" s="4">
        <v>576444.24800000002</v>
      </c>
      <c r="G1134" s="4">
        <v>576494.56599999999</v>
      </c>
      <c r="H1134" s="5">
        <f>4620 / 86400</f>
        <v>5.347222222222222E-2</v>
      </c>
      <c r="I1134" t="s">
        <v>19</v>
      </c>
      <c r="J1134" t="s">
        <v>46</v>
      </c>
      <c r="K1134" s="5">
        <f>12210 / 86400</f>
        <v>0.14131944444444444</v>
      </c>
      <c r="L1134" s="5">
        <f>145 / 86400</f>
        <v>1.6782407407407408E-3</v>
      </c>
    </row>
    <row r="1135" spans="1:12" x14ac:dyDescent="0.25">
      <c r="A1135" s="3">
        <v>45707.521377314813</v>
      </c>
      <c r="B1135" t="s">
        <v>206</v>
      </c>
      <c r="C1135" s="3">
        <v>45707.627858796295</v>
      </c>
      <c r="D1135" t="s">
        <v>28</v>
      </c>
      <c r="E1135" s="4">
        <v>31.823</v>
      </c>
      <c r="F1135" s="4">
        <v>576494.56599999999</v>
      </c>
      <c r="G1135" s="4">
        <v>576526.38899999997</v>
      </c>
      <c r="H1135" s="5">
        <f>3699 / 86400</f>
        <v>4.2812500000000003E-2</v>
      </c>
      <c r="I1135" t="s">
        <v>116</v>
      </c>
      <c r="J1135" t="s">
        <v>148</v>
      </c>
      <c r="K1135" s="5">
        <f>9200 / 86400</f>
        <v>0.10648148148148148</v>
      </c>
      <c r="L1135" s="5">
        <f>6510 / 86400</f>
        <v>7.5347222222222218E-2</v>
      </c>
    </row>
    <row r="1136" spans="1:12" x14ac:dyDescent="0.25">
      <c r="A1136" s="3">
        <v>45707.703206018516</v>
      </c>
      <c r="B1136" t="s">
        <v>28</v>
      </c>
      <c r="C1136" s="3">
        <v>45707.703842592593</v>
      </c>
      <c r="D1136" t="s">
        <v>28</v>
      </c>
      <c r="E1136" s="4">
        <v>0</v>
      </c>
      <c r="F1136" s="4">
        <v>576526.38899999997</v>
      </c>
      <c r="G1136" s="4">
        <v>576526.38899999997</v>
      </c>
      <c r="H1136" s="5">
        <f>39 / 86400</f>
        <v>4.5138888888888887E-4</v>
      </c>
      <c r="I1136" t="s">
        <v>72</v>
      </c>
      <c r="J1136" t="s">
        <v>72</v>
      </c>
      <c r="K1136" s="5">
        <f>55 / 86400</f>
        <v>6.3657407407407413E-4</v>
      </c>
      <c r="L1136" s="5">
        <f>857 / 86400</f>
        <v>9.9189814814814817E-3</v>
      </c>
    </row>
    <row r="1137" spans="1:12" x14ac:dyDescent="0.25">
      <c r="A1137" s="3">
        <v>45707.713761574079</v>
      </c>
      <c r="B1137" t="s">
        <v>28</v>
      </c>
      <c r="C1137" s="3">
        <v>45707.713784722218</v>
      </c>
      <c r="D1137" t="s">
        <v>28</v>
      </c>
      <c r="E1137" s="4">
        <v>0</v>
      </c>
      <c r="F1137" s="4">
        <v>576526.38899999997</v>
      </c>
      <c r="G1137" s="4">
        <v>576526.38899999997</v>
      </c>
      <c r="H1137" s="5">
        <f>0 / 86400</f>
        <v>0</v>
      </c>
      <c r="I1137" t="s">
        <v>72</v>
      </c>
      <c r="J1137" t="s">
        <v>72</v>
      </c>
      <c r="K1137" s="5">
        <f>2 / 86400</f>
        <v>2.3148148148148147E-5</v>
      </c>
      <c r="L1137" s="5">
        <f>753 / 86400</f>
        <v>8.7152777777777784E-3</v>
      </c>
    </row>
    <row r="1138" spans="1:12" x14ac:dyDescent="0.25">
      <c r="A1138" s="3">
        <v>45707.722500000003</v>
      </c>
      <c r="B1138" t="s">
        <v>28</v>
      </c>
      <c r="C1138" s="3">
        <v>45707.732638888891</v>
      </c>
      <c r="D1138" t="s">
        <v>28</v>
      </c>
      <c r="E1138" s="4">
        <v>1.776</v>
      </c>
      <c r="F1138" s="4">
        <v>576526.38899999997</v>
      </c>
      <c r="G1138" s="4">
        <v>576528.16500000004</v>
      </c>
      <c r="H1138" s="5">
        <f>459 / 86400</f>
        <v>5.3125000000000004E-3</v>
      </c>
      <c r="I1138" t="s">
        <v>131</v>
      </c>
      <c r="J1138" t="s">
        <v>85</v>
      </c>
      <c r="K1138" s="5">
        <f>876 / 86400</f>
        <v>1.0138888888888888E-2</v>
      </c>
      <c r="L1138" s="5">
        <f>1905 / 86400</f>
        <v>2.2048611111111113E-2</v>
      </c>
    </row>
    <row r="1139" spans="1:12" x14ac:dyDescent="0.25">
      <c r="A1139" s="3">
        <v>45707.754687499997</v>
      </c>
      <c r="B1139" t="s">
        <v>28</v>
      </c>
      <c r="C1139" s="3">
        <v>45707.97038194444</v>
      </c>
      <c r="D1139" t="s">
        <v>28</v>
      </c>
      <c r="E1139" s="4">
        <v>71.832999999999998</v>
      </c>
      <c r="F1139" s="4">
        <v>576528.16500000004</v>
      </c>
      <c r="G1139" s="4">
        <v>576599.99800000002</v>
      </c>
      <c r="H1139" s="5">
        <f>7011 / 86400</f>
        <v>8.1145833333333334E-2</v>
      </c>
      <c r="I1139" t="s">
        <v>19</v>
      </c>
      <c r="J1139" t="s">
        <v>43</v>
      </c>
      <c r="K1139" s="5">
        <f>18635 / 86400</f>
        <v>0.21568287037037037</v>
      </c>
      <c r="L1139" s="5">
        <f>2558 / 86400</f>
        <v>2.960648148148148E-2</v>
      </c>
    </row>
    <row r="1140" spans="1:12" x14ac:dyDescent="0.25">
      <c r="A1140" s="12"/>
      <c r="B1140" s="12"/>
      <c r="C1140" s="12"/>
      <c r="D1140" s="12"/>
      <c r="E1140" s="12"/>
      <c r="F1140" s="12"/>
      <c r="G1140" s="12"/>
      <c r="H1140" s="12"/>
      <c r="I1140" s="12"/>
      <c r="J1140" s="12"/>
    </row>
    <row r="1141" spans="1:12" x14ac:dyDescent="0.25">
      <c r="A1141" s="12"/>
      <c r="B1141" s="12"/>
      <c r="C1141" s="12"/>
      <c r="D1141" s="12"/>
      <c r="E1141" s="12"/>
      <c r="F1141" s="12"/>
      <c r="G1141" s="12"/>
      <c r="H1141" s="12"/>
      <c r="I1141" s="12"/>
      <c r="J1141" s="12"/>
    </row>
    <row r="1142" spans="1:12" s="10" customFormat="1" ht="20.100000000000001" customHeight="1" x14ac:dyDescent="0.35">
      <c r="A1142" s="15" t="s">
        <v>505</v>
      </c>
      <c r="B1142" s="15"/>
      <c r="C1142" s="15"/>
      <c r="D1142" s="15"/>
      <c r="E1142" s="15"/>
      <c r="F1142" s="15"/>
      <c r="G1142" s="15"/>
      <c r="H1142" s="15"/>
      <c r="I1142" s="15"/>
      <c r="J1142" s="15"/>
    </row>
    <row r="1143" spans="1:12" x14ac:dyDescent="0.25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</row>
    <row r="1144" spans="1:12" ht="30" x14ac:dyDescent="0.25">
      <c r="A1144" s="2" t="s">
        <v>6</v>
      </c>
      <c r="B1144" s="2" t="s">
        <v>7</v>
      </c>
      <c r="C1144" s="2" t="s">
        <v>8</v>
      </c>
      <c r="D1144" s="2" t="s">
        <v>9</v>
      </c>
      <c r="E1144" s="2" t="s">
        <v>10</v>
      </c>
      <c r="F1144" s="2" t="s">
        <v>11</v>
      </c>
      <c r="G1144" s="2" t="s">
        <v>12</v>
      </c>
      <c r="H1144" s="2" t="s">
        <v>13</v>
      </c>
      <c r="I1144" s="2" t="s">
        <v>14</v>
      </c>
      <c r="J1144" s="2" t="s">
        <v>15</v>
      </c>
      <c r="K1144" s="2" t="s">
        <v>16</v>
      </c>
      <c r="L1144" s="2" t="s">
        <v>17</v>
      </c>
    </row>
    <row r="1145" spans="1:12" x14ac:dyDescent="0.25">
      <c r="A1145" s="3">
        <v>45707.246030092589</v>
      </c>
      <c r="B1145" t="s">
        <v>92</v>
      </c>
      <c r="C1145" s="3">
        <v>45707.330833333333</v>
      </c>
      <c r="D1145" t="s">
        <v>130</v>
      </c>
      <c r="E1145" s="4">
        <v>37.348999999999997</v>
      </c>
      <c r="F1145" s="4">
        <v>417318.016</v>
      </c>
      <c r="G1145" s="4">
        <v>417355.36499999999</v>
      </c>
      <c r="H1145" s="5">
        <f>2419 / 86400</f>
        <v>2.7997685185185184E-2</v>
      </c>
      <c r="I1145" t="s">
        <v>160</v>
      </c>
      <c r="J1145" t="s">
        <v>27</v>
      </c>
      <c r="K1145" s="5">
        <f>7326 / 86400</f>
        <v>8.4791666666666668E-2</v>
      </c>
      <c r="L1145" s="5">
        <f>22009 / 86400</f>
        <v>0.25473379629629628</v>
      </c>
    </row>
    <row r="1146" spans="1:12" x14ac:dyDescent="0.25">
      <c r="A1146" s="3">
        <v>45707.339537037042</v>
      </c>
      <c r="B1146" t="s">
        <v>130</v>
      </c>
      <c r="C1146" s="3">
        <v>45707.588599537034</v>
      </c>
      <c r="D1146" t="s">
        <v>110</v>
      </c>
      <c r="E1146" s="4">
        <v>101.324</v>
      </c>
      <c r="F1146" s="4">
        <v>417355.36499999999</v>
      </c>
      <c r="G1146" s="4">
        <v>417456.68900000001</v>
      </c>
      <c r="H1146" s="5">
        <f>6399 / 86400</f>
        <v>7.4062500000000003E-2</v>
      </c>
      <c r="I1146" t="s">
        <v>23</v>
      </c>
      <c r="J1146" t="s">
        <v>37</v>
      </c>
      <c r="K1146" s="5">
        <f>21519 / 86400</f>
        <v>0.24906249999999999</v>
      </c>
      <c r="L1146" s="5">
        <f>207 / 86400</f>
        <v>2.3958333333333331E-3</v>
      </c>
    </row>
    <row r="1147" spans="1:12" x14ac:dyDescent="0.25">
      <c r="A1147" s="3">
        <v>45707.590995370367</v>
      </c>
      <c r="B1147" t="s">
        <v>110</v>
      </c>
      <c r="C1147" s="3">
        <v>45707.59302083333</v>
      </c>
      <c r="D1147" t="s">
        <v>110</v>
      </c>
      <c r="E1147" s="4">
        <v>2.9000000000000001E-2</v>
      </c>
      <c r="F1147" s="4">
        <v>417456.68900000001</v>
      </c>
      <c r="G1147" s="4">
        <v>417456.71799999999</v>
      </c>
      <c r="H1147" s="5">
        <f>159 / 86400</f>
        <v>1.8402777777777777E-3</v>
      </c>
      <c r="I1147" t="s">
        <v>134</v>
      </c>
      <c r="J1147" t="s">
        <v>127</v>
      </c>
      <c r="K1147" s="5">
        <f>174 / 86400</f>
        <v>2.0138888888888888E-3</v>
      </c>
      <c r="L1147" s="5">
        <f>1013 / 86400</f>
        <v>1.1724537037037037E-2</v>
      </c>
    </row>
    <row r="1148" spans="1:12" x14ac:dyDescent="0.25">
      <c r="A1148" s="3">
        <v>45707.604745370365</v>
      </c>
      <c r="B1148" t="s">
        <v>110</v>
      </c>
      <c r="C1148" s="3">
        <v>45707.606620370367</v>
      </c>
      <c r="D1148" t="s">
        <v>110</v>
      </c>
      <c r="E1148" s="4">
        <v>0.125</v>
      </c>
      <c r="F1148" s="4">
        <v>417456.71799999999</v>
      </c>
      <c r="G1148" s="4">
        <v>417456.84299999999</v>
      </c>
      <c r="H1148" s="5">
        <f>40 / 86400</f>
        <v>4.6296296296296298E-4</v>
      </c>
      <c r="I1148" t="s">
        <v>85</v>
      </c>
      <c r="J1148" t="s">
        <v>24</v>
      </c>
      <c r="K1148" s="5">
        <f>161 / 86400</f>
        <v>1.8634259259259259E-3</v>
      </c>
      <c r="L1148" s="5">
        <f>561 / 86400</f>
        <v>6.4930555555555557E-3</v>
      </c>
    </row>
    <row r="1149" spans="1:12" x14ac:dyDescent="0.25">
      <c r="A1149" s="3">
        <v>45707.613113425927</v>
      </c>
      <c r="B1149" t="s">
        <v>120</v>
      </c>
      <c r="C1149" s="3">
        <v>45707.614212962959</v>
      </c>
      <c r="D1149" t="s">
        <v>108</v>
      </c>
      <c r="E1149" s="4">
        <v>0.182</v>
      </c>
      <c r="F1149" s="4">
        <v>417456.84299999999</v>
      </c>
      <c r="G1149" s="4">
        <v>417457.02500000002</v>
      </c>
      <c r="H1149" s="5">
        <f>39 / 86400</f>
        <v>4.5138888888888887E-4</v>
      </c>
      <c r="I1149" t="s">
        <v>129</v>
      </c>
      <c r="J1149" t="s">
        <v>85</v>
      </c>
      <c r="K1149" s="5">
        <f>95 / 86400</f>
        <v>1.0995370370370371E-3</v>
      </c>
      <c r="L1149" s="5">
        <f>1890 / 86400</f>
        <v>2.1874999999999999E-2</v>
      </c>
    </row>
    <row r="1150" spans="1:12" x14ac:dyDescent="0.25">
      <c r="A1150" s="3">
        <v>45707.636087962965</v>
      </c>
      <c r="B1150" t="s">
        <v>108</v>
      </c>
      <c r="C1150" s="3">
        <v>45707.858194444445</v>
      </c>
      <c r="D1150" t="s">
        <v>92</v>
      </c>
      <c r="E1150" s="4">
        <v>71.465000000000003</v>
      </c>
      <c r="F1150" s="4">
        <v>417457.02500000002</v>
      </c>
      <c r="G1150" s="4">
        <v>417528.49</v>
      </c>
      <c r="H1150" s="5">
        <f>7707 / 86400</f>
        <v>8.9201388888888886E-2</v>
      </c>
      <c r="I1150" t="s">
        <v>61</v>
      </c>
      <c r="J1150" t="s">
        <v>62</v>
      </c>
      <c r="K1150" s="5">
        <f>19190 / 86400</f>
        <v>0.22210648148148149</v>
      </c>
      <c r="L1150" s="5">
        <f>12251 / 86400</f>
        <v>0.14179398148148148</v>
      </c>
    </row>
    <row r="1151" spans="1:12" x14ac:dyDescent="0.25">
      <c r="A1151" s="12"/>
      <c r="B1151" s="12"/>
      <c r="C1151" s="12"/>
      <c r="D1151" s="12"/>
      <c r="E1151" s="12"/>
      <c r="F1151" s="12"/>
      <c r="G1151" s="12"/>
      <c r="H1151" s="12"/>
      <c r="I1151" s="12"/>
      <c r="J1151" s="12"/>
    </row>
    <row r="1152" spans="1:12" x14ac:dyDescent="0.25">
      <c r="A1152" s="12"/>
      <c r="B1152" s="12"/>
      <c r="C1152" s="12"/>
      <c r="D1152" s="12"/>
      <c r="E1152" s="12"/>
      <c r="F1152" s="12"/>
      <c r="G1152" s="12"/>
      <c r="H1152" s="12"/>
      <c r="I1152" s="12"/>
      <c r="J1152" s="12"/>
    </row>
    <row r="1153" spans="1:12" s="10" customFormat="1" ht="20.100000000000001" customHeight="1" x14ac:dyDescent="0.35">
      <c r="A1153" s="15" t="s">
        <v>506</v>
      </c>
      <c r="B1153" s="15"/>
      <c r="C1153" s="15"/>
      <c r="D1153" s="15"/>
      <c r="E1153" s="15"/>
      <c r="F1153" s="15"/>
      <c r="G1153" s="15"/>
      <c r="H1153" s="15"/>
      <c r="I1153" s="15"/>
      <c r="J1153" s="15"/>
    </row>
    <row r="1154" spans="1:12" x14ac:dyDescent="0.25">
      <c r="A1154" s="12"/>
      <c r="B1154" s="12"/>
      <c r="C1154" s="12"/>
      <c r="D1154" s="12"/>
      <c r="E1154" s="12"/>
      <c r="F1154" s="12"/>
      <c r="G1154" s="12"/>
      <c r="H1154" s="12"/>
      <c r="I1154" s="12"/>
      <c r="J1154" s="12"/>
    </row>
    <row r="1155" spans="1:12" ht="30" x14ac:dyDescent="0.25">
      <c r="A1155" s="2" t="s">
        <v>6</v>
      </c>
      <c r="B1155" s="2" t="s">
        <v>7</v>
      </c>
      <c r="C1155" s="2" t="s">
        <v>8</v>
      </c>
      <c r="D1155" s="2" t="s">
        <v>9</v>
      </c>
      <c r="E1155" s="2" t="s">
        <v>10</v>
      </c>
      <c r="F1155" s="2" t="s">
        <v>11</v>
      </c>
      <c r="G1155" s="2" t="s">
        <v>12</v>
      </c>
      <c r="H1155" s="2" t="s">
        <v>13</v>
      </c>
      <c r="I1155" s="2" t="s">
        <v>14</v>
      </c>
      <c r="J1155" s="2" t="s">
        <v>15</v>
      </c>
      <c r="K1155" s="2" t="s">
        <v>16</v>
      </c>
      <c r="L1155" s="2" t="s">
        <v>17</v>
      </c>
    </row>
    <row r="1156" spans="1:12" x14ac:dyDescent="0.25">
      <c r="A1156" s="3">
        <v>45707.284317129626</v>
      </c>
      <c r="B1156" t="s">
        <v>93</v>
      </c>
      <c r="C1156" s="3">
        <v>45707.553159722222</v>
      </c>
      <c r="D1156" t="s">
        <v>441</v>
      </c>
      <c r="E1156" s="4">
        <v>110.515</v>
      </c>
      <c r="F1156" s="4">
        <v>401399.73300000001</v>
      </c>
      <c r="G1156" s="4">
        <v>401510.24800000002</v>
      </c>
      <c r="H1156" s="5">
        <f>8063 / 86400</f>
        <v>9.3321759259259257E-2</v>
      </c>
      <c r="I1156" t="s">
        <v>78</v>
      </c>
      <c r="J1156" t="s">
        <v>37</v>
      </c>
      <c r="K1156" s="5">
        <f>23227 / 86400</f>
        <v>0.26883101851851854</v>
      </c>
      <c r="L1156" s="5">
        <f>25527 / 86400</f>
        <v>0.29545138888888889</v>
      </c>
    </row>
    <row r="1157" spans="1:12" x14ac:dyDescent="0.25">
      <c r="A1157" s="3">
        <v>45707.564293981486</v>
      </c>
      <c r="B1157" t="s">
        <v>441</v>
      </c>
      <c r="C1157" s="3">
        <v>45707.66810185185</v>
      </c>
      <c r="D1157" t="s">
        <v>442</v>
      </c>
      <c r="E1157" s="4">
        <v>54.93</v>
      </c>
      <c r="F1157" s="4">
        <v>401510.24800000002</v>
      </c>
      <c r="G1157" s="4">
        <v>401565.17800000001</v>
      </c>
      <c r="H1157" s="5">
        <f>2980 / 86400</f>
        <v>3.4490740740740738E-2</v>
      </c>
      <c r="I1157" t="s">
        <v>61</v>
      </c>
      <c r="J1157" t="s">
        <v>129</v>
      </c>
      <c r="K1157" s="5">
        <f>8969 / 86400</f>
        <v>0.10380787037037037</v>
      </c>
      <c r="L1157" s="5">
        <f>1 / 86400</f>
        <v>1.1574074074074073E-5</v>
      </c>
    </row>
    <row r="1158" spans="1:12" x14ac:dyDescent="0.25">
      <c r="A1158" s="3">
        <v>45707.668113425927</v>
      </c>
      <c r="B1158" t="s">
        <v>442</v>
      </c>
      <c r="C1158" s="3">
        <v>45707.668807870374</v>
      </c>
      <c r="D1158" t="s">
        <v>442</v>
      </c>
      <c r="E1158" s="4">
        <v>6.3E-2</v>
      </c>
      <c r="F1158" s="4">
        <v>401565.18</v>
      </c>
      <c r="G1158" s="4">
        <v>401565.24300000002</v>
      </c>
      <c r="H1158" s="5">
        <f>27 / 86400</f>
        <v>3.1250000000000001E-4</v>
      </c>
      <c r="I1158" t="s">
        <v>85</v>
      </c>
      <c r="J1158" t="s">
        <v>58</v>
      </c>
      <c r="K1158" s="5">
        <f>60 / 86400</f>
        <v>6.9444444444444447E-4</v>
      </c>
      <c r="L1158" s="5">
        <f>2151 / 86400</f>
        <v>2.4895833333333332E-2</v>
      </c>
    </row>
    <row r="1159" spans="1:12" x14ac:dyDescent="0.25">
      <c r="A1159" s="3">
        <v>45707.693703703699</v>
      </c>
      <c r="B1159" t="s">
        <v>442</v>
      </c>
      <c r="C1159" s="3">
        <v>45707.693738425922</v>
      </c>
      <c r="D1159" t="s">
        <v>442</v>
      </c>
      <c r="E1159" s="4">
        <v>0</v>
      </c>
      <c r="F1159" s="4">
        <v>401565.24300000002</v>
      </c>
      <c r="G1159" s="4">
        <v>401565.24300000002</v>
      </c>
      <c r="H1159" s="5">
        <f>0 / 86400</f>
        <v>0</v>
      </c>
      <c r="I1159" t="s">
        <v>72</v>
      </c>
      <c r="J1159" t="s">
        <v>72</v>
      </c>
      <c r="K1159" s="5">
        <f>2 / 86400</f>
        <v>2.3148148148148147E-5</v>
      </c>
      <c r="L1159" s="5">
        <f>7473 / 86400</f>
        <v>8.6493055555555559E-2</v>
      </c>
    </row>
    <row r="1160" spans="1:12" x14ac:dyDescent="0.25">
      <c r="A1160" s="3">
        <v>45707.780231481476</v>
      </c>
      <c r="B1160" t="s">
        <v>443</v>
      </c>
      <c r="C1160" s="3">
        <v>45707.780578703707</v>
      </c>
      <c r="D1160" t="s">
        <v>442</v>
      </c>
      <c r="E1160" s="4">
        <v>0</v>
      </c>
      <c r="F1160" s="4">
        <v>401565.24300000002</v>
      </c>
      <c r="G1160" s="4">
        <v>401565.24300000002</v>
      </c>
      <c r="H1160" s="5">
        <f>19 / 86400</f>
        <v>2.199074074074074E-4</v>
      </c>
      <c r="I1160" t="s">
        <v>72</v>
      </c>
      <c r="J1160" t="s">
        <v>72</v>
      </c>
      <c r="K1160" s="5">
        <f>29 / 86400</f>
        <v>3.3564814814814812E-4</v>
      </c>
      <c r="L1160" s="5">
        <f>101 / 86400</f>
        <v>1.1689814814814816E-3</v>
      </c>
    </row>
    <row r="1161" spans="1:12" x14ac:dyDescent="0.25">
      <c r="A1161" s="3">
        <v>45707.781747685185</v>
      </c>
      <c r="B1161" t="s">
        <v>443</v>
      </c>
      <c r="C1161" s="3">
        <v>45707.782118055555</v>
      </c>
      <c r="D1161" t="s">
        <v>443</v>
      </c>
      <c r="E1161" s="4">
        <v>0</v>
      </c>
      <c r="F1161" s="4">
        <v>401565.24300000002</v>
      </c>
      <c r="G1161" s="4">
        <v>401565.24300000002</v>
      </c>
      <c r="H1161" s="5">
        <f>19 / 86400</f>
        <v>2.199074074074074E-4</v>
      </c>
      <c r="I1161" t="s">
        <v>72</v>
      </c>
      <c r="J1161" t="s">
        <v>72</v>
      </c>
      <c r="K1161" s="5">
        <f>32 / 86400</f>
        <v>3.7037037037037035E-4</v>
      </c>
      <c r="L1161" s="5">
        <f>105 / 86400</f>
        <v>1.2152777777777778E-3</v>
      </c>
    </row>
    <row r="1162" spans="1:12" x14ac:dyDescent="0.25">
      <c r="A1162" s="3">
        <v>45707.783333333333</v>
      </c>
      <c r="B1162" t="s">
        <v>443</v>
      </c>
      <c r="C1162" s="3">
        <v>45707.783402777779</v>
      </c>
      <c r="D1162" t="s">
        <v>443</v>
      </c>
      <c r="E1162" s="4">
        <v>0</v>
      </c>
      <c r="F1162" s="4">
        <v>401565.24300000002</v>
      </c>
      <c r="G1162" s="4">
        <v>401565.24300000002</v>
      </c>
      <c r="H1162" s="5">
        <f>0 / 86400</f>
        <v>0</v>
      </c>
      <c r="I1162" t="s">
        <v>72</v>
      </c>
      <c r="J1162" t="s">
        <v>72</v>
      </c>
      <c r="K1162" s="5">
        <f>6 / 86400</f>
        <v>6.9444444444444444E-5</v>
      </c>
      <c r="L1162" s="5">
        <f>529 / 86400</f>
        <v>6.122685185185185E-3</v>
      </c>
    </row>
    <row r="1163" spans="1:12" x14ac:dyDescent="0.25">
      <c r="A1163" s="3">
        <v>45707.789525462962</v>
      </c>
      <c r="B1163" t="s">
        <v>443</v>
      </c>
      <c r="C1163" s="3">
        <v>45707.789618055554</v>
      </c>
      <c r="D1163" t="s">
        <v>443</v>
      </c>
      <c r="E1163" s="4">
        <v>0</v>
      </c>
      <c r="F1163" s="4">
        <v>401565.24300000002</v>
      </c>
      <c r="G1163" s="4">
        <v>401565.24300000002</v>
      </c>
      <c r="H1163" s="5">
        <f>0 / 86400</f>
        <v>0</v>
      </c>
      <c r="I1163" t="s">
        <v>72</v>
      </c>
      <c r="J1163" t="s">
        <v>72</v>
      </c>
      <c r="K1163" s="5">
        <f>8 / 86400</f>
        <v>9.2592592592592588E-5</v>
      </c>
      <c r="L1163" s="5">
        <f>64 / 86400</f>
        <v>7.407407407407407E-4</v>
      </c>
    </row>
    <row r="1164" spans="1:12" x14ac:dyDescent="0.25">
      <c r="A1164" s="3">
        <v>45707.790358796294</v>
      </c>
      <c r="B1164" t="s">
        <v>443</v>
      </c>
      <c r="C1164" s="3">
        <v>45707.79041666667</v>
      </c>
      <c r="D1164" t="s">
        <v>443</v>
      </c>
      <c r="E1164" s="4">
        <v>0</v>
      </c>
      <c r="F1164" s="4">
        <v>401565.24300000002</v>
      </c>
      <c r="G1164" s="4">
        <v>401565.24300000002</v>
      </c>
      <c r="H1164" s="5">
        <f>0 / 86400</f>
        <v>0</v>
      </c>
      <c r="I1164" t="s">
        <v>72</v>
      </c>
      <c r="J1164" t="s">
        <v>72</v>
      </c>
      <c r="K1164" s="5">
        <f>5 / 86400</f>
        <v>5.7870370370370373E-5</v>
      </c>
      <c r="L1164" s="5">
        <f>1255 / 86400</f>
        <v>1.4525462962962962E-2</v>
      </c>
    </row>
    <row r="1165" spans="1:12" x14ac:dyDescent="0.25">
      <c r="A1165" s="3">
        <v>45707.804942129631</v>
      </c>
      <c r="B1165" t="s">
        <v>443</v>
      </c>
      <c r="C1165" s="3">
        <v>45707.805011574077</v>
      </c>
      <c r="D1165" t="s">
        <v>443</v>
      </c>
      <c r="E1165" s="4">
        <v>0</v>
      </c>
      <c r="F1165" s="4">
        <v>401565.24300000002</v>
      </c>
      <c r="G1165" s="4">
        <v>401565.24300000002</v>
      </c>
      <c r="H1165" s="5">
        <f>0 / 86400</f>
        <v>0</v>
      </c>
      <c r="I1165" t="s">
        <v>72</v>
      </c>
      <c r="J1165" t="s">
        <v>72</v>
      </c>
      <c r="K1165" s="5">
        <f>6 / 86400</f>
        <v>6.9444444444444444E-5</v>
      </c>
      <c r="L1165" s="5">
        <f>1266 / 86400</f>
        <v>1.4652777777777778E-2</v>
      </c>
    </row>
    <row r="1166" spans="1:12" x14ac:dyDescent="0.25">
      <c r="A1166" s="3">
        <v>45707.819664351853</v>
      </c>
      <c r="B1166" t="s">
        <v>444</v>
      </c>
      <c r="C1166" s="3">
        <v>45707.819745370369</v>
      </c>
      <c r="D1166" t="s">
        <v>444</v>
      </c>
      <c r="E1166" s="4">
        <v>0</v>
      </c>
      <c r="F1166" s="4">
        <v>401565.24300000002</v>
      </c>
      <c r="G1166" s="4">
        <v>401565.24300000002</v>
      </c>
      <c r="H1166" s="5">
        <f>0 / 86400</f>
        <v>0</v>
      </c>
      <c r="I1166" t="s">
        <v>72</v>
      </c>
      <c r="J1166" t="s">
        <v>72</v>
      </c>
      <c r="K1166" s="5">
        <f>7 / 86400</f>
        <v>8.1018518518518516E-5</v>
      </c>
      <c r="L1166" s="5">
        <f>1146 / 86400</f>
        <v>1.3263888888888889E-2</v>
      </c>
    </row>
    <row r="1167" spans="1:12" x14ac:dyDescent="0.25">
      <c r="A1167" s="3">
        <v>45707.833009259259</v>
      </c>
      <c r="B1167" t="s">
        <v>444</v>
      </c>
      <c r="C1167" s="3">
        <v>45707.833287037036</v>
      </c>
      <c r="D1167" t="s">
        <v>444</v>
      </c>
      <c r="E1167" s="4">
        <v>0</v>
      </c>
      <c r="F1167" s="4">
        <v>401565.24300000002</v>
      </c>
      <c r="G1167" s="4">
        <v>401565.24300000002</v>
      </c>
      <c r="H1167" s="5">
        <f>19 / 86400</f>
        <v>2.199074074074074E-4</v>
      </c>
      <c r="I1167" t="s">
        <v>72</v>
      </c>
      <c r="J1167" t="s">
        <v>72</v>
      </c>
      <c r="K1167" s="5">
        <f>24 / 86400</f>
        <v>2.7777777777777778E-4</v>
      </c>
      <c r="L1167" s="5">
        <f>1193 / 86400</f>
        <v>1.380787037037037E-2</v>
      </c>
    </row>
    <row r="1168" spans="1:12" x14ac:dyDescent="0.25">
      <c r="A1168" s="3">
        <v>45707.847094907411</v>
      </c>
      <c r="B1168" t="s">
        <v>444</v>
      </c>
      <c r="C1168" s="3">
        <v>45707.847222222219</v>
      </c>
      <c r="D1168" t="s">
        <v>444</v>
      </c>
      <c r="E1168" s="4">
        <v>0</v>
      </c>
      <c r="F1168" s="4">
        <v>401565.24300000002</v>
      </c>
      <c r="G1168" s="4">
        <v>401565.24300000002</v>
      </c>
      <c r="H1168" s="5">
        <f>0 / 86400</f>
        <v>0</v>
      </c>
      <c r="I1168" t="s">
        <v>127</v>
      </c>
      <c r="J1168" t="s">
        <v>72</v>
      </c>
      <c r="K1168" s="5">
        <f>11 / 86400</f>
        <v>1.273148148148148E-4</v>
      </c>
      <c r="L1168" s="5">
        <f>195 / 86400</f>
        <v>2.2569444444444442E-3</v>
      </c>
    </row>
    <row r="1169" spans="1:12" x14ac:dyDescent="0.25">
      <c r="A1169" s="3">
        <v>45707.849479166667</v>
      </c>
      <c r="B1169" t="s">
        <v>444</v>
      </c>
      <c r="C1169" s="3">
        <v>45707.849525462967</v>
      </c>
      <c r="D1169" t="s">
        <v>444</v>
      </c>
      <c r="E1169" s="4">
        <v>0</v>
      </c>
      <c r="F1169" s="4">
        <v>401565.24300000002</v>
      </c>
      <c r="G1169" s="4">
        <v>401565.24300000002</v>
      </c>
      <c r="H1169" s="5">
        <f>0 / 86400</f>
        <v>0</v>
      </c>
      <c r="I1169" t="s">
        <v>72</v>
      </c>
      <c r="J1169" t="s">
        <v>72</v>
      </c>
      <c r="K1169" s="5">
        <f>4 / 86400</f>
        <v>4.6296296296296294E-5</v>
      </c>
      <c r="L1169" s="5">
        <f>3 / 86400</f>
        <v>3.4722222222222222E-5</v>
      </c>
    </row>
    <row r="1170" spans="1:12" x14ac:dyDescent="0.25">
      <c r="A1170" s="3">
        <v>45707.84956018519</v>
      </c>
      <c r="B1170" t="s">
        <v>444</v>
      </c>
      <c r="C1170" s="3">
        <v>45707.849652777775</v>
      </c>
      <c r="D1170" t="s">
        <v>444</v>
      </c>
      <c r="E1170" s="4">
        <v>1E-3</v>
      </c>
      <c r="F1170" s="4">
        <v>401565.24300000002</v>
      </c>
      <c r="G1170" s="4">
        <v>401565.24400000001</v>
      </c>
      <c r="H1170" s="5">
        <f>0 / 86400</f>
        <v>0</v>
      </c>
      <c r="I1170" t="s">
        <v>72</v>
      </c>
      <c r="J1170" t="s">
        <v>72</v>
      </c>
      <c r="K1170" s="5">
        <f>8 / 86400</f>
        <v>9.2592592592592588E-5</v>
      </c>
      <c r="L1170" s="5">
        <f>98 / 86400</f>
        <v>1.1342592592592593E-3</v>
      </c>
    </row>
    <row r="1171" spans="1:12" x14ac:dyDescent="0.25">
      <c r="A1171" s="3">
        <v>45707.850787037038</v>
      </c>
      <c r="B1171" t="s">
        <v>444</v>
      </c>
      <c r="C1171" s="3">
        <v>45707.8512962963</v>
      </c>
      <c r="D1171" t="s">
        <v>94</v>
      </c>
      <c r="E1171" s="4">
        <v>0</v>
      </c>
      <c r="F1171" s="4">
        <v>401565.24400000001</v>
      </c>
      <c r="G1171" s="4">
        <v>401565.24400000001</v>
      </c>
      <c r="H1171" s="5">
        <f>39 / 86400</f>
        <v>4.5138888888888887E-4</v>
      </c>
      <c r="I1171" t="s">
        <v>72</v>
      </c>
      <c r="J1171" t="s">
        <v>72</v>
      </c>
      <c r="K1171" s="5">
        <f>44 / 86400</f>
        <v>5.0925925925925921E-4</v>
      </c>
      <c r="L1171" s="5">
        <f>1 / 86400</f>
        <v>1.1574074074074073E-5</v>
      </c>
    </row>
    <row r="1172" spans="1:12" x14ac:dyDescent="0.25">
      <c r="A1172" s="3">
        <v>45707.851307870369</v>
      </c>
      <c r="B1172" t="s">
        <v>94</v>
      </c>
      <c r="C1172" s="3">
        <v>45707.851458333331</v>
      </c>
      <c r="D1172" t="s">
        <v>94</v>
      </c>
      <c r="E1172" s="4">
        <v>0</v>
      </c>
      <c r="F1172" s="4">
        <v>401565.24400000001</v>
      </c>
      <c r="G1172" s="4">
        <v>401565.24400000001</v>
      </c>
      <c r="H1172" s="5">
        <f>0 / 86400</f>
        <v>0</v>
      </c>
      <c r="I1172" t="s">
        <v>72</v>
      </c>
      <c r="J1172" t="s">
        <v>72</v>
      </c>
      <c r="K1172" s="5">
        <f>13 / 86400</f>
        <v>1.5046296296296297E-4</v>
      </c>
      <c r="L1172" s="5">
        <f>46 / 86400</f>
        <v>5.3240740740740744E-4</v>
      </c>
    </row>
    <row r="1173" spans="1:12" x14ac:dyDescent="0.25">
      <c r="A1173" s="3">
        <v>45707.851990740739</v>
      </c>
      <c r="B1173" t="s">
        <v>444</v>
      </c>
      <c r="C1173" s="3">
        <v>45707.852395833332</v>
      </c>
      <c r="D1173" t="s">
        <v>444</v>
      </c>
      <c r="E1173" s="4">
        <v>0</v>
      </c>
      <c r="F1173" s="4">
        <v>401565.24400000001</v>
      </c>
      <c r="G1173" s="4">
        <v>401565.24400000001</v>
      </c>
      <c r="H1173" s="5">
        <f>19 / 86400</f>
        <v>2.199074074074074E-4</v>
      </c>
      <c r="I1173" t="s">
        <v>72</v>
      </c>
      <c r="J1173" t="s">
        <v>72</v>
      </c>
      <c r="K1173" s="5">
        <f>34 / 86400</f>
        <v>3.9351851851851852E-4</v>
      </c>
      <c r="L1173" s="5">
        <f>67 / 86400</f>
        <v>7.7546296296296293E-4</v>
      </c>
    </row>
    <row r="1174" spans="1:12" x14ac:dyDescent="0.25">
      <c r="A1174" s="3">
        <v>45707.853171296301</v>
      </c>
      <c r="B1174" t="s">
        <v>444</v>
      </c>
      <c r="C1174" s="3">
        <v>45707.885381944448</v>
      </c>
      <c r="D1174" t="s">
        <v>445</v>
      </c>
      <c r="E1174" s="4">
        <v>6.7000000000000004E-2</v>
      </c>
      <c r="F1174" s="4">
        <v>401565.24400000001</v>
      </c>
      <c r="G1174" s="4">
        <v>401565.31099999999</v>
      </c>
      <c r="H1174" s="5">
        <f>2759 / 86400</f>
        <v>3.1932870370370368E-2</v>
      </c>
      <c r="I1174" t="s">
        <v>134</v>
      </c>
      <c r="J1174" t="s">
        <v>72</v>
      </c>
      <c r="K1174" s="5">
        <f>2783 / 86400</f>
        <v>3.2210648148148148E-2</v>
      </c>
      <c r="L1174" s="5">
        <f>101 / 86400</f>
        <v>1.1689814814814816E-3</v>
      </c>
    </row>
    <row r="1175" spans="1:12" x14ac:dyDescent="0.25">
      <c r="A1175" s="3">
        <v>45707.886550925927</v>
      </c>
      <c r="B1175" t="s">
        <v>445</v>
      </c>
      <c r="C1175" s="3">
        <v>45707.88658564815</v>
      </c>
      <c r="D1175" t="s">
        <v>445</v>
      </c>
      <c r="E1175" s="4">
        <v>0</v>
      </c>
      <c r="F1175" s="4">
        <v>401565.31099999999</v>
      </c>
      <c r="G1175" s="4">
        <v>401565.31099999999</v>
      </c>
      <c r="H1175" s="5">
        <f>0 / 86400</f>
        <v>0</v>
      </c>
      <c r="I1175" t="s">
        <v>127</v>
      </c>
      <c r="J1175" t="s">
        <v>72</v>
      </c>
      <c r="K1175" s="5">
        <f>3 / 86400</f>
        <v>3.4722222222222222E-5</v>
      </c>
      <c r="L1175" s="5">
        <f>57 / 86400</f>
        <v>6.5972222222222224E-4</v>
      </c>
    </row>
    <row r="1176" spans="1:12" x14ac:dyDescent="0.25">
      <c r="A1176" s="3">
        <v>45707.887245370366</v>
      </c>
      <c r="B1176" t="s">
        <v>445</v>
      </c>
      <c r="C1176" s="3">
        <v>45707.887372685189</v>
      </c>
      <c r="D1176" t="s">
        <v>445</v>
      </c>
      <c r="E1176" s="4">
        <v>0</v>
      </c>
      <c r="F1176" s="4">
        <v>401565.31099999999</v>
      </c>
      <c r="G1176" s="4">
        <v>401565.31099999999</v>
      </c>
      <c r="H1176" s="5">
        <f>0 / 86400</f>
        <v>0</v>
      </c>
      <c r="I1176" t="s">
        <v>72</v>
      </c>
      <c r="J1176" t="s">
        <v>72</v>
      </c>
      <c r="K1176" s="5">
        <f>10 / 86400</f>
        <v>1.1574074074074075E-4</v>
      </c>
      <c r="L1176" s="5">
        <f>1 / 86400</f>
        <v>1.1574074074074073E-5</v>
      </c>
    </row>
    <row r="1177" spans="1:12" x14ac:dyDescent="0.25">
      <c r="A1177" s="3">
        <v>45707.887384259258</v>
      </c>
      <c r="B1177" t="s">
        <v>445</v>
      </c>
      <c r="C1177" s="3">
        <v>45707.88753472222</v>
      </c>
      <c r="D1177" t="s">
        <v>445</v>
      </c>
      <c r="E1177" s="4">
        <v>0</v>
      </c>
      <c r="F1177" s="4">
        <v>401565.31099999999</v>
      </c>
      <c r="G1177" s="4">
        <v>401565.31099999999</v>
      </c>
      <c r="H1177" s="5">
        <f>8 / 86400</f>
        <v>9.2592592592592588E-5</v>
      </c>
      <c r="I1177" t="s">
        <v>136</v>
      </c>
      <c r="J1177" t="s">
        <v>72</v>
      </c>
      <c r="K1177" s="5">
        <f>13 / 86400</f>
        <v>1.5046296296296297E-4</v>
      </c>
      <c r="L1177" s="5">
        <f>2 / 86400</f>
        <v>2.3148148148148147E-5</v>
      </c>
    </row>
    <row r="1178" spans="1:12" x14ac:dyDescent="0.25">
      <c r="A1178" s="3">
        <v>45707.887557870374</v>
      </c>
      <c r="B1178" t="s">
        <v>445</v>
      </c>
      <c r="C1178" s="3">
        <v>45707.889699074076</v>
      </c>
      <c r="D1178" t="s">
        <v>445</v>
      </c>
      <c r="E1178" s="4">
        <v>1.4999999999999999E-2</v>
      </c>
      <c r="F1178" s="4">
        <v>401565.31099999999</v>
      </c>
      <c r="G1178" s="4">
        <v>401565.326</v>
      </c>
      <c r="H1178" s="5">
        <f>173 / 86400</f>
        <v>2.0023148148148148E-3</v>
      </c>
      <c r="I1178" t="s">
        <v>72</v>
      </c>
      <c r="J1178" t="s">
        <v>72</v>
      </c>
      <c r="K1178" s="5">
        <f>185 / 86400</f>
        <v>2.1412037037037038E-3</v>
      </c>
      <c r="L1178" s="5">
        <f>489 / 86400</f>
        <v>5.6597222222222222E-3</v>
      </c>
    </row>
    <row r="1179" spans="1:12" x14ac:dyDescent="0.25">
      <c r="A1179" s="3">
        <v>45707.895358796297</v>
      </c>
      <c r="B1179" t="s">
        <v>94</v>
      </c>
      <c r="C1179" s="3">
        <v>45707.895729166667</v>
      </c>
      <c r="D1179" t="s">
        <v>94</v>
      </c>
      <c r="E1179" s="4">
        <v>0</v>
      </c>
      <c r="F1179" s="4">
        <v>401565.326</v>
      </c>
      <c r="G1179" s="4">
        <v>401565.326</v>
      </c>
      <c r="H1179" s="5">
        <f>19 / 86400</f>
        <v>2.199074074074074E-4</v>
      </c>
      <c r="I1179" t="s">
        <v>72</v>
      </c>
      <c r="J1179" t="s">
        <v>72</v>
      </c>
      <c r="K1179" s="5">
        <f>32 / 86400</f>
        <v>3.7037037037037035E-4</v>
      </c>
      <c r="L1179" s="5">
        <f>99 / 86400</f>
        <v>1.1458333333333333E-3</v>
      </c>
    </row>
    <row r="1180" spans="1:12" x14ac:dyDescent="0.25">
      <c r="A1180" s="3">
        <v>45707.896874999999</v>
      </c>
      <c r="B1180" t="s">
        <v>445</v>
      </c>
      <c r="C1180" s="3">
        <v>45707.897141203706</v>
      </c>
      <c r="D1180" t="s">
        <v>445</v>
      </c>
      <c r="E1180" s="4">
        <v>0</v>
      </c>
      <c r="F1180" s="4">
        <v>401565.326</v>
      </c>
      <c r="G1180" s="4">
        <v>401565.326</v>
      </c>
      <c r="H1180" s="5">
        <f>19 / 86400</f>
        <v>2.199074074074074E-4</v>
      </c>
      <c r="I1180" t="s">
        <v>72</v>
      </c>
      <c r="J1180" t="s">
        <v>72</v>
      </c>
      <c r="K1180" s="5">
        <f>23 / 86400</f>
        <v>2.6620370370370372E-4</v>
      </c>
      <c r="L1180" s="5">
        <f>618 / 86400</f>
        <v>7.1527777777777779E-3</v>
      </c>
    </row>
    <row r="1181" spans="1:12" x14ac:dyDescent="0.25">
      <c r="A1181" s="3">
        <v>45707.904293981483</v>
      </c>
      <c r="B1181" t="s">
        <v>444</v>
      </c>
      <c r="C1181" s="3">
        <v>45707.904363425929</v>
      </c>
      <c r="D1181" t="s">
        <v>444</v>
      </c>
      <c r="E1181" s="4">
        <v>0</v>
      </c>
      <c r="F1181" s="4">
        <v>401565.326</v>
      </c>
      <c r="G1181" s="4">
        <v>401565.326</v>
      </c>
      <c r="H1181" s="5">
        <f>0 / 86400</f>
        <v>0</v>
      </c>
      <c r="I1181" t="s">
        <v>72</v>
      </c>
      <c r="J1181" t="s">
        <v>72</v>
      </c>
      <c r="K1181" s="5">
        <f>5 / 86400</f>
        <v>5.7870370370370373E-5</v>
      </c>
      <c r="L1181" s="5">
        <f>80 / 86400</f>
        <v>9.2592592592592596E-4</v>
      </c>
    </row>
    <row r="1182" spans="1:12" x14ac:dyDescent="0.25">
      <c r="A1182" s="3">
        <v>45707.905289351853</v>
      </c>
      <c r="B1182" t="s">
        <v>94</v>
      </c>
      <c r="C1182" s="3">
        <v>45707.905486111107</v>
      </c>
      <c r="D1182" t="s">
        <v>94</v>
      </c>
      <c r="E1182" s="4">
        <v>0</v>
      </c>
      <c r="F1182" s="4">
        <v>401565.326</v>
      </c>
      <c r="G1182" s="4">
        <v>401565.326</v>
      </c>
      <c r="H1182" s="5">
        <f>0 / 86400</f>
        <v>0</v>
      </c>
      <c r="I1182" t="s">
        <v>72</v>
      </c>
      <c r="J1182" t="s">
        <v>72</v>
      </c>
      <c r="K1182" s="5">
        <f>16 / 86400</f>
        <v>1.8518518518518518E-4</v>
      </c>
      <c r="L1182" s="5">
        <f>52 / 86400</f>
        <v>6.018518518518519E-4</v>
      </c>
    </row>
    <row r="1183" spans="1:12" x14ac:dyDescent="0.25">
      <c r="A1183" s="3">
        <v>45707.906087962961</v>
      </c>
      <c r="B1183" t="s">
        <v>445</v>
      </c>
      <c r="C1183" s="3">
        <v>45707.906157407408</v>
      </c>
      <c r="D1183" t="s">
        <v>445</v>
      </c>
      <c r="E1183" s="4">
        <v>0</v>
      </c>
      <c r="F1183" s="4">
        <v>401565.326</v>
      </c>
      <c r="G1183" s="4">
        <v>401565.326</v>
      </c>
      <c r="H1183" s="5">
        <f>0 / 86400</f>
        <v>0</v>
      </c>
      <c r="I1183" t="s">
        <v>72</v>
      </c>
      <c r="J1183" t="s">
        <v>72</v>
      </c>
      <c r="K1183" s="5">
        <f>6 / 86400</f>
        <v>6.9444444444444444E-5</v>
      </c>
      <c r="L1183" s="5">
        <f>57 / 86400</f>
        <v>6.5972222222222224E-4</v>
      </c>
    </row>
    <row r="1184" spans="1:12" x14ac:dyDescent="0.25">
      <c r="A1184" s="3">
        <v>45707.906817129631</v>
      </c>
      <c r="B1184" t="s">
        <v>94</v>
      </c>
      <c r="C1184" s="3">
        <v>45707.90688657407</v>
      </c>
      <c r="D1184" t="s">
        <v>94</v>
      </c>
      <c r="E1184" s="4">
        <v>0</v>
      </c>
      <c r="F1184" s="4">
        <v>401565.326</v>
      </c>
      <c r="G1184" s="4">
        <v>401565.326</v>
      </c>
      <c r="H1184" s="5">
        <f>0 / 86400</f>
        <v>0</v>
      </c>
      <c r="I1184" t="s">
        <v>72</v>
      </c>
      <c r="J1184" t="s">
        <v>72</v>
      </c>
      <c r="K1184" s="5">
        <f>6 / 86400</f>
        <v>6.9444444444444444E-5</v>
      </c>
      <c r="L1184" s="5">
        <f>8044 / 86400</f>
        <v>9.3101851851851852E-2</v>
      </c>
    </row>
    <row r="1185" spans="1:12" x14ac:dyDescent="0.25">
      <c r="A1185" s="12"/>
      <c r="B1185" s="12"/>
      <c r="C1185" s="12"/>
      <c r="D1185" s="12"/>
      <c r="E1185" s="12"/>
      <c r="F1185" s="12"/>
      <c r="G1185" s="12"/>
      <c r="H1185" s="12"/>
      <c r="I1185" s="12"/>
      <c r="J1185" s="12"/>
    </row>
    <row r="1186" spans="1:12" x14ac:dyDescent="0.25">
      <c r="A1186" s="12"/>
      <c r="B1186" s="12"/>
      <c r="C1186" s="12"/>
      <c r="D1186" s="12"/>
      <c r="E1186" s="12"/>
      <c r="F1186" s="12"/>
      <c r="G1186" s="12"/>
      <c r="H1186" s="12"/>
      <c r="I1186" s="12"/>
      <c r="J1186" s="12"/>
    </row>
    <row r="1187" spans="1:12" s="10" customFormat="1" ht="20.100000000000001" customHeight="1" x14ac:dyDescent="0.35">
      <c r="A1187" s="15" t="s">
        <v>507</v>
      </c>
      <c r="B1187" s="15"/>
      <c r="C1187" s="15"/>
      <c r="D1187" s="15"/>
      <c r="E1187" s="15"/>
      <c r="F1187" s="15"/>
      <c r="G1187" s="15"/>
      <c r="H1187" s="15"/>
      <c r="I1187" s="15"/>
      <c r="J1187" s="15"/>
    </row>
    <row r="1188" spans="1:12" x14ac:dyDescent="0.25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</row>
    <row r="1189" spans="1:12" ht="30" x14ac:dyDescent="0.25">
      <c r="A1189" s="2" t="s">
        <v>6</v>
      </c>
      <c r="B1189" s="2" t="s">
        <v>7</v>
      </c>
      <c r="C1189" s="2" t="s">
        <v>8</v>
      </c>
      <c r="D1189" s="2" t="s">
        <v>9</v>
      </c>
      <c r="E1189" s="2" t="s">
        <v>10</v>
      </c>
      <c r="F1189" s="2" t="s">
        <v>11</v>
      </c>
      <c r="G1189" s="2" t="s">
        <v>12</v>
      </c>
      <c r="H1189" s="2" t="s">
        <v>13</v>
      </c>
      <c r="I1189" s="2" t="s">
        <v>14</v>
      </c>
      <c r="J1189" s="2" t="s">
        <v>15</v>
      </c>
      <c r="K1189" s="2" t="s">
        <v>16</v>
      </c>
      <c r="L1189" s="2" t="s">
        <v>17</v>
      </c>
    </row>
    <row r="1190" spans="1:12" x14ac:dyDescent="0.25">
      <c r="A1190" s="3">
        <v>45707.220555555556</v>
      </c>
      <c r="B1190" t="s">
        <v>28</v>
      </c>
      <c r="C1190" s="3">
        <v>45707.22655092593</v>
      </c>
      <c r="D1190" t="s">
        <v>79</v>
      </c>
      <c r="E1190" s="4">
        <v>2.5329999999999999</v>
      </c>
      <c r="F1190" s="4">
        <v>383111.22</v>
      </c>
      <c r="G1190" s="4">
        <v>383113.75300000003</v>
      </c>
      <c r="H1190" s="5">
        <f>99 / 86400</f>
        <v>1.1458333333333333E-3</v>
      </c>
      <c r="I1190" t="s">
        <v>177</v>
      </c>
      <c r="J1190" t="s">
        <v>27</v>
      </c>
      <c r="K1190" s="5">
        <f>518 / 86400</f>
        <v>5.9953703703703705E-3</v>
      </c>
      <c r="L1190" s="5">
        <f>19473 / 86400</f>
        <v>0.22538194444444445</v>
      </c>
    </row>
    <row r="1191" spans="1:12" x14ac:dyDescent="0.25">
      <c r="A1191" s="3">
        <v>45707.23137731482</v>
      </c>
      <c r="B1191" t="s">
        <v>79</v>
      </c>
      <c r="C1191" s="3">
        <v>45707.450798611113</v>
      </c>
      <c r="D1191" t="s">
        <v>401</v>
      </c>
      <c r="E1191" s="4">
        <v>94.617999999999995</v>
      </c>
      <c r="F1191" s="4">
        <v>383113.75300000003</v>
      </c>
      <c r="G1191" s="4">
        <v>383208.37099999998</v>
      </c>
      <c r="H1191" s="5">
        <f>5960 / 86400</f>
        <v>6.8981481481481477E-2</v>
      </c>
      <c r="I1191" t="s">
        <v>382</v>
      </c>
      <c r="J1191" t="s">
        <v>27</v>
      </c>
      <c r="K1191" s="5">
        <f>18958 / 86400</f>
        <v>0.21942129629629631</v>
      </c>
      <c r="L1191" s="5">
        <f>407 / 86400</f>
        <v>4.7106481481481478E-3</v>
      </c>
    </row>
    <row r="1192" spans="1:12" x14ac:dyDescent="0.25">
      <c r="A1192" s="3">
        <v>45707.455509259264</v>
      </c>
      <c r="B1192" t="s">
        <v>401</v>
      </c>
      <c r="C1192" s="3">
        <v>45707.457870370374</v>
      </c>
      <c r="D1192" t="s">
        <v>121</v>
      </c>
      <c r="E1192" s="4">
        <v>0.39900000000000002</v>
      </c>
      <c r="F1192" s="4">
        <v>383208.37099999998</v>
      </c>
      <c r="G1192" s="4">
        <v>383208.77</v>
      </c>
      <c r="H1192" s="5">
        <f>19 / 86400</f>
        <v>2.199074074074074E-4</v>
      </c>
      <c r="I1192" t="s">
        <v>46</v>
      </c>
      <c r="J1192" t="s">
        <v>85</v>
      </c>
      <c r="K1192" s="5">
        <f>203 / 86400</f>
        <v>2.3495370370370371E-3</v>
      </c>
      <c r="L1192" s="5">
        <f>105 / 86400</f>
        <v>1.2152777777777778E-3</v>
      </c>
    </row>
    <row r="1193" spans="1:12" x14ac:dyDescent="0.25">
      <c r="A1193" s="3">
        <v>45707.459085648152</v>
      </c>
      <c r="B1193" t="s">
        <v>121</v>
      </c>
      <c r="C1193" s="3">
        <v>45707.468159722222</v>
      </c>
      <c r="D1193" t="s">
        <v>95</v>
      </c>
      <c r="E1193" s="4">
        <v>1.9630000000000001</v>
      </c>
      <c r="F1193" s="4">
        <v>383208.77</v>
      </c>
      <c r="G1193" s="4">
        <v>383210.73300000001</v>
      </c>
      <c r="H1193" s="5">
        <f>120 / 86400</f>
        <v>1.3888888888888889E-3</v>
      </c>
      <c r="I1193" t="s">
        <v>202</v>
      </c>
      <c r="J1193" t="s">
        <v>132</v>
      </c>
      <c r="K1193" s="5">
        <f>784 / 86400</f>
        <v>9.0740740740740747E-3</v>
      </c>
      <c r="L1193" s="5">
        <f>52 / 86400</f>
        <v>6.018518518518519E-4</v>
      </c>
    </row>
    <row r="1194" spans="1:12" x14ac:dyDescent="0.25">
      <c r="A1194" s="3">
        <v>45707.46876157407</v>
      </c>
      <c r="B1194" t="s">
        <v>95</v>
      </c>
      <c r="C1194" s="3">
        <v>45707.473645833335</v>
      </c>
      <c r="D1194" t="s">
        <v>120</v>
      </c>
      <c r="E1194" s="4">
        <v>0.67800000000000005</v>
      </c>
      <c r="F1194" s="4">
        <v>383210.73300000001</v>
      </c>
      <c r="G1194" s="4">
        <v>383211.41100000002</v>
      </c>
      <c r="H1194" s="5">
        <f>200 / 86400</f>
        <v>2.3148148148148147E-3</v>
      </c>
      <c r="I1194" t="s">
        <v>84</v>
      </c>
      <c r="J1194" t="s">
        <v>101</v>
      </c>
      <c r="K1194" s="5">
        <f>422 / 86400</f>
        <v>4.8842592592592592E-3</v>
      </c>
      <c r="L1194" s="5">
        <f>144 / 86400</f>
        <v>1.6666666666666668E-3</v>
      </c>
    </row>
    <row r="1195" spans="1:12" x14ac:dyDescent="0.25">
      <c r="A1195" s="3">
        <v>45707.475312499999</v>
      </c>
      <c r="B1195" t="s">
        <v>120</v>
      </c>
      <c r="C1195" s="3">
        <v>45707.477025462962</v>
      </c>
      <c r="D1195" t="s">
        <v>110</v>
      </c>
      <c r="E1195" s="4">
        <v>5.2999999999999999E-2</v>
      </c>
      <c r="F1195" s="4">
        <v>383211.41100000002</v>
      </c>
      <c r="G1195" s="4">
        <v>383211.46399999998</v>
      </c>
      <c r="H1195" s="5">
        <f>79 / 86400</f>
        <v>9.1435185185185185E-4</v>
      </c>
      <c r="I1195" t="s">
        <v>136</v>
      </c>
      <c r="J1195" t="s">
        <v>127</v>
      </c>
      <c r="K1195" s="5">
        <f>148 / 86400</f>
        <v>1.712962962962963E-3</v>
      </c>
      <c r="L1195" s="5">
        <f>1159 / 86400</f>
        <v>1.3414351851851853E-2</v>
      </c>
    </row>
    <row r="1196" spans="1:12" x14ac:dyDescent="0.25">
      <c r="A1196" s="3">
        <v>45707.490439814814</v>
      </c>
      <c r="B1196" t="s">
        <v>110</v>
      </c>
      <c r="C1196" s="3">
        <v>45707.624652777777</v>
      </c>
      <c r="D1196" t="s">
        <v>397</v>
      </c>
      <c r="E1196" s="4">
        <v>52.716000000000001</v>
      </c>
      <c r="F1196" s="4">
        <v>383211.46399999998</v>
      </c>
      <c r="G1196" s="4">
        <v>383264.18</v>
      </c>
      <c r="H1196" s="5">
        <f>3859 / 86400</f>
        <v>4.4664351851851851E-2</v>
      </c>
      <c r="I1196" t="s">
        <v>23</v>
      </c>
      <c r="J1196" t="s">
        <v>20</v>
      </c>
      <c r="K1196" s="5">
        <f>11596 / 86400</f>
        <v>0.13421296296296295</v>
      </c>
      <c r="L1196" s="5">
        <f>1176 / 86400</f>
        <v>1.361111111111111E-2</v>
      </c>
    </row>
    <row r="1197" spans="1:12" x14ac:dyDescent="0.25">
      <c r="A1197" s="3">
        <v>45707.63826388889</v>
      </c>
      <c r="B1197" t="s">
        <v>397</v>
      </c>
      <c r="C1197" s="3">
        <v>45707.797175925924</v>
      </c>
      <c r="D1197" t="s">
        <v>446</v>
      </c>
      <c r="E1197" s="4">
        <v>45.908000000000001</v>
      </c>
      <c r="F1197" s="4">
        <v>383264.18</v>
      </c>
      <c r="G1197" s="4">
        <v>383310.08799999999</v>
      </c>
      <c r="H1197" s="5">
        <f>6020 / 86400</f>
        <v>6.9675925925925933E-2</v>
      </c>
      <c r="I1197" t="s">
        <v>68</v>
      </c>
      <c r="J1197" t="s">
        <v>148</v>
      </c>
      <c r="K1197" s="5">
        <f>13729 / 86400</f>
        <v>0.15890046296296295</v>
      </c>
      <c r="L1197" s="5">
        <f>46 / 86400</f>
        <v>5.3240740740740744E-4</v>
      </c>
    </row>
    <row r="1198" spans="1:12" x14ac:dyDescent="0.25">
      <c r="A1198" s="3">
        <v>45707.797708333332</v>
      </c>
      <c r="B1198" t="s">
        <v>163</v>
      </c>
      <c r="C1198" s="3">
        <v>45707.836504629631</v>
      </c>
      <c r="D1198" t="s">
        <v>447</v>
      </c>
      <c r="E1198" s="4">
        <v>19.762</v>
      </c>
      <c r="F1198" s="4">
        <v>383310.08799999999</v>
      </c>
      <c r="G1198" s="4">
        <v>383329.85</v>
      </c>
      <c r="H1198" s="5">
        <f>1059 / 86400</f>
        <v>1.2256944444444445E-2</v>
      </c>
      <c r="I1198" t="s">
        <v>106</v>
      </c>
      <c r="J1198" t="s">
        <v>166</v>
      </c>
      <c r="K1198" s="5">
        <f>3351 / 86400</f>
        <v>3.878472222222222E-2</v>
      </c>
      <c r="L1198" s="5">
        <f>871 / 86400</f>
        <v>1.0081018518518519E-2</v>
      </c>
    </row>
    <row r="1199" spans="1:12" x14ac:dyDescent="0.25">
      <c r="A1199" s="3">
        <v>45707.846585648149</v>
      </c>
      <c r="B1199" t="s">
        <v>447</v>
      </c>
      <c r="C1199" s="3">
        <v>45707.850844907407</v>
      </c>
      <c r="D1199" t="s">
        <v>28</v>
      </c>
      <c r="E1199" s="4">
        <v>0.52500000000000002</v>
      </c>
      <c r="F1199" s="4">
        <v>383329.85</v>
      </c>
      <c r="G1199" s="4">
        <v>383330.375</v>
      </c>
      <c r="H1199" s="5">
        <f>140 / 86400</f>
        <v>1.6203703703703703E-3</v>
      </c>
      <c r="I1199" t="s">
        <v>148</v>
      </c>
      <c r="J1199" t="s">
        <v>134</v>
      </c>
      <c r="K1199" s="5">
        <f>367 / 86400</f>
        <v>4.2476851851851851E-3</v>
      </c>
      <c r="L1199" s="5">
        <f>12886 / 86400</f>
        <v>0.14914351851851851</v>
      </c>
    </row>
    <row r="1200" spans="1:12" x14ac:dyDescent="0.25">
      <c r="A1200" s="12"/>
      <c r="B1200" s="12"/>
      <c r="C1200" s="12"/>
      <c r="D1200" s="12"/>
      <c r="E1200" s="12"/>
      <c r="F1200" s="12"/>
      <c r="G1200" s="12"/>
      <c r="H1200" s="12"/>
      <c r="I1200" s="12"/>
      <c r="J1200" s="12"/>
    </row>
    <row r="1201" spans="1:12" x14ac:dyDescent="0.25">
      <c r="A1201" s="12"/>
      <c r="B1201" s="12"/>
      <c r="C1201" s="12"/>
      <c r="D1201" s="12"/>
      <c r="E1201" s="12"/>
      <c r="F1201" s="12"/>
      <c r="G1201" s="12"/>
      <c r="H1201" s="12"/>
      <c r="I1201" s="12"/>
      <c r="J1201" s="12"/>
    </row>
    <row r="1202" spans="1:12" s="10" customFormat="1" ht="20.100000000000001" customHeight="1" x14ac:dyDescent="0.35">
      <c r="A1202" s="15" t="s">
        <v>508</v>
      </c>
      <c r="B1202" s="15"/>
      <c r="C1202" s="15"/>
      <c r="D1202" s="15"/>
      <c r="E1202" s="15"/>
      <c r="F1202" s="15"/>
      <c r="G1202" s="15"/>
      <c r="H1202" s="15"/>
      <c r="I1202" s="15"/>
      <c r="J1202" s="15"/>
    </row>
    <row r="1203" spans="1:12" x14ac:dyDescent="0.25">
      <c r="A1203" s="12"/>
      <c r="B1203" s="12"/>
      <c r="C1203" s="12"/>
      <c r="D1203" s="12"/>
      <c r="E1203" s="12"/>
      <c r="F1203" s="12"/>
      <c r="G1203" s="12"/>
      <c r="H1203" s="12"/>
      <c r="I1203" s="12"/>
      <c r="J1203" s="12"/>
    </row>
    <row r="1204" spans="1:12" ht="30" x14ac:dyDescent="0.25">
      <c r="A1204" s="2" t="s">
        <v>6</v>
      </c>
      <c r="B1204" s="2" t="s">
        <v>7</v>
      </c>
      <c r="C1204" s="2" t="s">
        <v>8</v>
      </c>
      <c r="D1204" s="2" t="s">
        <v>9</v>
      </c>
      <c r="E1204" s="2" t="s">
        <v>10</v>
      </c>
      <c r="F1204" s="2" t="s">
        <v>11</v>
      </c>
      <c r="G1204" s="2" t="s">
        <v>12</v>
      </c>
      <c r="H1204" s="2" t="s">
        <v>13</v>
      </c>
      <c r="I1204" s="2" t="s">
        <v>14</v>
      </c>
      <c r="J1204" s="2" t="s">
        <v>15</v>
      </c>
      <c r="K1204" s="2" t="s">
        <v>16</v>
      </c>
      <c r="L1204" s="2" t="s">
        <v>17</v>
      </c>
    </row>
    <row r="1205" spans="1:12" x14ac:dyDescent="0.25">
      <c r="A1205" s="3">
        <v>45707.247881944444</v>
      </c>
      <c r="B1205" t="s">
        <v>95</v>
      </c>
      <c r="C1205" s="3">
        <v>45707.249293981484</v>
      </c>
      <c r="D1205" t="s">
        <v>21</v>
      </c>
      <c r="E1205" s="4">
        <v>3.2000000000000001E-2</v>
      </c>
      <c r="F1205" s="4">
        <v>547096.88300000003</v>
      </c>
      <c r="G1205" s="4">
        <v>547096.91500000004</v>
      </c>
      <c r="H1205" s="5">
        <f>79 / 86400</f>
        <v>9.1435185185185185E-4</v>
      </c>
      <c r="I1205" t="s">
        <v>127</v>
      </c>
      <c r="J1205" t="s">
        <v>127</v>
      </c>
      <c r="K1205" s="5">
        <f>122 / 86400</f>
        <v>1.4120370370370369E-3</v>
      </c>
      <c r="L1205" s="5">
        <f>24286 / 86400</f>
        <v>0.28108796296296296</v>
      </c>
    </row>
    <row r="1206" spans="1:12" x14ac:dyDescent="0.25">
      <c r="A1206" s="3">
        <v>45707.282500000001</v>
      </c>
      <c r="B1206" t="s">
        <v>95</v>
      </c>
      <c r="C1206" s="3">
        <v>45707.287916666668</v>
      </c>
      <c r="D1206" t="s">
        <v>110</v>
      </c>
      <c r="E1206" s="4">
        <v>0.59299999999999997</v>
      </c>
      <c r="F1206" s="4">
        <v>547096.91500000004</v>
      </c>
      <c r="G1206" s="4">
        <v>547097.50800000003</v>
      </c>
      <c r="H1206" s="5">
        <f>339 / 86400</f>
        <v>3.9236111111111112E-3</v>
      </c>
      <c r="I1206" t="s">
        <v>169</v>
      </c>
      <c r="J1206" t="s">
        <v>134</v>
      </c>
      <c r="K1206" s="5">
        <f>467 / 86400</f>
        <v>5.4050925925925924E-3</v>
      </c>
      <c r="L1206" s="5">
        <f>280 / 86400</f>
        <v>3.2407407407407406E-3</v>
      </c>
    </row>
    <row r="1207" spans="1:12" x14ac:dyDescent="0.25">
      <c r="A1207" s="3">
        <v>45707.29115740741</v>
      </c>
      <c r="B1207" t="s">
        <v>110</v>
      </c>
      <c r="C1207" s="3">
        <v>45707.403506944444</v>
      </c>
      <c r="D1207" t="s">
        <v>133</v>
      </c>
      <c r="E1207" s="4">
        <v>49.621000000000002</v>
      </c>
      <c r="F1207" s="4">
        <v>547097.50800000003</v>
      </c>
      <c r="G1207" s="4">
        <v>547147.12899999996</v>
      </c>
      <c r="H1207" s="5">
        <f>2982 / 86400</f>
        <v>3.4513888888888886E-2</v>
      </c>
      <c r="I1207" t="s">
        <v>96</v>
      </c>
      <c r="J1207" t="s">
        <v>27</v>
      </c>
      <c r="K1207" s="5">
        <f>9707 / 86400</f>
        <v>0.11234953703703704</v>
      </c>
      <c r="L1207" s="5">
        <f>2673 / 86400</f>
        <v>3.09375E-2</v>
      </c>
    </row>
    <row r="1208" spans="1:12" x14ac:dyDescent="0.25">
      <c r="A1208" s="3">
        <v>45707.434444444443</v>
      </c>
      <c r="B1208" t="s">
        <v>133</v>
      </c>
      <c r="C1208" s="3">
        <v>45707.56521990741</v>
      </c>
      <c r="D1208" t="s">
        <v>130</v>
      </c>
      <c r="E1208" s="4">
        <v>50.521999999999998</v>
      </c>
      <c r="F1208" s="4">
        <v>547147.12899999996</v>
      </c>
      <c r="G1208" s="4">
        <v>547197.65099999995</v>
      </c>
      <c r="H1208" s="5">
        <f>3601 / 86400</f>
        <v>4.1678240740740738E-2</v>
      </c>
      <c r="I1208" t="s">
        <v>153</v>
      </c>
      <c r="J1208" t="s">
        <v>20</v>
      </c>
      <c r="K1208" s="5">
        <f>11299 / 86400</f>
        <v>0.13077546296296297</v>
      </c>
      <c r="L1208" s="5">
        <f>316 / 86400</f>
        <v>3.6574074074074074E-3</v>
      </c>
    </row>
    <row r="1209" spans="1:12" x14ac:dyDescent="0.25">
      <c r="A1209" s="3">
        <v>45707.568877314814</v>
      </c>
      <c r="B1209" t="s">
        <v>130</v>
      </c>
      <c r="C1209" s="3">
        <v>45707.573807870373</v>
      </c>
      <c r="D1209" t="s">
        <v>121</v>
      </c>
      <c r="E1209" s="4">
        <v>1.2310000000000001</v>
      </c>
      <c r="F1209" s="4">
        <v>547197.65099999995</v>
      </c>
      <c r="G1209" s="4">
        <v>547198.88199999998</v>
      </c>
      <c r="H1209" s="5">
        <f>80 / 86400</f>
        <v>9.2592592592592596E-4</v>
      </c>
      <c r="I1209" t="s">
        <v>84</v>
      </c>
      <c r="J1209" t="s">
        <v>123</v>
      </c>
      <c r="K1209" s="5">
        <f>425 / 86400</f>
        <v>4.9189814814814816E-3</v>
      </c>
      <c r="L1209" s="5">
        <f>1966 / 86400</f>
        <v>2.2754629629629628E-2</v>
      </c>
    </row>
    <row r="1210" spans="1:12" x14ac:dyDescent="0.25">
      <c r="A1210" s="3">
        <v>45707.596562499995</v>
      </c>
      <c r="B1210" t="s">
        <v>121</v>
      </c>
      <c r="C1210" s="3">
        <v>45707.59774305555</v>
      </c>
      <c r="D1210" t="s">
        <v>128</v>
      </c>
      <c r="E1210" s="4">
        <v>3.9E-2</v>
      </c>
      <c r="F1210" s="4">
        <v>547198.88199999998</v>
      </c>
      <c r="G1210" s="4">
        <v>547198.92099999997</v>
      </c>
      <c r="H1210" s="5">
        <f>59 / 86400</f>
        <v>6.8287037037037036E-4</v>
      </c>
      <c r="I1210" t="s">
        <v>85</v>
      </c>
      <c r="J1210" t="s">
        <v>127</v>
      </c>
      <c r="K1210" s="5">
        <f>101 / 86400</f>
        <v>1.1689814814814816E-3</v>
      </c>
      <c r="L1210" s="5">
        <f>235 / 86400</f>
        <v>2.7199074074074074E-3</v>
      </c>
    </row>
    <row r="1211" spans="1:12" x14ac:dyDescent="0.25">
      <c r="A1211" s="3">
        <v>45707.600462962961</v>
      </c>
      <c r="B1211" t="s">
        <v>128</v>
      </c>
      <c r="C1211" s="3">
        <v>45707.836817129632</v>
      </c>
      <c r="D1211" t="s">
        <v>110</v>
      </c>
      <c r="E1211" s="4">
        <v>94.472999999999999</v>
      </c>
      <c r="F1211" s="4">
        <v>547198.92099999997</v>
      </c>
      <c r="G1211" s="4">
        <v>547293.39399999997</v>
      </c>
      <c r="H1211" s="5">
        <f>6118 / 86400</f>
        <v>7.0810185185185184E-2</v>
      </c>
      <c r="I1211" t="s">
        <v>50</v>
      </c>
      <c r="J1211" t="s">
        <v>37</v>
      </c>
      <c r="K1211" s="5">
        <f>20421 / 86400</f>
        <v>0.23635416666666667</v>
      </c>
      <c r="L1211" s="5">
        <f>534 / 86400</f>
        <v>6.1805555555555555E-3</v>
      </c>
    </row>
    <row r="1212" spans="1:12" x14ac:dyDescent="0.25">
      <c r="A1212" s="3">
        <v>45707.842997685184</v>
      </c>
      <c r="B1212" t="s">
        <v>110</v>
      </c>
      <c r="C1212" s="3">
        <v>45707.846388888887</v>
      </c>
      <c r="D1212" t="s">
        <v>95</v>
      </c>
      <c r="E1212" s="4">
        <v>0.53700000000000003</v>
      </c>
      <c r="F1212" s="4">
        <v>547293.39399999997</v>
      </c>
      <c r="G1212" s="4">
        <v>547293.93099999998</v>
      </c>
      <c r="H1212" s="5">
        <f>159 / 86400</f>
        <v>1.8402777777777777E-3</v>
      </c>
      <c r="I1212" t="s">
        <v>142</v>
      </c>
      <c r="J1212" t="s">
        <v>85</v>
      </c>
      <c r="K1212" s="5">
        <f>292 / 86400</f>
        <v>3.3796296296296296E-3</v>
      </c>
      <c r="L1212" s="5">
        <f>13271 / 86400</f>
        <v>0.15359953703703705</v>
      </c>
    </row>
    <row r="1213" spans="1:12" x14ac:dyDescent="0.25">
      <c r="A1213" s="12"/>
      <c r="B1213" s="12"/>
      <c r="C1213" s="12"/>
      <c r="D1213" s="12"/>
      <c r="E1213" s="12"/>
      <c r="F1213" s="12"/>
      <c r="G1213" s="12"/>
      <c r="H1213" s="12"/>
      <c r="I1213" s="12"/>
      <c r="J1213" s="12"/>
    </row>
    <row r="1214" spans="1:12" x14ac:dyDescent="0.25">
      <c r="A1214" s="12"/>
      <c r="B1214" s="12"/>
      <c r="C1214" s="12"/>
      <c r="D1214" s="12"/>
      <c r="E1214" s="12"/>
      <c r="F1214" s="12"/>
      <c r="G1214" s="12"/>
      <c r="H1214" s="12"/>
      <c r="I1214" s="12"/>
      <c r="J1214" s="12"/>
    </row>
    <row r="1215" spans="1:12" s="10" customFormat="1" ht="20.100000000000001" customHeight="1" x14ac:dyDescent="0.35">
      <c r="A1215" s="15" t="s">
        <v>509</v>
      </c>
      <c r="B1215" s="15"/>
      <c r="C1215" s="15"/>
      <c r="D1215" s="15"/>
      <c r="E1215" s="15"/>
      <c r="F1215" s="15"/>
      <c r="G1215" s="15"/>
      <c r="H1215" s="15"/>
      <c r="I1215" s="15"/>
      <c r="J1215" s="15"/>
    </row>
    <row r="1216" spans="1:12" x14ac:dyDescent="0.25">
      <c r="A1216" s="12"/>
      <c r="B1216" s="12"/>
      <c r="C1216" s="12"/>
      <c r="D1216" s="12"/>
      <c r="E1216" s="12"/>
      <c r="F1216" s="12"/>
      <c r="G1216" s="12"/>
      <c r="H1216" s="12"/>
      <c r="I1216" s="12"/>
      <c r="J1216" s="12"/>
    </row>
    <row r="1217" spans="1:12" ht="30" x14ac:dyDescent="0.25">
      <c r="A1217" s="2" t="s">
        <v>6</v>
      </c>
      <c r="B1217" s="2" t="s">
        <v>7</v>
      </c>
      <c r="C1217" s="2" t="s">
        <v>8</v>
      </c>
      <c r="D1217" s="2" t="s">
        <v>9</v>
      </c>
      <c r="E1217" s="2" t="s">
        <v>10</v>
      </c>
      <c r="F1217" s="2" t="s">
        <v>11</v>
      </c>
      <c r="G1217" s="2" t="s">
        <v>12</v>
      </c>
      <c r="H1217" s="2" t="s">
        <v>13</v>
      </c>
      <c r="I1217" s="2" t="s">
        <v>14</v>
      </c>
      <c r="J1217" s="2" t="s">
        <v>15</v>
      </c>
      <c r="K1217" s="2" t="s">
        <v>16</v>
      </c>
      <c r="L1217" s="2" t="s">
        <v>17</v>
      </c>
    </row>
    <row r="1218" spans="1:12" x14ac:dyDescent="0.25">
      <c r="A1218" s="3">
        <v>45707</v>
      </c>
      <c r="B1218" t="s">
        <v>97</v>
      </c>
      <c r="C1218" s="3">
        <v>45707.071527777778</v>
      </c>
      <c r="D1218" t="s">
        <v>286</v>
      </c>
      <c r="E1218" s="4">
        <v>43.731999999999999</v>
      </c>
      <c r="F1218" s="4">
        <v>105315.806</v>
      </c>
      <c r="G1218" s="4">
        <v>105359.538</v>
      </c>
      <c r="H1218" s="5">
        <f>1460 / 86400</f>
        <v>1.6898148148148148E-2</v>
      </c>
      <c r="I1218" t="s">
        <v>382</v>
      </c>
      <c r="J1218" t="s">
        <v>30</v>
      </c>
      <c r="K1218" s="5">
        <f>6180 / 86400</f>
        <v>7.1527777777777773E-2</v>
      </c>
      <c r="L1218" s="5">
        <f>212 / 86400</f>
        <v>2.4537037037037036E-3</v>
      </c>
    </row>
    <row r="1219" spans="1:12" x14ac:dyDescent="0.25">
      <c r="A1219" s="3">
        <v>45707.073981481481</v>
      </c>
      <c r="B1219" t="s">
        <v>286</v>
      </c>
      <c r="C1219" s="3">
        <v>45707.081469907411</v>
      </c>
      <c r="D1219" t="s">
        <v>448</v>
      </c>
      <c r="E1219" s="4">
        <v>5.4390000000000001</v>
      </c>
      <c r="F1219" s="4">
        <v>105359.538</v>
      </c>
      <c r="G1219" s="4">
        <v>105364.977</v>
      </c>
      <c r="H1219" s="5">
        <f>40 / 86400</f>
        <v>4.6296296296296298E-4</v>
      </c>
      <c r="I1219" t="s">
        <v>100</v>
      </c>
      <c r="J1219" t="s">
        <v>161</v>
      </c>
      <c r="K1219" s="5">
        <f>647 / 86400</f>
        <v>7.4884259259259262E-3</v>
      </c>
      <c r="L1219" s="5">
        <f>120 / 86400</f>
        <v>1.3888888888888889E-3</v>
      </c>
    </row>
    <row r="1220" spans="1:12" x14ac:dyDescent="0.25">
      <c r="A1220" s="3">
        <v>45707.082858796297</v>
      </c>
      <c r="B1220" t="s">
        <v>448</v>
      </c>
      <c r="C1220" s="3">
        <v>45707.084293981483</v>
      </c>
      <c r="D1220" t="s">
        <v>109</v>
      </c>
      <c r="E1220" s="4">
        <v>0.53700000000000003</v>
      </c>
      <c r="F1220" s="4">
        <v>105364.977</v>
      </c>
      <c r="G1220" s="4">
        <v>105365.514</v>
      </c>
      <c r="H1220" s="5">
        <f>0 / 86400</f>
        <v>0</v>
      </c>
      <c r="I1220" t="s">
        <v>235</v>
      </c>
      <c r="J1220" t="s">
        <v>20</v>
      </c>
      <c r="K1220" s="5">
        <f>124 / 86400</f>
        <v>1.4351851851851852E-3</v>
      </c>
      <c r="L1220" s="5">
        <f>1026 / 86400</f>
        <v>1.1875E-2</v>
      </c>
    </row>
    <row r="1221" spans="1:12" x14ac:dyDescent="0.25">
      <c r="A1221" s="3">
        <v>45707.096168981487</v>
      </c>
      <c r="B1221" t="s">
        <v>109</v>
      </c>
      <c r="C1221" s="3">
        <v>45707.096666666665</v>
      </c>
      <c r="D1221" t="s">
        <v>109</v>
      </c>
      <c r="E1221" s="4">
        <v>6.7000000000000004E-2</v>
      </c>
      <c r="F1221" s="4">
        <v>105365.514</v>
      </c>
      <c r="G1221" s="4">
        <v>105365.58100000001</v>
      </c>
      <c r="H1221" s="5">
        <f>0 / 86400</f>
        <v>0</v>
      </c>
      <c r="I1221" t="s">
        <v>43</v>
      </c>
      <c r="J1221" t="s">
        <v>101</v>
      </c>
      <c r="K1221" s="5">
        <f>43 / 86400</f>
        <v>4.9768518518518521E-4</v>
      </c>
      <c r="L1221" s="5">
        <f>9693 / 86400</f>
        <v>0.1121875</v>
      </c>
    </row>
    <row r="1222" spans="1:12" x14ac:dyDescent="0.25">
      <c r="A1222" s="3">
        <v>45707.208854166667</v>
      </c>
      <c r="B1222" t="s">
        <v>109</v>
      </c>
      <c r="C1222" s="3">
        <v>45707.209618055553</v>
      </c>
      <c r="D1222" t="s">
        <v>109</v>
      </c>
      <c r="E1222" s="4">
        <v>1.4999999999999999E-2</v>
      </c>
      <c r="F1222" s="4">
        <v>105365.58100000001</v>
      </c>
      <c r="G1222" s="4">
        <v>105365.59600000001</v>
      </c>
      <c r="H1222" s="5">
        <f>37 / 86400</f>
        <v>4.2824074074074075E-4</v>
      </c>
      <c r="I1222" t="s">
        <v>136</v>
      </c>
      <c r="J1222" t="s">
        <v>127</v>
      </c>
      <c r="K1222" s="5">
        <f>66 / 86400</f>
        <v>7.6388888888888893E-4</v>
      </c>
      <c r="L1222" s="5">
        <f>7920 / 86400</f>
        <v>9.166666666666666E-2</v>
      </c>
    </row>
    <row r="1223" spans="1:12" x14ac:dyDescent="0.25">
      <c r="A1223" s="3">
        <v>45707.301284722227</v>
      </c>
      <c r="B1223" t="s">
        <v>109</v>
      </c>
      <c r="C1223" s="3">
        <v>45707.470879629633</v>
      </c>
      <c r="D1223" t="s">
        <v>120</v>
      </c>
      <c r="E1223" s="4">
        <v>77.353999999999999</v>
      </c>
      <c r="F1223" s="4">
        <v>105365.59600000001</v>
      </c>
      <c r="G1223" s="4">
        <v>105442.95</v>
      </c>
      <c r="H1223" s="5">
        <f>4837 / 86400</f>
        <v>5.5983796296296295E-2</v>
      </c>
      <c r="I1223" t="s">
        <v>65</v>
      </c>
      <c r="J1223" t="s">
        <v>33</v>
      </c>
      <c r="K1223" s="5">
        <f>14653 / 86400</f>
        <v>0.1695949074074074</v>
      </c>
      <c r="L1223" s="5">
        <f>58 / 86400</f>
        <v>6.7129629629629625E-4</v>
      </c>
    </row>
    <row r="1224" spans="1:12" x14ac:dyDescent="0.25">
      <c r="A1224" s="3">
        <v>45707.471550925926</v>
      </c>
      <c r="B1224" t="s">
        <v>120</v>
      </c>
      <c r="C1224" s="3">
        <v>45707.475416666668</v>
      </c>
      <c r="D1224" t="s">
        <v>128</v>
      </c>
      <c r="E1224" s="4">
        <v>0.67800000000000005</v>
      </c>
      <c r="F1224" s="4">
        <v>105442.95</v>
      </c>
      <c r="G1224" s="4">
        <v>105443.628</v>
      </c>
      <c r="H1224" s="5">
        <f>217 / 86400</f>
        <v>2.5115740740740741E-3</v>
      </c>
      <c r="I1224" t="s">
        <v>131</v>
      </c>
      <c r="J1224" t="s">
        <v>85</v>
      </c>
      <c r="K1224" s="5">
        <f>334 / 86400</f>
        <v>3.8657407407407408E-3</v>
      </c>
      <c r="L1224" s="5">
        <f>537 / 86400</f>
        <v>6.2152777777777779E-3</v>
      </c>
    </row>
    <row r="1225" spans="1:12" x14ac:dyDescent="0.25">
      <c r="A1225" s="3">
        <v>45707.481631944444</v>
      </c>
      <c r="B1225" t="s">
        <v>128</v>
      </c>
      <c r="C1225" s="3">
        <v>45707.484467592592</v>
      </c>
      <c r="D1225" t="s">
        <v>291</v>
      </c>
      <c r="E1225" s="4">
        <v>0.20100000000000001</v>
      </c>
      <c r="F1225" s="4">
        <v>105443.628</v>
      </c>
      <c r="G1225" s="4">
        <v>105443.829</v>
      </c>
      <c r="H1225" s="5">
        <f>198 / 86400</f>
        <v>2.2916666666666667E-3</v>
      </c>
      <c r="I1225" t="s">
        <v>149</v>
      </c>
      <c r="J1225" t="s">
        <v>24</v>
      </c>
      <c r="K1225" s="5">
        <f>245 / 86400</f>
        <v>2.8356481481481483E-3</v>
      </c>
      <c r="L1225" s="5">
        <f>1788 / 86400</f>
        <v>2.0694444444444446E-2</v>
      </c>
    </row>
    <row r="1226" spans="1:12" x14ac:dyDescent="0.25">
      <c r="A1226" s="3">
        <v>45707.505162037036</v>
      </c>
      <c r="B1226" t="s">
        <v>291</v>
      </c>
      <c r="C1226" s="3">
        <v>45707.523587962962</v>
      </c>
      <c r="D1226" t="s">
        <v>449</v>
      </c>
      <c r="E1226" s="4">
        <v>5.74</v>
      </c>
      <c r="F1226" s="4">
        <v>105443.829</v>
      </c>
      <c r="G1226" s="4">
        <v>105449.569</v>
      </c>
      <c r="H1226" s="5">
        <f>617 / 86400</f>
        <v>7.1412037037037034E-3</v>
      </c>
      <c r="I1226" t="s">
        <v>138</v>
      </c>
      <c r="J1226" t="s">
        <v>62</v>
      </c>
      <c r="K1226" s="5">
        <f>1592 / 86400</f>
        <v>1.8425925925925925E-2</v>
      </c>
      <c r="L1226" s="5">
        <f>46 / 86400</f>
        <v>5.3240740740740744E-4</v>
      </c>
    </row>
    <row r="1227" spans="1:12" x14ac:dyDescent="0.25">
      <c r="A1227" s="3">
        <v>45707.52412037037</v>
      </c>
      <c r="B1227" t="s">
        <v>449</v>
      </c>
      <c r="C1227" s="3">
        <v>45707.526331018518</v>
      </c>
      <c r="D1227" t="s">
        <v>370</v>
      </c>
      <c r="E1227" s="4">
        <v>0.36899999999999999</v>
      </c>
      <c r="F1227" s="4">
        <v>105449.569</v>
      </c>
      <c r="G1227" s="4">
        <v>105449.93799999999</v>
      </c>
      <c r="H1227" s="5">
        <f>60 / 86400</f>
        <v>6.9444444444444447E-4</v>
      </c>
      <c r="I1227" t="s">
        <v>46</v>
      </c>
      <c r="J1227" t="s">
        <v>85</v>
      </c>
      <c r="K1227" s="5">
        <f>191 / 86400</f>
        <v>2.2106481481481482E-3</v>
      </c>
      <c r="L1227" s="5">
        <f>51 / 86400</f>
        <v>5.9027777777777778E-4</v>
      </c>
    </row>
    <row r="1228" spans="1:12" x14ac:dyDescent="0.25">
      <c r="A1228" s="3">
        <v>45707.526921296296</v>
      </c>
      <c r="B1228" t="s">
        <v>370</v>
      </c>
      <c r="C1228" s="3">
        <v>45707.538564814815</v>
      </c>
      <c r="D1228" t="s">
        <v>450</v>
      </c>
      <c r="E1228" s="4">
        <v>4.6189999999999998</v>
      </c>
      <c r="F1228" s="4">
        <v>105449.93799999999</v>
      </c>
      <c r="G1228" s="4">
        <v>105454.557</v>
      </c>
      <c r="H1228" s="5">
        <f>280 / 86400</f>
        <v>3.2407407407407406E-3</v>
      </c>
      <c r="I1228" t="s">
        <v>235</v>
      </c>
      <c r="J1228" t="s">
        <v>37</v>
      </c>
      <c r="K1228" s="5">
        <f>1006 / 86400</f>
        <v>1.1643518518518518E-2</v>
      </c>
      <c r="L1228" s="5">
        <f>11061 / 86400</f>
        <v>0.12802083333333333</v>
      </c>
    </row>
    <row r="1229" spans="1:12" x14ac:dyDescent="0.25">
      <c r="A1229" s="3">
        <v>45707.666585648149</v>
      </c>
      <c r="B1229" t="s">
        <v>450</v>
      </c>
      <c r="C1229" s="3">
        <v>45707.671134259261</v>
      </c>
      <c r="D1229" t="s">
        <v>66</v>
      </c>
      <c r="E1229" s="4">
        <v>0.85199999999999998</v>
      </c>
      <c r="F1229" s="4">
        <v>105454.557</v>
      </c>
      <c r="G1229" s="4">
        <v>105455.409</v>
      </c>
      <c r="H1229" s="5">
        <f>178 / 86400</f>
        <v>2.0601851851851853E-3</v>
      </c>
      <c r="I1229" t="s">
        <v>155</v>
      </c>
      <c r="J1229" t="s">
        <v>31</v>
      </c>
      <c r="K1229" s="5">
        <f>393 / 86400</f>
        <v>4.5486111111111109E-3</v>
      </c>
      <c r="L1229" s="5">
        <f>183 / 86400</f>
        <v>2.1180555555555558E-3</v>
      </c>
    </row>
    <row r="1230" spans="1:12" x14ac:dyDescent="0.25">
      <c r="A1230" s="3">
        <v>45707.673252314809</v>
      </c>
      <c r="B1230" t="s">
        <v>66</v>
      </c>
      <c r="C1230" s="3">
        <v>45707.675347222219</v>
      </c>
      <c r="D1230" t="s">
        <v>110</v>
      </c>
      <c r="E1230" s="4">
        <v>0.28599999999999998</v>
      </c>
      <c r="F1230" s="4">
        <v>105455.409</v>
      </c>
      <c r="G1230" s="4">
        <v>105455.69500000001</v>
      </c>
      <c r="H1230" s="5">
        <f>37 / 86400</f>
        <v>4.2824074074074075E-4</v>
      </c>
      <c r="I1230" t="s">
        <v>20</v>
      </c>
      <c r="J1230" t="s">
        <v>101</v>
      </c>
      <c r="K1230" s="5">
        <f>181 / 86400</f>
        <v>2.0949074074074073E-3</v>
      </c>
      <c r="L1230" s="5">
        <f>2370 / 86400</f>
        <v>2.7430555555555555E-2</v>
      </c>
    </row>
    <row r="1231" spans="1:12" x14ac:dyDescent="0.25">
      <c r="A1231" s="3">
        <v>45707.702777777777</v>
      </c>
      <c r="B1231" t="s">
        <v>110</v>
      </c>
      <c r="C1231" s="3">
        <v>45707.703333333338</v>
      </c>
      <c r="D1231" t="s">
        <v>110</v>
      </c>
      <c r="E1231" s="4">
        <v>0</v>
      </c>
      <c r="F1231" s="4">
        <v>105455.69500000001</v>
      </c>
      <c r="G1231" s="4">
        <v>105455.69500000001</v>
      </c>
      <c r="H1231" s="5">
        <f>37 / 86400</f>
        <v>4.2824074074074075E-4</v>
      </c>
      <c r="I1231" t="s">
        <v>72</v>
      </c>
      <c r="J1231" t="s">
        <v>72</v>
      </c>
      <c r="K1231" s="5">
        <f>48 / 86400</f>
        <v>5.5555555555555556E-4</v>
      </c>
      <c r="L1231" s="5">
        <f>744 / 86400</f>
        <v>8.611111111111111E-3</v>
      </c>
    </row>
    <row r="1232" spans="1:12" x14ac:dyDescent="0.25">
      <c r="A1232" s="3">
        <v>45707.71194444444</v>
      </c>
      <c r="B1232" t="s">
        <v>110</v>
      </c>
      <c r="C1232" s="3">
        <v>45707.712002314816</v>
      </c>
      <c r="D1232" t="s">
        <v>110</v>
      </c>
      <c r="E1232" s="4">
        <v>0</v>
      </c>
      <c r="F1232" s="4">
        <v>105455.69500000001</v>
      </c>
      <c r="G1232" s="4">
        <v>105455.69500000001</v>
      </c>
      <c r="H1232" s="5">
        <f>0 / 86400</f>
        <v>0</v>
      </c>
      <c r="I1232" t="s">
        <v>72</v>
      </c>
      <c r="J1232" t="s">
        <v>72</v>
      </c>
      <c r="K1232" s="5">
        <f>5 / 86400</f>
        <v>5.7870370370370373E-5</v>
      </c>
      <c r="L1232" s="5">
        <f>395 / 86400</f>
        <v>4.5717592592592589E-3</v>
      </c>
    </row>
    <row r="1233" spans="1:12" x14ac:dyDescent="0.25">
      <c r="A1233" s="3">
        <v>45707.716574074075</v>
      </c>
      <c r="B1233" t="s">
        <v>110</v>
      </c>
      <c r="C1233" s="3">
        <v>45707.71674768519</v>
      </c>
      <c r="D1233" t="s">
        <v>110</v>
      </c>
      <c r="E1233" s="4">
        <v>0</v>
      </c>
      <c r="F1233" s="4">
        <v>105455.69500000001</v>
      </c>
      <c r="G1233" s="4">
        <v>105455.69500000001</v>
      </c>
      <c r="H1233" s="5">
        <f>0 / 86400</f>
        <v>0</v>
      </c>
      <c r="I1233" t="s">
        <v>72</v>
      </c>
      <c r="J1233" t="s">
        <v>72</v>
      </c>
      <c r="K1233" s="5">
        <f>15 / 86400</f>
        <v>1.7361111111111112E-4</v>
      </c>
      <c r="L1233" s="5">
        <f>144 / 86400</f>
        <v>1.6666666666666668E-3</v>
      </c>
    </row>
    <row r="1234" spans="1:12" x14ac:dyDescent="0.25">
      <c r="A1234" s="3">
        <v>45707.718414351853</v>
      </c>
      <c r="B1234" t="s">
        <v>110</v>
      </c>
      <c r="C1234" s="3">
        <v>45707.719444444447</v>
      </c>
      <c r="D1234" t="s">
        <v>108</v>
      </c>
      <c r="E1234" s="4">
        <v>0.20300000000000001</v>
      </c>
      <c r="F1234" s="4">
        <v>105455.69500000001</v>
      </c>
      <c r="G1234" s="4">
        <v>105455.898</v>
      </c>
      <c r="H1234" s="5">
        <f>17 / 86400</f>
        <v>1.9675925925925926E-4</v>
      </c>
      <c r="I1234" t="s">
        <v>62</v>
      </c>
      <c r="J1234" t="s">
        <v>31</v>
      </c>
      <c r="K1234" s="5">
        <f>89 / 86400</f>
        <v>1.0300925925925926E-3</v>
      </c>
      <c r="L1234" s="5">
        <f>188 / 86400</f>
        <v>2.1759259259259258E-3</v>
      </c>
    </row>
    <row r="1235" spans="1:12" x14ac:dyDescent="0.25">
      <c r="A1235" s="3">
        <v>45707.721620370372</v>
      </c>
      <c r="B1235" t="s">
        <v>108</v>
      </c>
      <c r="C1235" s="3">
        <v>45707.873773148152</v>
      </c>
      <c r="D1235" t="s">
        <v>451</v>
      </c>
      <c r="E1235" s="4">
        <v>57.68</v>
      </c>
      <c r="F1235" s="4">
        <v>105455.898</v>
      </c>
      <c r="G1235" s="4">
        <v>105513.57799999999</v>
      </c>
      <c r="H1235" s="5">
        <f>5759 / 86400</f>
        <v>6.6655092592592599E-2</v>
      </c>
      <c r="I1235" t="s">
        <v>65</v>
      </c>
      <c r="J1235" t="s">
        <v>20</v>
      </c>
      <c r="K1235" s="5">
        <f>13146 / 86400</f>
        <v>0.15215277777777778</v>
      </c>
      <c r="L1235" s="5">
        <f>158 / 86400</f>
        <v>1.8287037037037037E-3</v>
      </c>
    </row>
    <row r="1236" spans="1:12" x14ac:dyDescent="0.25">
      <c r="A1236" s="3">
        <v>45707.875601851847</v>
      </c>
      <c r="B1236" t="s">
        <v>451</v>
      </c>
      <c r="C1236" s="3">
        <v>45707.968344907407</v>
      </c>
      <c r="D1236" t="s">
        <v>452</v>
      </c>
      <c r="E1236" s="4">
        <v>34.924999999999997</v>
      </c>
      <c r="F1236" s="4">
        <v>105513.57799999999</v>
      </c>
      <c r="G1236" s="4">
        <v>105548.503</v>
      </c>
      <c r="H1236" s="5">
        <f>4040 / 86400</f>
        <v>4.6759259259259257E-2</v>
      </c>
      <c r="I1236" t="s">
        <v>63</v>
      </c>
      <c r="J1236" t="s">
        <v>20</v>
      </c>
      <c r="K1236" s="5">
        <f>8013 / 86400</f>
        <v>9.2743055555555551E-2</v>
      </c>
      <c r="L1236" s="5">
        <f>576 / 86400</f>
        <v>6.6666666666666671E-3</v>
      </c>
    </row>
    <row r="1237" spans="1:12" x14ac:dyDescent="0.25">
      <c r="A1237" s="3">
        <v>45707.975011574075</v>
      </c>
      <c r="B1237" t="s">
        <v>452</v>
      </c>
      <c r="C1237" s="3">
        <v>45707.975127314814</v>
      </c>
      <c r="D1237" t="s">
        <v>98</v>
      </c>
      <c r="E1237" s="4">
        <v>7.0000000000000001E-3</v>
      </c>
      <c r="F1237" s="4">
        <v>105548.503</v>
      </c>
      <c r="G1237" s="4">
        <v>105548.51</v>
      </c>
      <c r="H1237" s="5">
        <f>0 / 86400</f>
        <v>0</v>
      </c>
      <c r="I1237" t="s">
        <v>72</v>
      </c>
      <c r="J1237" t="s">
        <v>24</v>
      </c>
      <c r="K1237" s="5">
        <f>10 / 86400</f>
        <v>1.1574074074074075E-4</v>
      </c>
      <c r="L1237" s="5">
        <f>359 / 86400</f>
        <v>4.1550925925925922E-3</v>
      </c>
    </row>
    <row r="1238" spans="1:12" x14ac:dyDescent="0.25">
      <c r="A1238" s="3">
        <v>45707.97928240741</v>
      </c>
      <c r="B1238" t="s">
        <v>98</v>
      </c>
      <c r="C1238" s="3">
        <v>45707.979409722218</v>
      </c>
      <c r="D1238" t="s">
        <v>98</v>
      </c>
      <c r="E1238" s="4">
        <v>0</v>
      </c>
      <c r="F1238" s="4">
        <v>105548.51</v>
      </c>
      <c r="G1238" s="4">
        <v>105548.51</v>
      </c>
      <c r="H1238" s="5">
        <f>0 / 86400</f>
        <v>0</v>
      </c>
      <c r="I1238" t="s">
        <v>72</v>
      </c>
      <c r="J1238" t="s">
        <v>72</v>
      </c>
      <c r="K1238" s="5">
        <f>11 / 86400</f>
        <v>1.273148148148148E-4</v>
      </c>
      <c r="L1238" s="5">
        <f>302 / 86400</f>
        <v>3.4953703703703705E-3</v>
      </c>
    </row>
    <row r="1239" spans="1:12" x14ac:dyDescent="0.25">
      <c r="A1239" s="3">
        <v>45707.982905092591</v>
      </c>
      <c r="B1239" t="s">
        <v>98</v>
      </c>
      <c r="C1239" s="3">
        <v>45707.982997685191</v>
      </c>
      <c r="D1239" t="s">
        <v>98</v>
      </c>
      <c r="E1239" s="4">
        <v>0</v>
      </c>
      <c r="F1239" s="4">
        <v>105548.51</v>
      </c>
      <c r="G1239" s="4">
        <v>105548.51</v>
      </c>
      <c r="H1239" s="5">
        <f>0 / 86400</f>
        <v>0</v>
      </c>
      <c r="I1239" t="s">
        <v>72</v>
      </c>
      <c r="J1239" t="s">
        <v>72</v>
      </c>
      <c r="K1239" s="5">
        <f>8 / 86400</f>
        <v>9.2592592592592588E-5</v>
      </c>
      <c r="L1239" s="5">
        <f>74 / 86400</f>
        <v>8.564814814814815E-4</v>
      </c>
    </row>
    <row r="1240" spans="1:12" x14ac:dyDescent="0.25">
      <c r="A1240" s="3">
        <v>45707.983854166669</v>
      </c>
      <c r="B1240" t="s">
        <v>98</v>
      </c>
      <c r="C1240" s="3">
        <v>45707.983946759261</v>
      </c>
      <c r="D1240" t="s">
        <v>98</v>
      </c>
      <c r="E1240" s="4">
        <v>0</v>
      </c>
      <c r="F1240" s="4">
        <v>105548.51</v>
      </c>
      <c r="G1240" s="4">
        <v>105548.51</v>
      </c>
      <c r="H1240" s="5">
        <f>0 / 86400</f>
        <v>0</v>
      </c>
      <c r="I1240" t="s">
        <v>72</v>
      </c>
      <c r="J1240" t="s">
        <v>72</v>
      </c>
      <c r="K1240" s="5">
        <f>8 / 86400</f>
        <v>9.2592592592592588E-5</v>
      </c>
      <c r="L1240" s="5">
        <f>888 / 86400</f>
        <v>1.0277777777777778E-2</v>
      </c>
    </row>
    <row r="1241" spans="1:12" x14ac:dyDescent="0.25">
      <c r="A1241" s="3">
        <v>45707.994224537033</v>
      </c>
      <c r="B1241" t="s">
        <v>98</v>
      </c>
      <c r="C1241" s="3">
        <v>45707.994340277779</v>
      </c>
      <c r="D1241" t="s">
        <v>98</v>
      </c>
      <c r="E1241" s="4">
        <v>0</v>
      </c>
      <c r="F1241" s="4">
        <v>105548.51</v>
      </c>
      <c r="G1241" s="4">
        <v>105548.51</v>
      </c>
      <c r="H1241" s="5">
        <f>0 / 86400</f>
        <v>0</v>
      </c>
      <c r="I1241" t="s">
        <v>72</v>
      </c>
      <c r="J1241" t="s">
        <v>72</v>
      </c>
      <c r="K1241" s="5">
        <f>10 / 86400</f>
        <v>1.1574074074074075E-4</v>
      </c>
      <c r="L1241" s="5">
        <f>488 / 86400</f>
        <v>5.6481481481481478E-3</v>
      </c>
    </row>
    <row r="1242" spans="1:12" x14ac:dyDescent="0.25">
      <c r="A1242" s="12"/>
      <c r="B1242" s="12"/>
      <c r="C1242" s="12"/>
      <c r="D1242" s="12"/>
      <c r="E1242" s="12"/>
      <c r="F1242" s="12"/>
      <c r="G1242" s="12"/>
      <c r="H1242" s="12"/>
      <c r="I1242" s="12"/>
      <c r="J1242" s="12"/>
    </row>
    <row r="1243" spans="1:12" x14ac:dyDescent="0.25">
      <c r="A1243" s="12"/>
      <c r="B1243" s="12"/>
      <c r="C1243" s="12"/>
      <c r="D1243" s="12"/>
      <c r="E1243" s="12"/>
      <c r="F1243" s="12"/>
      <c r="G1243" s="12"/>
      <c r="H1243" s="12"/>
      <c r="I1243" s="12"/>
      <c r="J1243" s="12"/>
    </row>
    <row r="1244" spans="1:12" s="10" customFormat="1" ht="20.100000000000001" customHeight="1" x14ac:dyDescent="0.35">
      <c r="A1244" s="15" t="s">
        <v>510</v>
      </c>
      <c r="B1244" s="15"/>
      <c r="C1244" s="15"/>
      <c r="D1244" s="15"/>
      <c r="E1244" s="15"/>
      <c r="F1244" s="15"/>
      <c r="G1244" s="15"/>
      <c r="H1244" s="15"/>
      <c r="I1244" s="15"/>
      <c r="J1244" s="15"/>
    </row>
    <row r="1245" spans="1:12" x14ac:dyDescent="0.25">
      <c r="A1245" s="12"/>
      <c r="B1245" s="12"/>
      <c r="C1245" s="12"/>
      <c r="D1245" s="12"/>
      <c r="E1245" s="12"/>
      <c r="F1245" s="12"/>
      <c r="G1245" s="12"/>
      <c r="H1245" s="12"/>
      <c r="I1245" s="12"/>
      <c r="J1245" s="12"/>
    </row>
    <row r="1246" spans="1:12" ht="30" x14ac:dyDescent="0.25">
      <c r="A1246" s="2" t="s">
        <v>6</v>
      </c>
      <c r="B1246" s="2" t="s">
        <v>7</v>
      </c>
      <c r="C1246" s="2" t="s">
        <v>8</v>
      </c>
      <c r="D1246" s="2" t="s">
        <v>9</v>
      </c>
      <c r="E1246" s="2" t="s">
        <v>10</v>
      </c>
      <c r="F1246" s="2" t="s">
        <v>11</v>
      </c>
      <c r="G1246" s="2" t="s">
        <v>12</v>
      </c>
      <c r="H1246" s="2" t="s">
        <v>13</v>
      </c>
      <c r="I1246" s="2" t="s">
        <v>14</v>
      </c>
      <c r="J1246" s="2" t="s">
        <v>15</v>
      </c>
      <c r="K1246" s="2" t="s">
        <v>16</v>
      </c>
      <c r="L1246" s="2" t="s">
        <v>17</v>
      </c>
    </row>
    <row r="1247" spans="1:12" x14ac:dyDescent="0.25">
      <c r="A1247" s="3">
        <v>45707.462245370371</v>
      </c>
      <c r="B1247" t="s">
        <v>99</v>
      </c>
      <c r="C1247" s="3">
        <v>45707.478749999995</v>
      </c>
      <c r="D1247" t="s">
        <v>453</v>
      </c>
      <c r="E1247" s="4">
        <v>3.1030000000000002</v>
      </c>
      <c r="F1247" s="4">
        <v>54574.33</v>
      </c>
      <c r="G1247" s="4">
        <v>54577.432999999997</v>
      </c>
      <c r="H1247" s="5">
        <f>819 / 86400</f>
        <v>9.479166666666667E-3</v>
      </c>
      <c r="I1247" t="s">
        <v>100</v>
      </c>
      <c r="J1247" t="s">
        <v>31</v>
      </c>
      <c r="K1247" s="5">
        <f>1426 / 86400</f>
        <v>1.650462962962963E-2</v>
      </c>
      <c r="L1247" s="5">
        <f>67432 / 86400</f>
        <v>0.78046296296296291</v>
      </c>
    </row>
    <row r="1248" spans="1:12" x14ac:dyDescent="0.25">
      <c r="A1248" s="3">
        <v>45707.796967592592</v>
      </c>
      <c r="B1248" t="s">
        <v>453</v>
      </c>
      <c r="C1248" s="3">
        <v>45707.808749999997</v>
      </c>
      <c r="D1248" t="s">
        <v>99</v>
      </c>
      <c r="E1248" s="4">
        <v>1.1399999999999999</v>
      </c>
      <c r="F1248" s="4">
        <v>54577.432999999997</v>
      </c>
      <c r="G1248" s="4">
        <v>54578.572999999997</v>
      </c>
      <c r="H1248" s="5">
        <f>601 / 86400</f>
        <v>6.9560185185185185E-3</v>
      </c>
      <c r="I1248" t="s">
        <v>191</v>
      </c>
      <c r="J1248" t="s">
        <v>58</v>
      </c>
      <c r="K1248" s="5">
        <f>1018 / 86400</f>
        <v>1.1782407407407408E-2</v>
      </c>
      <c r="L1248" s="5">
        <f>16523 / 86400</f>
        <v>0.19123842592592594</v>
      </c>
    </row>
    <row r="1249" spans="1:12" x14ac:dyDescent="0.25">
      <c r="A1249" s="12"/>
      <c r="B1249" s="12"/>
      <c r="C1249" s="12"/>
      <c r="D1249" s="12"/>
      <c r="E1249" s="12"/>
      <c r="F1249" s="12"/>
      <c r="G1249" s="12"/>
      <c r="H1249" s="12"/>
      <c r="I1249" s="12"/>
      <c r="J1249" s="12"/>
    </row>
    <row r="1250" spans="1:12" x14ac:dyDescent="0.25">
      <c r="A1250" s="12"/>
      <c r="B1250" s="12"/>
      <c r="C1250" s="12"/>
      <c r="D1250" s="12"/>
      <c r="E1250" s="12"/>
      <c r="F1250" s="12"/>
      <c r="G1250" s="12"/>
      <c r="H1250" s="12"/>
      <c r="I1250" s="12"/>
      <c r="J1250" s="12"/>
    </row>
    <row r="1251" spans="1:12" s="10" customFormat="1" ht="20.100000000000001" customHeight="1" x14ac:dyDescent="0.35">
      <c r="A1251" s="15" t="s">
        <v>511</v>
      </c>
      <c r="B1251" s="15"/>
      <c r="C1251" s="15"/>
      <c r="D1251" s="15"/>
      <c r="E1251" s="15"/>
      <c r="F1251" s="15"/>
      <c r="G1251" s="15"/>
      <c r="H1251" s="15"/>
      <c r="I1251" s="15"/>
      <c r="J1251" s="15"/>
    </row>
    <row r="1252" spans="1:12" x14ac:dyDescent="0.25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</row>
    <row r="1253" spans="1:12" ht="30" x14ac:dyDescent="0.25">
      <c r="A1253" s="2" t="s">
        <v>6</v>
      </c>
      <c r="B1253" s="2" t="s">
        <v>7</v>
      </c>
      <c r="C1253" s="2" t="s">
        <v>8</v>
      </c>
      <c r="D1253" s="2" t="s">
        <v>9</v>
      </c>
      <c r="E1253" s="2" t="s">
        <v>10</v>
      </c>
      <c r="F1253" s="2" t="s">
        <v>11</v>
      </c>
      <c r="G1253" s="2" t="s">
        <v>12</v>
      </c>
      <c r="H1253" s="2" t="s">
        <v>13</v>
      </c>
      <c r="I1253" s="2" t="s">
        <v>14</v>
      </c>
      <c r="J1253" s="2" t="s">
        <v>15</v>
      </c>
      <c r="K1253" s="2" t="s">
        <v>16</v>
      </c>
      <c r="L1253" s="2" t="s">
        <v>17</v>
      </c>
    </row>
    <row r="1254" spans="1:12" x14ac:dyDescent="0.25">
      <c r="A1254" s="3">
        <v>45707.231527777782</v>
      </c>
      <c r="B1254" t="s">
        <v>102</v>
      </c>
      <c r="C1254" s="3">
        <v>45707.481076388889</v>
      </c>
      <c r="D1254" t="s">
        <v>102</v>
      </c>
      <c r="E1254" s="4">
        <v>102.18600000000001</v>
      </c>
      <c r="F1254" s="4">
        <v>46691.072999999997</v>
      </c>
      <c r="G1254" s="4">
        <v>46793.258999999998</v>
      </c>
      <c r="H1254" s="5">
        <f>7620 / 86400</f>
        <v>8.819444444444445E-2</v>
      </c>
      <c r="I1254" t="s">
        <v>19</v>
      </c>
      <c r="J1254" t="s">
        <v>37</v>
      </c>
      <c r="K1254" s="5">
        <f>21561 / 86400</f>
        <v>0.24954861111111112</v>
      </c>
      <c r="L1254" s="5">
        <f>20233 / 86400</f>
        <v>0.23417824074074073</v>
      </c>
    </row>
    <row r="1255" spans="1:12" x14ac:dyDescent="0.25">
      <c r="A1255" s="3">
        <v>45707.483726851853</v>
      </c>
      <c r="B1255" t="s">
        <v>102</v>
      </c>
      <c r="C1255" s="3">
        <v>45707.483831018515</v>
      </c>
      <c r="D1255" t="s">
        <v>102</v>
      </c>
      <c r="E1255" s="4">
        <v>0</v>
      </c>
      <c r="F1255" s="4">
        <v>46793.258999999998</v>
      </c>
      <c r="G1255" s="4">
        <v>46793.258999999998</v>
      </c>
      <c r="H1255" s="5">
        <f>0 / 86400</f>
        <v>0</v>
      </c>
      <c r="I1255" t="s">
        <v>72</v>
      </c>
      <c r="J1255" t="s">
        <v>72</v>
      </c>
      <c r="K1255" s="5">
        <f>9 / 86400</f>
        <v>1.0416666666666667E-4</v>
      </c>
      <c r="L1255" s="5">
        <f>2505 / 86400</f>
        <v>2.8993055555555557E-2</v>
      </c>
    </row>
    <row r="1256" spans="1:12" x14ac:dyDescent="0.25">
      <c r="A1256" s="3">
        <v>45707.512824074074</v>
      </c>
      <c r="B1256" t="s">
        <v>102</v>
      </c>
      <c r="C1256" s="3">
        <v>45707.711388888885</v>
      </c>
      <c r="D1256" t="s">
        <v>110</v>
      </c>
      <c r="E1256" s="4">
        <v>92.813000000000002</v>
      </c>
      <c r="F1256" s="4">
        <v>46793.258999999998</v>
      </c>
      <c r="G1256" s="4">
        <v>46886.072</v>
      </c>
      <c r="H1256" s="5">
        <f>5077 / 86400</f>
        <v>5.8761574074074077E-2</v>
      </c>
      <c r="I1256" t="s">
        <v>65</v>
      </c>
      <c r="J1256" t="s">
        <v>33</v>
      </c>
      <c r="K1256" s="5">
        <f>17156 / 86400</f>
        <v>0.19856481481481481</v>
      </c>
      <c r="L1256" s="5">
        <f>579 / 86400</f>
        <v>6.7013888888888887E-3</v>
      </c>
    </row>
    <row r="1257" spans="1:12" x14ac:dyDescent="0.25">
      <c r="A1257" s="3">
        <v>45707.718090277776</v>
      </c>
      <c r="B1257" t="s">
        <v>110</v>
      </c>
      <c r="C1257" s="3">
        <v>45707.725138888884</v>
      </c>
      <c r="D1257" t="s">
        <v>102</v>
      </c>
      <c r="E1257" s="4">
        <v>1.5620000000000001</v>
      </c>
      <c r="F1257" s="4">
        <v>46886.072</v>
      </c>
      <c r="G1257" s="4">
        <v>46887.633999999998</v>
      </c>
      <c r="H1257" s="5">
        <f>200 / 86400</f>
        <v>2.3148148148148147E-3</v>
      </c>
      <c r="I1257" t="s">
        <v>178</v>
      </c>
      <c r="J1257" t="s">
        <v>132</v>
      </c>
      <c r="K1257" s="5">
        <f>609 / 86400</f>
        <v>7.0486111111111114E-3</v>
      </c>
      <c r="L1257" s="5">
        <f>23747 / 86400</f>
        <v>0.27484953703703702</v>
      </c>
    </row>
    <row r="1258" spans="1:12" x14ac:dyDescent="0.25">
      <c r="A1258" s="12"/>
      <c r="B1258" s="12"/>
      <c r="C1258" s="12"/>
      <c r="D1258" s="12"/>
      <c r="E1258" s="12"/>
      <c r="F1258" s="12"/>
      <c r="G1258" s="12"/>
      <c r="H1258" s="12"/>
      <c r="I1258" s="12"/>
      <c r="J1258" s="12"/>
    </row>
    <row r="1259" spans="1:12" x14ac:dyDescent="0.25">
      <c r="A1259" s="12"/>
      <c r="B1259" s="12"/>
      <c r="C1259" s="12"/>
      <c r="D1259" s="12"/>
      <c r="E1259" s="12"/>
      <c r="F1259" s="12"/>
      <c r="G1259" s="12"/>
      <c r="H1259" s="12"/>
      <c r="I1259" s="12"/>
      <c r="J1259" s="12"/>
    </row>
    <row r="1260" spans="1:12" s="10" customFormat="1" ht="20.100000000000001" customHeight="1" x14ac:dyDescent="0.35">
      <c r="A1260" s="15" t="s">
        <v>512</v>
      </c>
      <c r="B1260" s="15"/>
      <c r="C1260" s="15"/>
      <c r="D1260" s="15"/>
      <c r="E1260" s="15"/>
      <c r="F1260" s="15"/>
      <c r="G1260" s="15"/>
      <c r="H1260" s="15"/>
      <c r="I1260" s="15"/>
      <c r="J1260" s="15"/>
    </row>
    <row r="1261" spans="1:12" x14ac:dyDescent="0.25">
      <c r="A1261" s="12"/>
      <c r="B1261" s="12"/>
      <c r="C1261" s="12"/>
      <c r="D1261" s="12"/>
      <c r="E1261" s="12"/>
      <c r="F1261" s="12"/>
      <c r="G1261" s="12"/>
      <c r="H1261" s="12"/>
      <c r="I1261" s="12"/>
      <c r="J1261" s="12"/>
    </row>
    <row r="1262" spans="1:12" ht="30" x14ac:dyDescent="0.25">
      <c r="A1262" s="2" t="s">
        <v>6</v>
      </c>
      <c r="B1262" s="2" t="s">
        <v>7</v>
      </c>
      <c r="C1262" s="2" t="s">
        <v>8</v>
      </c>
      <c r="D1262" s="2" t="s">
        <v>9</v>
      </c>
      <c r="E1262" s="2" t="s">
        <v>10</v>
      </c>
      <c r="F1262" s="2" t="s">
        <v>11</v>
      </c>
      <c r="G1262" s="2" t="s">
        <v>12</v>
      </c>
      <c r="H1262" s="2" t="s">
        <v>13</v>
      </c>
      <c r="I1262" s="2" t="s">
        <v>14</v>
      </c>
      <c r="J1262" s="2" t="s">
        <v>15</v>
      </c>
      <c r="K1262" s="2" t="s">
        <v>16</v>
      </c>
      <c r="L1262" s="2" t="s">
        <v>17</v>
      </c>
    </row>
    <row r="1263" spans="1:12" x14ac:dyDescent="0.25">
      <c r="A1263" s="3">
        <v>45707.154282407406</v>
      </c>
      <c r="B1263" t="s">
        <v>103</v>
      </c>
      <c r="C1263" s="3">
        <v>45707.324317129634</v>
      </c>
      <c r="D1263" t="s">
        <v>108</v>
      </c>
      <c r="E1263" s="4">
        <v>101.417</v>
      </c>
      <c r="F1263" s="4">
        <v>80180.611999999994</v>
      </c>
      <c r="G1263" s="4">
        <v>80282.028999999995</v>
      </c>
      <c r="H1263" s="5">
        <f>3337 / 86400</f>
        <v>3.8622685185185184E-2</v>
      </c>
      <c r="I1263" t="s">
        <v>42</v>
      </c>
      <c r="J1263" t="s">
        <v>30</v>
      </c>
      <c r="K1263" s="5">
        <f>14691 / 86400</f>
        <v>0.17003472222222221</v>
      </c>
      <c r="L1263" s="5">
        <f>13363 / 86400</f>
        <v>0.15466435185185184</v>
      </c>
    </row>
    <row r="1264" spans="1:12" x14ac:dyDescent="0.25">
      <c r="A1264" s="3">
        <v>45707.324699074074</v>
      </c>
      <c r="B1264" t="s">
        <v>108</v>
      </c>
      <c r="C1264" s="3">
        <v>45707.32539351852</v>
      </c>
      <c r="D1264" t="s">
        <v>110</v>
      </c>
      <c r="E1264" s="4">
        <v>0.14899999999999999</v>
      </c>
      <c r="F1264" s="4">
        <v>80282.028999999995</v>
      </c>
      <c r="G1264" s="4">
        <v>80282.178</v>
      </c>
      <c r="H1264" s="5">
        <f>0 / 86400</f>
        <v>0</v>
      </c>
      <c r="I1264" t="s">
        <v>166</v>
      </c>
      <c r="J1264" t="s">
        <v>132</v>
      </c>
      <c r="K1264" s="5">
        <f>60 / 86400</f>
        <v>6.9444444444444447E-4</v>
      </c>
      <c r="L1264" s="5">
        <f>424 / 86400</f>
        <v>4.9074074074074072E-3</v>
      </c>
    </row>
    <row r="1265" spans="1:12" x14ac:dyDescent="0.25">
      <c r="A1265" s="3">
        <v>45707.330300925925</v>
      </c>
      <c r="B1265" t="s">
        <v>110</v>
      </c>
      <c r="C1265" s="3">
        <v>45707.331076388888</v>
      </c>
      <c r="D1265" t="s">
        <v>108</v>
      </c>
      <c r="E1265" s="4">
        <v>0.16400000000000001</v>
      </c>
      <c r="F1265" s="4">
        <v>80282.178</v>
      </c>
      <c r="G1265" s="4">
        <v>80282.342000000004</v>
      </c>
      <c r="H1265" s="5">
        <f>0 / 86400</f>
        <v>0</v>
      </c>
      <c r="I1265" t="s">
        <v>33</v>
      </c>
      <c r="J1265" t="s">
        <v>132</v>
      </c>
      <c r="K1265" s="5">
        <f>67 / 86400</f>
        <v>7.7546296296296293E-4</v>
      </c>
      <c r="L1265" s="5">
        <f>868 / 86400</f>
        <v>1.0046296296296296E-2</v>
      </c>
    </row>
    <row r="1266" spans="1:12" x14ac:dyDescent="0.25">
      <c r="A1266" s="3">
        <v>45707.341122685189</v>
      </c>
      <c r="B1266" t="s">
        <v>108</v>
      </c>
      <c r="C1266" s="3">
        <v>45707.344097222223</v>
      </c>
      <c r="D1266" t="s">
        <v>130</v>
      </c>
      <c r="E1266" s="4">
        <v>1.125</v>
      </c>
      <c r="F1266" s="4">
        <v>80282.342000000004</v>
      </c>
      <c r="G1266" s="4">
        <v>80283.467000000004</v>
      </c>
      <c r="H1266" s="5">
        <f>17 / 86400</f>
        <v>1.9675925925925926E-4</v>
      </c>
      <c r="I1266" t="s">
        <v>172</v>
      </c>
      <c r="J1266" t="s">
        <v>20</v>
      </c>
      <c r="K1266" s="5">
        <f>257 / 86400</f>
        <v>2.9745370370370373E-3</v>
      </c>
      <c r="L1266" s="5">
        <f>571 / 86400</f>
        <v>6.6087962962962966E-3</v>
      </c>
    </row>
    <row r="1267" spans="1:12" x14ac:dyDescent="0.25">
      <c r="A1267" s="3">
        <v>45707.350706018522</v>
      </c>
      <c r="B1267" t="s">
        <v>130</v>
      </c>
      <c r="C1267" s="3">
        <v>45707.59274305556</v>
      </c>
      <c r="D1267" t="s">
        <v>108</v>
      </c>
      <c r="E1267" s="4">
        <v>101.18300000000001</v>
      </c>
      <c r="F1267" s="4">
        <v>80283.467000000004</v>
      </c>
      <c r="G1267" s="4">
        <v>80384.649999999994</v>
      </c>
      <c r="H1267" s="5">
        <f>6598 / 86400</f>
        <v>7.6365740740740734E-2</v>
      </c>
      <c r="I1267" t="s">
        <v>29</v>
      </c>
      <c r="J1267" t="s">
        <v>37</v>
      </c>
      <c r="K1267" s="5">
        <f>20912 / 86400</f>
        <v>0.24203703703703705</v>
      </c>
      <c r="L1267" s="5">
        <f>11 / 86400</f>
        <v>1.273148148148148E-4</v>
      </c>
    </row>
    <row r="1268" spans="1:12" x14ac:dyDescent="0.25">
      <c r="A1268" s="3">
        <v>45707.592870370368</v>
      </c>
      <c r="B1268" t="s">
        <v>108</v>
      </c>
      <c r="C1268" s="3">
        <v>45707.593877314815</v>
      </c>
      <c r="D1268" t="s">
        <v>110</v>
      </c>
      <c r="E1268" s="4">
        <v>0.2</v>
      </c>
      <c r="F1268" s="4">
        <v>80384.649999999994</v>
      </c>
      <c r="G1268" s="4">
        <v>80384.850000000006</v>
      </c>
      <c r="H1268" s="5">
        <f>2 / 86400</f>
        <v>2.3148148148148147E-5</v>
      </c>
      <c r="I1268" t="s">
        <v>151</v>
      </c>
      <c r="J1268" t="s">
        <v>31</v>
      </c>
      <c r="K1268" s="5">
        <f>87 / 86400</f>
        <v>1.0069444444444444E-3</v>
      </c>
      <c r="L1268" s="5">
        <f>200 / 86400</f>
        <v>2.3148148148148147E-3</v>
      </c>
    </row>
    <row r="1269" spans="1:12" x14ac:dyDescent="0.25">
      <c r="A1269" s="3">
        <v>45707.596192129626</v>
      </c>
      <c r="B1269" t="s">
        <v>110</v>
      </c>
      <c r="C1269" s="3">
        <v>45707.597187499996</v>
      </c>
      <c r="D1269" t="s">
        <v>108</v>
      </c>
      <c r="E1269" s="4">
        <v>0.20399999999999999</v>
      </c>
      <c r="F1269" s="4">
        <v>80384.850000000006</v>
      </c>
      <c r="G1269" s="4">
        <v>80385.054000000004</v>
      </c>
      <c r="H1269" s="5">
        <f>17 / 86400</f>
        <v>1.9675925925925926E-4</v>
      </c>
      <c r="I1269" t="s">
        <v>62</v>
      </c>
      <c r="J1269" t="s">
        <v>132</v>
      </c>
      <c r="K1269" s="5">
        <f>86 / 86400</f>
        <v>9.9537037037037042E-4</v>
      </c>
      <c r="L1269" s="5">
        <f>249 / 86400</f>
        <v>2.8819444444444444E-3</v>
      </c>
    </row>
    <row r="1270" spans="1:12" x14ac:dyDescent="0.25">
      <c r="A1270" s="3">
        <v>45707.600069444445</v>
      </c>
      <c r="B1270" t="s">
        <v>108</v>
      </c>
      <c r="C1270" s="3">
        <v>45707.866481481484</v>
      </c>
      <c r="D1270" t="s">
        <v>110</v>
      </c>
      <c r="E1270" s="4">
        <v>99.68</v>
      </c>
      <c r="F1270" s="4">
        <v>80385.054000000004</v>
      </c>
      <c r="G1270" s="4">
        <v>80484.733999999997</v>
      </c>
      <c r="H1270" s="5">
        <f>8317 / 86400</f>
        <v>9.6261574074074069E-2</v>
      </c>
      <c r="I1270" t="s">
        <v>65</v>
      </c>
      <c r="J1270" t="s">
        <v>20</v>
      </c>
      <c r="K1270" s="5">
        <f>23018 / 86400</f>
        <v>0.26641203703703703</v>
      </c>
      <c r="L1270" s="5">
        <f>526 / 86400</f>
        <v>6.0879629629629626E-3</v>
      </c>
    </row>
    <row r="1271" spans="1:12" x14ac:dyDescent="0.25">
      <c r="A1271" s="3">
        <v>45707.872569444444</v>
      </c>
      <c r="B1271" t="s">
        <v>108</v>
      </c>
      <c r="C1271" s="3">
        <v>45707.876307870371</v>
      </c>
      <c r="D1271" t="s">
        <v>103</v>
      </c>
      <c r="E1271" s="4">
        <v>0.878</v>
      </c>
      <c r="F1271" s="4">
        <v>80484.733999999997</v>
      </c>
      <c r="G1271" s="4">
        <v>80485.611999999994</v>
      </c>
      <c r="H1271" s="5">
        <f>120 / 86400</f>
        <v>1.3888888888888889E-3</v>
      </c>
      <c r="I1271" t="s">
        <v>129</v>
      </c>
      <c r="J1271" t="s">
        <v>123</v>
      </c>
      <c r="K1271" s="5">
        <f>323 / 86400</f>
        <v>3.7384259259259259E-3</v>
      </c>
      <c r="L1271" s="5">
        <f>10686 / 86400</f>
        <v>0.12368055555555556</v>
      </c>
    </row>
    <row r="1272" spans="1:12" x14ac:dyDescent="0.25">
      <c r="A1272" s="12"/>
      <c r="B1272" s="12"/>
      <c r="C1272" s="12"/>
      <c r="D1272" s="12"/>
      <c r="E1272" s="12"/>
      <c r="F1272" s="12"/>
      <c r="G1272" s="12"/>
      <c r="H1272" s="12"/>
      <c r="I1272" s="12"/>
      <c r="J1272" s="12"/>
    </row>
    <row r="1273" spans="1:12" x14ac:dyDescent="0.25">
      <c r="A1273" s="12"/>
      <c r="B1273" s="12"/>
      <c r="C1273" s="12"/>
      <c r="D1273" s="12"/>
      <c r="E1273" s="12"/>
      <c r="F1273" s="12"/>
      <c r="G1273" s="12"/>
      <c r="H1273" s="12"/>
      <c r="I1273" s="12"/>
      <c r="J1273" s="12"/>
    </row>
    <row r="1274" spans="1:12" s="10" customFormat="1" ht="20.100000000000001" customHeight="1" x14ac:dyDescent="0.35">
      <c r="A1274" s="15" t="s">
        <v>513</v>
      </c>
      <c r="B1274" s="15"/>
      <c r="C1274" s="15"/>
      <c r="D1274" s="15"/>
      <c r="E1274" s="15"/>
      <c r="F1274" s="15"/>
      <c r="G1274" s="15"/>
      <c r="H1274" s="15"/>
      <c r="I1274" s="15"/>
      <c r="J1274" s="15"/>
    </row>
    <row r="1275" spans="1:12" x14ac:dyDescent="0.25">
      <c r="A1275" s="12"/>
      <c r="B1275" s="12"/>
      <c r="C1275" s="12"/>
      <c r="D1275" s="12"/>
      <c r="E1275" s="12"/>
      <c r="F1275" s="12"/>
      <c r="G1275" s="12"/>
      <c r="H1275" s="12"/>
      <c r="I1275" s="12"/>
      <c r="J1275" s="12"/>
    </row>
    <row r="1276" spans="1:12" ht="30" x14ac:dyDescent="0.25">
      <c r="A1276" s="2" t="s">
        <v>6</v>
      </c>
      <c r="B1276" s="2" t="s">
        <v>7</v>
      </c>
      <c r="C1276" s="2" t="s">
        <v>8</v>
      </c>
      <c r="D1276" s="2" t="s">
        <v>9</v>
      </c>
      <c r="E1276" s="2" t="s">
        <v>10</v>
      </c>
      <c r="F1276" s="2" t="s">
        <v>11</v>
      </c>
      <c r="G1276" s="2" t="s">
        <v>12</v>
      </c>
      <c r="H1276" s="2" t="s">
        <v>13</v>
      </c>
      <c r="I1276" s="2" t="s">
        <v>14</v>
      </c>
      <c r="J1276" s="2" t="s">
        <v>15</v>
      </c>
      <c r="K1276" s="2" t="s">
        <v>16</v>
      </c>
      <c r="L1276" s="2" t="s">
        <v>17</v>
      </c>
    </row>
    <row r="1277" spans="1:12" x14ac:dyDescent="0.25">
      <c r="A1277" s="3">
        <v>45707</v>
      </c>
      <c r="B1277" t="s">
        <v>104</v>
      </c>
      <c r="C1277" s="3">
        <v>45707.020937499998</v>
      </c>
      <c r="D1277" t="s">
        <v>79</v>
      </c>
      <c r="E1277" s="4">
        <v>11.932</v>
      </c>
      <c r="F1277" s="4">
        <v>42295.639000000003</v>
      </c>
      <c r="G1277" s="4">
        <v>42307.571000000004</v>
      </c>
      <c r="H1277" s="5">
        <f>570 / 86400</f>
        <v>6.5972222222222222E-3</v>
      </c>
      <c r="I1277" t="s">
        <v>106</v>
      </c>
      <c r="J1277" t="s">
        <v>151</v>
      </c>
      <c r="K1277" s="5">
        <f>1809 / 86400</f>
        <v>2.0937500000000001E-2</v>
      </c>
      <c r="L1277" s="5">
        <f>492 / 86400</f>
        <v>5.6944444444444447E-3</v>
      </c>
    </row>
    <row r="1278" spans="1:12" x14ac:dyDescent="0.25">
      <c r="A1278" s="3">
        <v>45707.026631944449</v>
      </c>
      <c r="B1278" t="s">
        <v>79</v>
      </c>
      <c r="C1278" s="3">
        <v>45707.02721064815</v>
      </c>
      <c r="D1278" t="s">
        <v>79</v>
      </c>
      <c r="E1278" s="4">
        <v>3.5000000000000003E-2</v>
      </c>
      <c r="F1278" s="4">
        <v>42307.571000000004</v>
      </c>
      <c r="G1278" s="4">
        <v>42307.606</v>
      </c>
      <c r="H1278" s="5">
        <f>30 / 86400</f>
        <v>3.4722222222222224E-4</v>
      </c>
      <c r="I1278" t="s">
        <v>148</v>
      </c>
      <c r="J1278" t="s">
        <v>24</v>
      </c>
      <c r="K1278" s="5">
        <f>50 / 86400</f>
        <v>5.7870370370370367E-4</v>
      </c>
      <c r="L1278" s="5">
        <f>2313 / 86400</f>
        <v>2.6770833333333334E-2</v>
      </c>
    </row>
    <row r="1279" spans="1:12" x14ac:dyDescent="0.25">
      <c r="A1279" s="3">
        <v>45707.053981481484</v>
      </c>
      <c r="B1279" t="s">
        <v>79</v>
      </c>
      <c r="C1279" s="3">
        <v>45707.064814814818</v>
      </c>
      <c r="D1279" t="s">
        <v>105</v>
      </c>
      <c r="E1279" s="4">
        <v>3.4089999999999998</v>
      </c>
      <c r="F1279" s="4">
        <v>42307.606</v>
      </c>
      <c r="G1279" s="4">
        <v>42311.014999999999</v>
      </c>
      <c r="H1279" s="5">
        <f>420 / 86400</f>
        <v>4.8611111111111112E-3</v>
      </c>
      <c r="I1279" t="s">
        <v>174</v>
      </c>
      <c r="J1279" t="s">
        <v>62</v>
      </c>
      <c r="K1279" s="5">
        <f>936 / 86400</f>
        <v>1.0833333333333334E-2</v>
      </c>
      <c r="L1279" s="5">
        <f>17401 / 86400</f>
        <v>0.20140046296296296</v>
      </c>
    </row>
    <row r="1280" spans="1:12" x14ac:dyDescent="0.25">
      <c r="A1280" s="3">
        <v>45707.266215277778</v>
      </c>
      <c r="B1280" t="s">
        <v>105</v>
      </c>
      <c r="C1280" s="3">
        <v>45707.271307870367</v>
      </c>
      <c r="D1280" t="s">
        <v>454</v>
      </c>
      <c r="E1280" s="4">
        <v>0.17599999999999999</v>
      </c>
      <c r="F1280" s="4">
        <v>42311.014999999999</v>
      </c>
      <c r="G1280" s="4">
        <v>42311.190999999999</v>
      </c>
      <c r="H1280" s="5">
        <f>300 / 86400</f>
        <v>3.472222222222222E-3</v>
      </c>
      <c r="I1280" t="s">
        <v>132</v>
      </c>
      <c r="J1280" t="s">
        <v>127</v>
      </c>
      <c r="K1280" s="5">
        <f>440 / 86400</f>
        <v>5.092592592592593E-3</v>
      </c>
      <c r="L1280" s="5">
        <f>52817 / 86400</f>
        <v>0.61130787037037038</v>
      </c>
    </row>
    <row r="1281" spans="1:12" x14ac:dyDescent="0.25">
      <c r="A1281" s="3">
        <v>45707.882615740746</v>
      </c>
      <c r="B1281" t="s">
        <v>454</v>
      </c>
      <c r="C1281" s="3">
        <v>45707.886666666665</v>
      </c>
      <c r="D1281" t="s">
        <v>105</v>
      </c>
      <c r="E1281" s="4">
        <v>0.29399999999999998</v>
      </c>
      <c r="F1281" s="4">
        <v>42311.190999999999</v>
      </c>
      <c r="G1281" s="4">
        <v>42311.485000000001</v>
      </c>
      <c r="H1281" s="5">
        <f>149 / 86400</f>
        <v>1.724537037037037E-3</v>
      </c>
      <c r="I1281" t="s">
        <v>31</v>
      </c>
      <c r="J1281" t="s">
        <v>24</v>
      </c>
      <c r="K1281" s="5">
        <f>350 / 86400</f>
        <v>4.0509259259259257E-3</v>
      </c>
      <c r="L1281" s="5">
        <f>9791 / 86400</f>
        <v>0.11332175925925926</v>
      </c>
    </row>
    <row r="1282" spans="1:12" x14ac:dyDescent="0.25">
      <c r="A1282" s="12"/>
      <c r="B1282" s="12"/>
      <c r="C1282" s="12"/>
      <c r="D1282" s="12"/>
      <c r="E1282" s="12"/>
      <c r="F1282" s="12"/>
      <c r="G1282" s="12"/>
      <c r="H1282" s="12"/>
      <c r="I1282" s="12"/>
      <c r="J1282" s="12"/>
    </row>
    <row r="1283" spans="1:12" x14ac:dyDescent="0.25">
      <c r="A1283" s="12"/>
      <c r="B1283" s="12"/>
      <c r="C1283" s="12"/>
      <c r="D1283" s="12"/>
      <c r="E1283" s="12"/>
      <c r="F1283" s="12"/>
      <c r="G1283" s="12"/>
      <c r="H1283" s="12"/>
      <c r="I1283" s="12"/>
      <c r="J1283" s="12"/>
    </row>
    <row r="1284" spans="1:12" s="10" customFormat="1" ht="20.100000000000001" customHeight="1" x14ac:dyDescent="0.35">
      <c r="A1284" s="15" t="s">
        <v>514</v>
      </c>
      <c r="B1284" s="15"/>
      <c r="C1284" s="15"/>
      <c r="D1284" s="15"/>
      <c r="E1284" s="15"/>
      <c r="F1284" s="15"/>
      <c r="G1284" s="15"/>
      <c r="H1284" s="15"/>
      <c r="I1284" s="15"/>
      <c r="J1284" s="15"/>
    </row>
    <row r="1285" spans="1:12" x14ac:dyDescent="0.25">
      <c r="A1285" s="12"/>
      <c r="B1285" s="12"/>
      <c r="C1285" s="12"/>
      <c r="D1285" s="12"/>
      <c r="E1285" s="12"/>
      <c r="F1285" s="12"/>
      <c r="G1285" s="12"/>
      <c r="H1285" s="12"/>
      <c r="I1285" s="12"/>
      <c r="J1285" s="12"/>
    </row>
    <row r="1286" spans="1:12" ht="30" x14ac:dyDescent="0.25">
      <c r="A1286" s="2" t="s">
        <v>6</v>
      </c>
      <c r="B1286" s="2" t="s">
        <v>7</v>
      </c>
      <c r="C1286" s="2" t="s">
        <v>8</v>
      </c>
      <c r="D1286" s="2" t="s">
        <v>9</v>
      </c>
      <c r="E1286" s="2" t="s">
        <v>10</v>
      </c>
      <c r="F1286" s="2" t="s">
        <v>11</v>
      </c>
      <c r="G1286" s="2" t="s">
        <v>12</v>
      </c>
      <c r="H1286" s="2" t="s">
        <v>13</v>
      </c>
      <c r="I1286" s="2" t="s">
        <v>14</v>
      </c>
      <c r="J1286" s="2" t="s">
        <v>15</v>
      </c>
      <c r="K1286" s="2" t="s">
        <v>16</v>
      </c>
      <c r="L1286" s="2" t="s">
        <v>17</v>
      </c>
    </row>
    <row r="1287" spans="1:12" x14ac:dyDescent="0.25">
      <c r="A1287" s="3">
        <v>45707.260300925926</v>
      </c>
      <c r="B1287" t="s">
        <v>107</v>
      </c>
      <c r="C1287" s="3">
        <v>45707.267777777779</v>
      </c>
      <c r="D1287" t="s">
        <v>190</v>
      </c>
      <c r="E1287" s="4">
        <v>2.3759999999999999</v>
      </c>
      <c r="F1287" s="4">
        <v>193200.22</v>
      </c>
      <c r="G1287" s="4">
        <v>193202.59599999999</v>
      </c>
      <c r="H1287" s="5">
        <f>119 / 86400</f>
        <v>1.3773148148148147E-3</v>
      </c>
      <c r="I1287" t="s">
        <v>185</v>
      </c>
      <c r="J1287" t="s">
        <v>62</v>
      </c>
      <c r="K1287" s="5">
        <f>646 / 86400</f>
        <v>7.4768518518518517E-3</v>
      </c>
      <c r="L1287" s="5">
        <f>22753 / 86400</f>
        <v>0.2633449074074074</v>
      </c>
    </row>
    <row r="1288" spans="1:12" x14ac:dyDescent="0.25">
      <c r="A1288" s="3">
        <v>45707.270821759259</v>
      </c>
      <c r="B1288" t="s">
        <v>190</v>
      </c>
      <c r="C1288" s="3">
        <v>45707.330011574071</v>
      </c>
      <c r="D1288" t="s">
        <v>110</v>
      </c>
      <c r="E1288" s="4">
        <v>32.776000000000003</v>
      </c>
      <c r="F1288" s="4">
        <v>193202.59599999999</v>
      </c>
      <c r="G1288" s="4">
        <v>193235.372</v>
      </c>
      <c r="H1288" s="5">
        <f>1038 / 86400</f>
        <v>1.2013888888888888E-2</v>
      </c>
      <c r="I1288" t="s">
        <v>78</v>
      </c>
      <c r="J1288" t="s">
        <v>35</v>
      </c>
      <c r="K1288" s="5">
        <f>5114 / 86400</f>
        <v>5.9189814814814813E-2</v>
      </c>
      <c r="L1288" s="5">
        <f>409 / 86400</f>
        <v>4.7337962962962967E-3</v>
      </c>
    </row>
    <row r="1289" spans="1:12" x14ac:dyDescent="0.25">
      <c r="A1289" s="3">
        <v>45707.334745370375</v>
      </c>
      <c r="B1289" t="s">
        <v>110</v>
      </c>
      <c r="C1289" s="3">
        <v>45707.343425925923</v>
      </c>
      <c r="D1289" t="s">
        <v>401</v>
      </c>
      <c r="E1289" s="4">
        <v>2.2690000000000001</v>
      </c>
      <c r="F1289" s="4">
        <v>193235.372</v>
      </c>
      <c r="G1289" s="4">
        <v>193237.641</v>
      </c>
      <c r="H1289" s="5">
        <f>180 / 86400</f>
        <v>2.0833333333333333E-3</v>
      </c>
      <c r="I1289" t="s">
        <v>172</v>
      </c>
      <c r="J1289" t="s">
        <v>137</v>
      </c>
      <c r="K1289" s="5">
        <f>750 / 86400</f>
        <v>8.6805555555555559E-3</v>
      </c>
      <c r="L1289" s="5">
        <f>4126 / 86400</f>
        <v>4.7754629629629633E-2</v>
      </c>
    </row>
    <row r="1290" spans="1:12" x14ac:dyDescent="0.25">
      <c r="A1290" s="3">
        <v>45707.391180555554</v>
      </c>
      <c r="B1290" t="s">
        <v>401</v>
      </c>
      <c r="C1290" s="3">
        <v>45707.391585648147</v>
      </c>
      <c r="D1290" t="s">
        <v>401</v>
      </c>
      <c r="E1290" s="4">
        <v>1.7000000000000001E-2</v>
      </c>
      <c r="F1290" s="4">
        <v>193237.641</v>
      </c>
      <c r="G1290" s="4">
        <v>193237.658</v>
      </c>
      <c r="H1290" s="5">
        <f>19 / 86400</f>
        <v>2.199074074074074E-4</v>
      </c>
      <c r="I1290" t="s">
        <v>72</v>
      </c>
      <c r="J1290" t="s">
        <v>136</v>
      </c>
      <c r="K1290" s="5">
        <f>35 / 86400</f>
        <v>4.0509259259259258E-4</v>
      </c>
      <c r="L1290" s="5">
        <f>34551 / 86400</f>
        <v>0.39989583333333334</v>
      </c>
    </row>
    <row r="1291" spans="1:12" x14ac:dyDescent="0.25">
      <c r="A1291" s="3">
        <v>45707.791481481487</v>
      </c>
      <c r="B1291" t="s">
        <v>401</v>
      </c>
      <c r="C1291" s="3">
        <v>45707.800787037035</v>
      </c>
      <c r="D1291" t="s">
        <v>401</v>
      </c>
      <c r="E1291" s="4">
        <v>0</v>
      </c>
      <c r="F1291" s="4">
        <v>193237.658</v>
      </c>
      <c r="G1291" s="4">
        <v>193237.658</v>
      </c>
      <c r="H1291" s="5">
        <f>799 / 86400</f>
        <v>9.2476851851851852E-3</v>
      </c>
      <c r="I1291" t="s">
        <v>72</v>
      </c>
      <c r="J1291" t="s">
        <v>72</v>
      </c>
      <c r="K1291" s="5">
        <f>804 / 86400</f>
        <v>9.3055555555555548E-3</v>
      </c>
      <c r="L1291" s="5">
        <f>976 / 86400</f>
        <v>1.1296296296296296E-2</v>
      </c>
    </row>
    <row r="1292" spans="1:12" x14ac:dyDescent="0.25">
      <c r="A1292" s="3">
        <v>45707.812083333338</v>
      </c>
      <c r="B1292" t="s">
        <v>401</v>
      </c>
      <c r="C1292" s="3">
        <v>45707.876840277779</v>
      </c>
      <c r="D1292" t="s">
        <v>455</v>
      </c>
      <c r="E1292" s="4">
        <v>33.582999999999998</v>
      </c>
      <c r="F1292" s="4">
        <v>193237.658</v>
      </c>
      <c r="G1292" s="4">
        <v>193271.24100000001</v>
      </c>
      <c r="H1292" s="5">
        <f>1399 / 86400</f>
        <v>1.6192129629629629E-2</v>
      </c>
      <c r="I1292" t="s">
        <v>23</v>
      </c>
      <c r="J1292" t="s">
        <v>129</v>
      </c>
      <c r="K1292" s="5">
        <f>5594 / 86400</f>
        <v>6.474537037037037E-2</v>
      </c>
      <c r="L1292" s="5">
        <f>96 / 86400</f>
        <v>1.1111111111111111E-3</v>
      </c>
    </row>
    <row r="1293" spans="1:12" x14ac:dyDescent="0.25">
      <c r="A1293" s="3">
        <v>45707.877951388888</v>
      </c>
      <c r="B1293" t="s">
        <v>456</v>
      </c>
      <c r="C1293" s="3">
        <v>45707.881736111114</v>
      </c>
      <c r="D1293" t="s">
        <v>107</v>
      </c>
      <c r="E1293" s="4">
        <v>1.393</v>
      </c>
      <c r="F1293" s="4">
        <v>193271.24100000001</v>
      </c>
      <c r="G1293" s="4">
        <v>193272.63399999999</v>
      </c>
      <c r="H1293" s="5">
        <f>40 / 86400</f>
        <v>4.6296296296296298E-4</v>
      </c>
      <c r="I1293" t="s">
        <v>161</v>
      </c>
      <c r="J1293" t="s">
        <v>46</v>
      </c>
      <c r="K1293" s="5">
        <f>326 / 86400</f>
        <v>3.7731481481481483E-3</v>
      </c>
      <c r="L1293" s="5">
        <f>269 / 86400</f>
        <v>3.1134259259259257E-3</v>
      </c>
    </row>
    <row r="1294" spans="1:12" x14ac:dyDescent="0.25">
      <c r="A1294" s="3">
        <v>45707.884849537033</v>
      </c>
      <c r="B1294" t="s">
        <v>107</v>
      </c>
      <c r="C1294" s="3">
        <v>45707.886990740742</v>
      </c>
      <c r="D1294" t="s">
        <v>107</v>
      </c>
      <c r="E1294" s="4">
        <v>0.13800000000000001</v>
      </c>
      <c r="F1294" s="4">
        <v>193272.63399999999</v>
      </c>
      <c r="G1294" s="4">
        <v>193272.772</v>
      </c>
      <c r="H1294" s="5">
        <f>60 / 86400</f>
        <v>6.9444444444444447E-4</v>
      </c>
      <c r="I1294" t="s">
        <v>132</v>
      </c>
      <c r="J1294" t="s">
        <v>24</v>
      </c>
      <c r="K1294" s="5">
        <f>184 / 86400</f>
        <v>2.1296296296296298E-3</v>
      </c>
      <c r="L1294" s="5">
        <f>9763 / 86400</f>
        <v>0.11299768518518519</v>
      </c>
    </row>
    <row r="1295" spans="1:12" x14ac:dyDescent="0.25">
      <c r="A1295" s="12"/>
      <c r="B1295" s="12"/>
      <c r="C1295" s="12"/>
      <c r="D1295" s="12"/>
      <c r="E1295" s="12"/>
      <c r="F1295" s="12"/>
      <c r="G1295" s="12"/>
      <c r="H1295" s="12"/>
      <c r="I1295" s="12"/>
      <c r="J1295" s="12"/>
    </row>
    <row r="1296" spans="1:12" x14ac:dyDescent="0.25">
      <c r="A1296" s="12"/>
      <c r="B1296" s="12"/>
      <c r="C1296" s="12"/>
      <c r="D1296" s="12"/>
      <c r="E1296" s="12"/>
      <c r="F1296" s="12"/>
      <c r="G1296" s="12"/>
      <c r="H1296" s="12"/>
      <c r="I1296" s="12"/>
      <c r="J1296" s="12"/>
    </row>
    <row r="1297" spans="1:12" s="10" customFormat="1" ht="20.100000000000001" customHeight="1" x14ac:dyDescent="0.35">
      <c r="A1297" s="15" t="s">
        <v>515</v>
      </c>
      <c r="B1297" s="15"/>
      <c r="C1297" s="15"/>
      <c r="D1297" s="15"/>
      <c r="E1297" s="15"/>
      <c r="F1297" s="15"/>
      <c r="G1297" s="15"/>
      <c r="H1297" s="15"/>
      <c r="I1297" s="15"/>
      <c r="J1297" s="15"/>
    </row>
    <row r="1298" spans="1:12" x14ac:dyDescent="0.25">
      <c r="A1298" s="12"/>
      <c r="B1298" s="12"/>
      <c r="C1298" s="12"/>
      <c r="D1298" s="12"/>
      <c r="E1298" s="12"/>
      <c r="F1298" s="12"/>
      <c r="G1298" s="12"/>
      <c r="H1298" s="12"/>
      <c r="I1298" s="12"/>
      <c r="J1298" s="12"/>
    </row>
    <row r="1299" spans="1:12" ht="30" x14ac:dyDescent="0.25">
      <c r="A1299" s="2" t="s">
        <v>6</v>
      </c>
      <c r="B1299" s="2" t="s">
        <v>7</v>
      </c>
      <c r="C1299" s="2" t="s">
        <v>8</v>
      </c>
      <c r="D1299" s="2" t="s">
        <v>9</v>
      </c>
      <c r="E1299" s="2" t="s">
        <v>10</v>
      </c>
      <c r="F1299" s="2" t="s">
        <v>11</v>
      </c>
      <c r="G1299" s="2" t="s">
        <v>12</v>
      </c>
      <c r="H1299" s="2" t="s">
        <v>13</v>
      </c>
      <c r="I1299" s="2" t="s">
        <v>14</v>
      </c>
      <c r="J1299" s="2" t="s">
        <v>15</v>
      </c>
      <c r="K1299" s="2" t="s">
        <v>16</v>
      </c>
      <c r="L1299" s="2" t="s">
        <v>17</v>
      </c>
    </row>
    <row r="1300" spans="1:12" x14ac:dyDescent="0.25">
      <c r="A1300" s="3">
        <v>45707.201689814814</v>
      </c>
      <c r="B1300" t="s">
        <v>66</v>
      </c>
      <c r="C1300" s="3">
        <v>45707.448796296296</v>
      </c>
      <c r="D1300" t="s">
        <v>130</v>
      </c>
      <c r="E1300" s="4">
        <v>101.53200000005961</v>
      </c>
      <c r="F1300" s="4">
        <v>524338.80700000003</v>
      </c>
      <c r="G1300" s="4">
        <v>524440.33900000004</v>
      </c>
      <c r="H1300" s="5">
        <f>7319 / 86400</f>
        <v>8.4710648148148146E-2</v>
      </c>
      <c r="I1300" t="s">
        <v>87</v>
      </c>
      <c r="J1300" t="s">
        <v>37</v>
      </c>
      <c r="K1300" s="5">
        <f>21350 / 86400</f>
        <v>0.24710648148148148</v>
      </c>
      <c r="L1300" s="5">
        <f>18892 / 86400</f>
        <v>0.21865740740740741</v>
      </c>
    </row>
    <row r="1301" spans="1:12" x14ac:dyDescent="0.25">
      <c r="A1301" s="3">
        <v>45707.465763888889</v>
      </c>
      <c r="B1301" t="s">
        <v>130</v>
      </c>
      <c r="C1301" s="3">
        <v>45707.469189814816</v>
      </c>
      <c r="D1301" t="s">
        <v>110</v>
      </c>
      <c r="E1301" s="4">
        <v>1.3099999999403953</v>
      </c>
      <c r="F1301" s="4">
        <v>524440.33900000004</v>
      </c>
      <c r="G1301" s="4">
        <v>524441.64899999998</v>
      </c>
      <c r="H1301" s="5">
        <f>20 / 86400</f>
        <v>2.3148148148148149E-4</v>
      </c>
      <c r="I1301" t="s">
        <v>278</v>
      </c>
      <c r="J1301" t="s">
        <v>20</v>
      </c>
      <c r="K1301" s="5">
        <f>296 / 86400</f>
        <v>3.425925925925926E-3</v>
      </c>
      <c r="L1301" s="5">
        <f>715 / 86400</f>
        <v>8.2754629629629636E-3</v>
      </c>
    </row>
    <row r="1302" spans="1:12" x14ac:dyDescent="0.25">
      <c r="A1302" s="3">
        <v>45707.477465277778</v>
      </c>
      <c r="B1302" t="s">
        <v>110</v>
      </c>
      <c r="C1302" s="3">
        <v>45707.478483796294</v>
      </c>
      <c r="D1302" t="s">
        <v>110</v>
      </c>
      <c r="E1302" s="4">
        <v>2.1000000059604645E-2</v>
      </c>
      <c r="F1302" s="4">
        <v>524441.64899999998</v>
      </c>
      <c r="G1302" s="4">
        <v>524441.67000000004</v>
      </c>
      <c r="H1302" s="5">
        <f>79 / 86400</f>
        <v>9.1435185185185185E-4</v>
      </c>
      <c r="I1302" t="s">
        <v>134</v>
      </c>
      <c r="J1302" t="s">
        <v>127</v>
      </c>
      <c r="K1302" s="5">
        <f>88 / 86400</f>
        <v>1.0185185185185184E-3</v>
      </c>
      <c r="L1302" s="5">
        <f>3169 / 86400</f>
        <v>3.667824074074074E-2</v>
      </c>
    </row>
    <row r="1303" spans="1:12" x14ac:dyDescent="0.25">
      <c r="A1303" s="3">
        <v>45707.515162037038</v>
      </c>
      <c r="B1303" t="s">
        <v>110</v>
      </c>
      <c r="C1303" s="3">
        <v>45707.789247685185</v>
      </c>
      <c r="D1303" t="s">
        <v>110</v>
      </c>
      <c r="E1303" s="4">
        <v>101.06699999988079</v>
      </c>
      <c r="F1303" s="4">
        <v>524441.67000000004</v>
      </c>
      <c r="G1303" s="4">
        <v>524542.73699999996</v>
      </c>
      <c r="H1303" s="5">
        <f>9876 / 86400</f>
        <v>0.11430555555555555</v>
      </c>
      <c r="I1303" t="s">
        <v>60</v>
      </c>
      <c r="J1303" t="s">
        <v>46</v>
      </c>
      <c r="K1303" s="5">
        <f>23681 / 86400</f>
        <v>0.27408564814814818</v>
      </c>
      <c r="L1303" s="5">
        <f>660 / 86400</f>
        <v>7.6388888888888886E-3</v>
      </c>
    </row>
    <row r="1304" spans="1:12" x14ac:dyDescent="0.25">
      <c r="A1304" s="3">
        <v>45707.79688657407</v>
      </c>
      <c r="B1304" t="s">
        <v>110</v>
      </c>
      <c r="C1304" s="3">
        <v>45707.99998842593</v>
      </c>
      <c r="D1304" t="s">
        <v>108</v>
      </c>
      <c r="E1304" s="4">
        <v>97.176000000000002</v>
      </c>
      <c r="F1304" s="4">
        <v>524542.73699999996</v>
      </c>
      <c r="G1304" s="4">
        <v>524639.91299999994</v>
      </c>
      <c r="H1304" s="5">
        <f>4779 / 86400</f>
        <v>5.5312500000000001E-2</v>
      </c>
      <c r="I1304" t="s">
        <v>61</v>
      </c>
      <c r="J1304" t="s">
        <v>149</v>
      </c>
      <c r="K1304" s="5">
        <f>17548 / 86400</f>
        <v>0.20310185185185184</v>
      </c>
      <c r="L1304" s="5">
        <f>0 / 86400</f>
        <v>0</v>
      </c>
    </row>
    <row r="1305" spans="1:12" x14ac:dyDescent="0.25">
      <c r="A1305" s="12"/>
      <c r="B1305" s="12"/>
      <c r="C1305" s="12"/>
      <c r="D1305" s="12"/>
      <c r="E1305" s="12"/>
      <c r="F1305" s="12"/>
      <c r="G1305" s="12"/>
      <c r="H1305" s="12"/>
      <c r="I1305" s="12"/>
      <c r="J1305" s="12"/>
    </row>
    <row r="1306" spans="1:12" x14ac:dyDescent="0.25">
      <c r="A1306" s="12"/>
      <c r="B1306" s="12"/>
      <c r="C1306" s="12"/>
      <c r="D1306" s="12"/>
      <c r="E1306" s="12"/>
      <c r="F1306" s="12"/>
      <c r="G1306" s="12"/>
      <c r="H1306" s="12"/>
      <c r="I1306" s="12"/>
      <c r="J1306" s="12"/>
    </row>
    <row r="1307" spans="1:12" s="10" customFormat="1" ht="20.100000000000001" customHeight="1" x14ac:dyDescent="0.35">
      <c r="A1307" s="15" t="s">
        <v>516</v>
      </c>
      <c r="B1307" s="15"/>
      <c r="C1307" s="15"/>
      <c r="D1307" s="15"/>
      <c r="E1307" s="15"/>
      <c r="F1307" s="15"/>
      <c r="G1307" s="15"/>
      <c r="H1307" s="15"/>
      <c r="I1307" s="15"/>
      <c r="J1307" s="15"/>
    </row>
    <row r="1308" spans="1:12" x14ac:dyDescent="0.25">
      <c r="A1308" s="12"/>
      <c r="B1308" s="12"/>
      <c r="C1308" s="12"/>
      <c r="D1308" s="12"/>
      <c r="E1308" s="12"/>
      <c r="F1308" s="12"/>
      <c r="G1308" s="12"/>
      <c r="H1308" s="12"/>
      <c r="I1308" s="12"/>
      <c r="J1308" s="12"/>
    </row>
    <row r="1309" spans="1:12" ht="30" x14ac:dyDescent="0.25">
      <c r="A1309" s="2" t="s">
        <v>6</v>
      </c>
      <c r="B1309" s="2" t="s">
        <v>7</v>
      </c>
      <c r="C1309" s="2" t="s">
        <v>8</v>
      </c>
      <c r="D1309" s="2" t="s">
        <v>9</v>
      </c>
      <c r="E1309" s="2" t="s">
        <v>10</v>
      </c>
      <c r="F1309" s="2" t="s">
        <v>11</v>
      </c>
      <c r="G1309" s="2" t="s">
        <v>12</v>
      </c>
      <c r="H1309" s="2" t="s">
        <v>13</v>
      </c>
      <c r="I1309" s="2" t="s">
        <v>14</v>
      </c>
      <c r="J1309" s="2" t="s">
        <v>15</v>
      </c>
      <c r="K1309" s="2" t="s">
        <v>16</v>
      </c>
      <c r="L1309" s="2" t="s">
        <v>17</v>
      </c>
    </row>
    <row r="1310" spans="1:12" x14ac:dyDescent="0.25">
      <c r="A1310" s="3">
        <v>45707.266481481478</v>
      </c>
      <c r="B1310" t="s">
        <v>109</v>
      </c>
      <c r="C1310" s="3">
        <v>45707.269675925927</v>
      </c>
      <c r="D1310" t="s">
        <v>120</v>
      </c>
      <c r="E1310" s="4">
        <v>0.85499999999999998</v>
      </c>
      <c r="F1310" s="4">
        <v>24011.967000000001</v>
      </c>
      <c r="G1310" s="4">
        <v>24012.822</v>
      </c>
      <c r="H1310" s="5">
        <f>39 / 86400</f>
        <v>4.5138888888888887E-4</v>
      </c>
      <c r="I1310" t="s">
        <v>155</v>
      </c>
      <c r="J1310" t="s">
        <v>137</v>
      </c>
      <c r="K1310" s="5">
        <f>275 / 86400</f>
        <v>3.1828703703703702E-3</v>
      </c>
      <c r="L1310" s="5">
        <f>23870 / 86400</f>
        <v>0.27627314814814813</v>
      </c>
    </row>
    <row r="1311" spans="1:12" x14ac:dyDescent="0.25">
      <c r="A1311" s="3">
        <v>45707.279467592598</v>
      </c>
      <c r="B1311" t="s">
        <v>120</v>
      </c>
      <c r="C1311" s="3">
        <v>45707.279745370368</v>
      </c>
      <c r="D1311" t="s">
        <v>120</v>
      </c>
      <c r="E1311" s="4">
        <v>0.01</v>
      </c>
      <c r="F1311" s="4">
        <v>24012.822</v>
      </c>
      <c r="G1311" s="4">
        <v>24012.831999999999</v>
      </c>
      <c r="H1311" s="5">
        <f>0 / 86400</f>
        <v>0</v>
      </c>
      <c r="I1311" t="s">
        <v>127</v>
      </c>
      <c r="J1311" t="s">
        <v>136</v>
      </c>
      <c r="K1311" s="5">
        <f>23 / 86400</f>
        <v>2.6620370370370372E-4</v>
      </c>
      <c r="L1311" s="5">
        <f>1186 / 86400</f>
        <v>1.3726851851851851E-2</v>
      </c>
    </row>
    <row r="1312" spans="1:12" x14ac:dyDescent="0.25">
      <c r="A1312" s="3">
        <v>45707.293472222227</v>
      </c>
      <c r="B1312" t="s">
        <v>120</v>
      </c>
      <c r="C1312" s="3">
        <v>45707.428124999999</v>
      </c>
      <c r="D1312" t="s">
        <v>457</v>
      </c>
      <c r="E1312" s="4">
        <v>49.889000000000003</v>
      </c>
      <c r="F1312" s="4">
        <v>24012.831999999999</v>
      </c>
      <c r="G1312" s="4">
        <v>24062.721000000001</v>
      </c>
      <c r="H1312" s="5">
        <f>4040 / 86400</f>
        <v>4.6759259259259257E-2</v>
      </c>
      <c r="I1312" t="s">
        <v>382</v>
      </c>
      <c r="J1312" t="s">
        <v>46</v>
      </c>
      <c r="K1312" s="5">
        <f>11634 / 86400</f>
        <v>0.13465277777777779</v>
      </c>
      <c r="L1312" s="5">
        <f>526 / 86400</f>
        <v>6.0879629629629626E-3</v>
      </c>
    </row>
    <row r="1313" spans="1:12" x14ac:dyDescent="0.25">
      <c r="A1313" s="3">
        <v>45707.434212962966</v>
      </c>
      <c r="B1313" t="s">
        <v>457</v>
      </c>
      <c r="C1313" s="3">
        <v>45707.585081018522</v>
      </c>
      <c r="D1313" t="s">
        <v>130</v>
      </c>
      <c r="E1313" s="4">
        <v>52.813000000000002</v>
      </c>
      <c r="F1313" s="4">
        <v>24062.721000000001</v>
      </c>
      <c r="G1313" s="4">
        <v>24115.534</v>
      </c>
      <c r="H1313" s="5">
        <f>4119 / 86400</f>
        <v>4.7673611111111111E-2</v>
      </c>
      <c r="I1313" t="s">
        <v>180</v>
      </c>
      <c r="J1313" t="s">
        <v>46</v>
      </c>
      <c r="K1313" s="5">
        <f>13035 / 86400</f>
        <v>0.15086805555555555</v>
      </c>
      <c r="L1313" s="5">
        <f>131 / 86400</f>
        <v>1.5162037037037036E-3</v>
      </c>
    </row>
    <row r="1314" spans="1:12" x14ac:dyDescent="0.25">
      <c r="A1314" s="3">
        <v>45707.586597222224</v>
      </c>
      <c r="B1314" t="s">
        <v>130</v>
      </c>
      <c r="C1314" s="3">
        <v>45707.588402777779</v>
      </c>
      <c r="D1314" t="s">
        <v>154</v>
      </c>
      <c r="E1314" s="4">
        <v>0.67700000000000005</v>
      </c>
      <c r="F1314" s="4">
        <v>24115.534</v>
      </c>
      <c r="G1314" s="4">
        <v>24116.210999999999</v>
      </c>
      <c r="H1314" s="5">
        <f>0 / 86400</f>
        <v>0</v>
      </c>
      <c r="I1314" t="s">
        <v>155</v>
      </c>
      <c r="J1314" t="s">
        <v>20</v>
      </c>
      <c r="K1314" s="5">
        <f>156 / 86400</f>
        <v>1.8055555555555555E-3</v>
      </c>
      <c r="L1314" s="5">
        <f>408 / 86400</f>
        <v>4.7222222222222223E-3</v>
      </c>
    </row>
    <row r="1315" spans="1:12" x14ac:dyDescent="0.25">
      <c r="A1315" s="3">
        <v>45707.593124999999</v>
      </c>
      <c r="B1315" t="s">
        <v>154</v>
      </c>
      <c r="C1315" s="3">
        <v>45707.673807870371</v>
      </c>
      <c r="D1315" t="s">
        <v>201</v>
      </c>
      <c r="E1315" s="4">
        <v>40.570999999999998</v>
      </c>
      <c r="F1315" s="4">
        <v>24116.210999999999</v>
      </c>
      <c r="G1315" s="4">
        <v>24156.781999999999</v>
      </c>
      <c r="H1315" s="5">
        <f>1900 / 86400</f>
        <v>2.1990740740740741E-2</v>
      </c>
      <c r="I1315" t="s">
        <v>50</v>
      </c>
      <c r="J1315" t="s">
        <v>166</v>
      </c>
      <c r="K1315" s="5">
        <f>6970 / 86400</f>
        <v>8.0671296296296297E-2</v>
      </c>
      <c r="L1315" s="5">
        <f>1448 / 86400</f>
        <v>1.6759259259259258E-2</v>
      </c>
    </row>
    <row r="1316" spans="1:12" x14ac:dyDescent="0.25">
      <c r="A1316" s="3">
        <v>45707.690567129626</v>
      </c>
      <c r="B1316" t="s">
        <v>201</v>
      </c>
      <c r="C1316" s="3">
        <v>45707.8121412037</v>
      </c>
      <c r="D1316" t="s">
        <v>110</v>
      </c>
      <c r="E1316" s="4">
        <v>39.509</v>
      </c>
      <c r="F1316" s="4">
        <v>24156.781999999999</v>
      </c>
      <c r="G1316" s="4">
        <v>24196.291000000001</v>
      </c>
      <c r="H1316" s="5">
        <f>3341 / 86400</f>
        <v>3.8668981481481485E-2</v>
      </c>
      <c r="I1316" t="s">
        <v>282</v>
      </c>
      <c r="J1316" t="s">
        <v>43</v>
      </c>
      <c r="K1316" s="5">
        <f>10504 / 86400</f>
        <v>0.12157407407407407</v>
      </c>
      <c r="L1316" s="5">
        <f>354 / 86400</f>
        <v>4.0972222222222226E-3</v>
      </c>
    </row>
    <row r="1317" spans="1:12" x14ac:dyDescent="0.25">
      <c r="A1317" s="3">
        <v>45707.816238425927</v>
      </c>
      <c r="B1317" t="s">
        <v>110</v>
      </c>
      <c r="C1317" s="3">
        <v>45707.8199537037</v>
      </c>
      <c r="D1317" t="s">
        <v>109</v>
      </c>
      <c r="E1317" s="4">
        <v>0.77900000000000003</v>
      </c>
      <c r="F1317" s="4">
        <v>24196.291000000001</v>
      </c>
      <c r="G1317" s="4">
        <v>24197.07</v>
      </c>
      <c r="H1317" s="5">
        <f>119 / 86400</f>
        <v>1.3773148148148147E-3</v>
      </c>
      <c r="I1317" t="s">
        <v>169</v>
      </c>
      <c r="J1317" t="s">
        <v>132</v>
      </c>
      <c r="K1317" s="5">
        <f>320 / 86400</f>
        <v>3.7037037037037038E-3</v>
      </c>
      <c r="L1317" s="5">
        <f>15555 / 86400</f>
        <v>0.18003472222222222</v>
      </c>
    </row>
    <row r="1318" spans="1:12" x14ac:dyDescent="0.25">
      <c r="A1318" s="12"/>
      <c r="B1318" s="12"/>
      <c r="C1318" s="12"/>
      <c r="D1318" s="12"/>
      <c r="E1318" s="12"/>
      <c r="F1318" s="12"/>
      <c r="G1318" s="12"/>
      <c r="H1318" s="12"/>
      <c r="I1318" s="12"/>
      <c r="J1318" s="12"/>
    </row>
    <row r="1319" spans="1:12" x14ac:dyDescent="0.25">
      <c r="A1319" s="12"/>
      <c r="B1319" s="12"/>
      <c r="C1319" s="12"/>
      <c r="D1319" s="12"/>
      <c r="E1319" s="12"/>
      <c r="F1319" s="12"/>
      <c r="G1319" s="12"/>
      <c r="H1319" s="12"/>
      <c r="I1319" s="12"/>
      <c r="J1319" s="12"/>
    </row>
    <row r="1320" spans="1:12" s="10" customFormat="1" ht="20.100000000000001" customHeight="1" x14ac:dyDescent="0.35">
      <c r="A1320" s="15" t="s">
        <v>517</v>
      </c>
      <c r="B1320" s="15"/>
      <c r="C1320" s="15"/>
      <c r="D1320" s="15"/>
      <c r="E1320" s="15"/>
      <c r="F1320" s="15"/>
      <c r="G1320" s="15"/>
      <c r="H1320" s="15"/>
      <c r="I1320" s="15"/>
      <c r="J1320" s="15"/>
    </row>
    <row r="1321" spans="1:12" x14ac:dyDescent="0.25">
      <c r="A1321" s="12"/>
      <c r="B1321" s="12"/>
      <c r="C1321" s="12"/>
      <c r="D1321" s="12"/>
      <c r="E1321" s="12"/>
      <c r="F1321" s="12"/>
      <c r="G1321" s="12"/>
      <c r="H1321" s="12"/>
      <c r="I1321" s="12"/>
      <c r="J1321" s="12"/>
    </row>
    <row r="1322" spans="1:12" ht="30" x14ac:dyDescent="0.25">
      <c r="A1322" s="2" t="s">
        <v>6</v>
      </c>
      <c r="B1322" s="2" t="s">
        <v>7</v>
      </c>
      <c r="C1322" s="2" t="s">
        <v>8</v>
      </c>
      <c r="D1322" s="2" t="s">
        <v>9</v>
      </c>
      <c r="E1322" s="2" t="s">
        <v>10</v>
      </c>
      <c r="F1322" s="2" t="s">
        <v>11</v>
      </c>
      <c r="G1322" s="2" t="s">
        <v>12</v>
      </c>
      <c r="H1322" s="2" t="s">
        <v>13</v>
      </c>
      <c r="I1322" s="2" t="s">
        <v>14</v>
      </c>
      <c r="J1322" s="2" t="s">
        <v>15</v>
      </c>
      <c r="K1322" s="2" t="s">
        <v>16</v>
      </c>
      <c r="L1322" s="2" t="s">
        <v>17</v>
      </c>
    </row>
    <row r="1323" spans="1:12" x14ac:dyDescent="0.25">
      <c r="A1323" s="3">
        <v>45707.206365740742</v>
      </c>
      <c r="B1323" t="s">
        <v>36</v>
      </c>
      <c r="C1323" s="3">
        <v>45707.206388888888</v>
      </c>
      <c r="D1323" t="s">
        <v>36</v>
      </c>
      <c r="E1323" s="4">
        <v>0</v>
      </c>
      <c r="F1323" s="4">
        <v>64960.722000000002</v>
      </c>
      <c r="G1323" s="4">
        <v>64960.722000000002</v>
      </c>
      <c r="H1323" s="5">
        <f>0 / 86400</f>
        <v>0</v>
      </c>
      <c r="I1323" t="s">
        <v>72</v>
      </c>
      <c r="J1323" t="s">
        <v>72</v>
      </c>
      <c r="K1323" s="5">
        <f>1 / 86400</f>
        <v>1.1574074074074073E-5</v>
      </c>
      <c r="L1323" s="5">
        <f>17924 / 86400</f>
        <v>0.2074537037037037</v>
      </c>
    </row>
    <row r="1324" spans="1:12" x14ac:dyDescent="0.25">
      <c r="A1324" s="3">
        <v>45707.207476851851</v>
      </c>
      <c r="B1324" t="s">
        <v>36</v>
      </c>
      <c r="C1324" s="3">
        <v>45707.216261574074</v>
      </c>
      <c r="D1324" t="s">
        <v>139</v>
      </c>
      <c r="E1324" s="4">
        <v>0.38400000000000001</v>
      </c>
      <c r="F1324" s="4">
        <v>64960.722000000002</v>
      </c>
      <c r="G1324" s="4">
        <v>64961.106</v>
      </c>
      <c r="H1324" s="5">
        <f>699 / 86400</f>
        <v>8.0902777777777778E-3</v>
      </c>
      <c r="I1324" t="s">
        <v>301</v>
      </c>
      <c r="J1324" t="s">
        <v>136</v>
      </c>
      <c r="K1324" s="5">
        <f>758 / 86400</f>
        <v>8.773148148148148E-3</v>
      </c>
      <c r="L1324" s="5">
        <f>81 / 86400</f>
        <v>9.3749999999999997E-4</v>
      </c>
    </row>
    <row r="1325" spans="1:12" x14ac:dyDescent="0.25">
      <c r="A1325" s="3">
        <v>45707.217199074075</v>
      </c>
      <c r="B1325" t="s">
        <v>139</v>
      </c>
      <c r="C1325" s="3">
        <v>45707.217349537037</v>
      </c>
      <c r="D1325" t="s">
        <v>139</v>
      </c>
      <c r="E1325" s="4">
        <v>6.0000000000000001E-3</v>
      </c>
      <c r="F1325" s="4">
        <v>64961.106</v>
      </c>
      <c r="G1325" s="4">
        <v>64961.112000000001</v>
      </c>
      <c r="H1325" s="5">
        <f>0 / 86400</f>
        <v>0</v>
      </c>
      <c r="I1325" t="s">
        <v>72</v>
      </c>
      <c r="J1325" t="s">
        <v>136</v>
      </c>
      <c r="K1325" s="5">
        <f>12 / 86400</f>
        <v>1.3888888888888889E-4</v>
      </c>
      <c r="L1325" s="5">
        <f>64 / 86400</f>
        <v>7.407407407407407E-4</v>
      </c>
    </row>
    <row r="1326" spans="1:12" x14ac:dyDescent="0.25">
      <c r="A1326" s="3">
        <v>45707.218090277776</v>
      </c>
      <c r="B1326" t="s">
        <v>139</v>
      </c>
      <c r="C1326" s="3">
        <v>45707.218229166669</v>
      </c>
      <c r="D1326" t="s">
        <v>139</v>
      </c>
      <c r="E1326" s="4">
        <v>1E-3</v>
      </c>
      <c r="F1326" s="4">
        <v>64961.112000000001</v>
      </c>
      <c r="G1326" s="4">
        <v>64961.112999999998</v>
      </c>
      <c r="H1326" s="5">
        <f>0 / 86400</f>
        <v>0</v>
      </c>
      <c r="I1326" t="s">
        <v>72</v>
      </c>
      <c r="J1326" t="s">
        <v>72</v>
      </c>
      <c r="K1326" s="5">
        <f>11 / 86400</f>
        <v>1.273148148148148E-4</v>
      </c>
      <c r="L1326" s="5">
        <f>94 / 86400</f>
        <v>1.0879629629629629E-3</v>
      </c>
    </row>
    <row r="1327" spans="1:12" x14ac:dyDescent="0.25">
      <c r="A1327" s="3">
        <v>45707.219317129631</v>
      </c>
      <c r="B1327" t="s">
        <v>139</v>
      </c>
      <c r="C1327" s="3">
        <v>45707.417488425926</v>
      </c>
      <c r="D1327" t="s">
        <v>110</v>
      </c>
      <c r="E1327" s="4">
        <v>79.992000000000004</v>
      </c>
      <c r="F1327" s="4">
        <v>64961.112999999998</v>
      </c>
      <c r="G1327" s="4">
        <v>65041.105000000003</v>
      </c>
      <c r="H1327" s="5">
        <f>6120 / 86400</f>
        <v>7.0833333333333331E-2</v>
      </c>
      <c r="I1327" t="s">
        <v>65</v>
      </c>
      <c r="J1327" t="s">
        <v>37</v>
      </c>
      <c r="K1327" s="5">
        <f>17121 / 86400</f>
        <v>0.19815972222222222</v>
      </c>
      <c r="L1327" s="5">
        <f>279 / 86400</f>
        <v>3.2291666666666666E-3</v>
      </c>
    </row>
    <row r="1328" spans="1:12" x14ac:dyDescent="0.25">
      <c r="A1328" s="3">
        <v>45707.420717592591</v>
      </c>
      <c r="B1328" t="s">
        <v>110</v>
      </c>
      <c r="C1328" s="3">
        <v>45707.422650462962</v>
      </c>
      <c r="D1328" t="s">
        <v>110</v>
      </c>
      <c r="E1328" s="4">
        <v>0.184</v>
      </c>
      <c r="F1328" s="4">
        <v>65041.105000000003</v>
      </c>
      <c r="G1328" s="4">
        <v>65041.288999999997</v>
      </c>
      <c r="H1328" s="5">
        <f>60 / 86400</f>
        <v>6.9444444444444447E-4</v>
      </c>
      <c r="I1328" t="s">
        <v>46</v>
      </c>
      <c r="J1328" t="s">
        <v>58</v>
      </c>
      <c r="K1328" s="5">
        <f>167 / 86400</f>
        <v>1.9328703703703704E-3</v>
      </c>
      <c r="L1328" s="5">
        <f>2803 / 86400</f>
        <v>3.2442129629629626E-2</v>
      </c>
    </row>
    <row r="1329" spans="1:12" x14ac:dyDescent="0.25">
      <c r="A1329" s="3">
        <v>45707.455092592594</v>
      </c>
      <c r="B1329" t="s">
        <v>66</v>
      </c>
      <c r="C1329" s="3">
        <v>45707.47038194444</v>
      </c>
      <c r="D1329" t="s">
        <v>130</v>
      </c>
      <c r="E1329" s="4">
        <v>1.3240000000000001</v>
      </c>
      <c r="F1329" s="4">
        <v>65041.288999999997</v>
      </c>
      <c r="G1329" s="4">
        <v>65042.612999999998</v>
      </c>
      <c r="H1329" s="5">
        <f>1019 / 86400</f>
        <v>1.1793981481481482E-2</v>
      </c>
      <c r="I1329" t="s">
        <v>256</v>
      </c>
      <c r="J1329" t="s">
        <v>58</v>
      </c>
      <c r="K1329" s="5">
        <f>1321 / 86400</f>
        <v>1.5289351851851853E-2</v>
      </c>
      <c r="L1329" s="5">
        <f>407 / 86400</f>
        <v>4.7106481481481478E-3</v>
      </c>
    </row>
    <row r="1330" spans="1:12" x14ac:dyDescent="0.25">
      <c r="A1330" s="3">
        <v>45707.475092592591</v>
      </c>
      <c r="B1330" t="s">
        <v>130</v>
      </c>
      <c r="C1330" s="3">
        <v>45707.822627314818</v>
      </c>
      <c r="D1330" t="s">
        <v>36</v>
      </c>
      <c r="E1330" s="4">
        <v>144.87899999999999</v>
      </c>
      <c r="F1330" s="4">
        <v>65042.612999999998</v>
      </c>
      <c r="G1330" s="4">
        <v>65187.491999999998</v>
      </c>
      <c r="H1330" s="5">
        <f>10220 / 86400</f>
        <v>0.11828703703703704</v>
      </c>
      <c r="I1330" t="s">
        <v>113</v>
      </c>
      <c r="J1330" t="s">
        <v>37</v>
      </c>
      <c r="K1330" s="5">
        <f>30026 / 86400</f>
        <v>0.34752314814814816</v>
      </c>
      <c r="L1330" s="5">
        <f>396 / 86400</f>
        <v>4.5833333333333334E-3</v>
      </c>
    </row>
    <row r="1331" spans="1:12" x14ac:dyDescent="0.25">
      <c r="A1331" s="3">
        <v>45707.827210648145</v>
      </c>
      <c r="B1331" t="s">
        <v>36</v>
      </c>
      <c r="C1331" s="3">
        <v>45707.829745370371</v>
      </c>
      <c r="D1331" t="s">
        <v>36</v>
      </c>
      <c r="E1331" s="4">
        <v>1.389</v>
      </c>
      <c r="F1331" s="4">
        <v>65187.491999999998</v>
      </c>
      <c r="G1331" s="4">
        <v>65188.881000000001</v>
      </c>
      <c r="H1331" s="5">
        <f>20 / 86400</f>
        <v>2.3148148148148149E-4</v>
      </c>
      <c r="I1331" t="s">
        <v>177</v>
      </c>
      <c r="J1331" t="s">
        <v>35</v>
      </c>
      <c r="K1331" s="5">
        <f>219 / 86400</f>
        <v>2.5347222222222221E-3</v>
      </c>
      <c r="L1331" s="5">
        <f>14709 / 86400</f>
        <v>0.17024305555555555</v>
      </c>
    </row>
    <row r="1332" spans="1:12" x14ac:dyDescent="0.25">
      <c r="A1332" s="12"/>
      <c r="B1332" s="12"/>
      <c r="C1332" s="12"/>
      <c r="D1332" s="12"/>
      <c r="E1332" s="12"/>
      <c r="F1332" s="12"/>
      <c r="G1332" s="12"/>
      <c r="H1332" s="12"/>
      <c r="I1332" s="12"/>
      <c r="J1332" s="12"/>
    </row>
    <row r="1333" spans="1:12" x14ac:dyDescent="0.25">
      <c r="A1333" s="12"/>
      <c r="B1333" s="12"/>
      <c r="C1333" s="12"/>
      <c r="D1333" s="12"/>
      <c r="E1333" s="12"/>
      <c r="F1333" s="12"/>
      <c r="G1333" s="12"/>
      <c r="H1333" s="12"/>
      <c r="I1333" s="12"/>
      <c r="J1333" s="12"/>
    </row>
    <row r="1334" spans="1:12" s="10" customFormat="1" ht="20.100000000000001" customHeight="1" x14ac:dyDescent="0.35">
      <c r="A1334" s="15" t="s">
        <v>518</v>
      </c>
      <c r="B1334" s="15"/>
      <c r="C1334" s="15"/>
      <c r="D1334" s="15"/>
      <c r="E1334" s="15"/>
      <c r="F1334" s="15"/>
      <c r="G1334" s="15"/>
      <c r="H1334" s="15"/>
      <c r="I1334" s="15"/>
      <c r="J1334" s="15"/>
    </row>
    <row r="1335" spans="1:12" x14ac:dyDescent="0.25">
      <c r="A1335" s="12"/>
      <c r="B1335" s="12"/>
      <c r="C1335" s="12"/>
      <c r="D1335" s="12"/>
      <c r="E1335" s="12"/>
      <c r="F1335" s="12"/>
      <c r="G1335" s="12"/>
      <c r="H1335" s="12"/>
      <c r="I1335" s="12"/>
      <c r="J1335" s="12"/>
    </row>
    <row r="1336" spans="1:12" ht="30" x14ac:dyDescent="0.25">
      <c r="A1336" s="2" t="s">
        <v>6</v>
      </c>
      <c r="B1336" s="2" t="s">
        <v>7</v>
      </c>
      <c r="C1336" s="2" t="s">
        <v>8</v>
      </c>
      <c r="D1336" s="2" t="s">
        <v>9</v>
      </c>
      <c r="E1336" s="2" t="s">
        <v>10</v>
      </c>
      <c r="F1336" s="2" t="s">
        <v>11</v>
      </c>
      <c r="G1336" s="2" t="s">
        <v>12</v>
      </c>
      <c r="H1336" s="2" t="s">
        <v>13</v>
      </c>
      <c r="I1336" s="2" t="s">
        <v>14</v>
      </c>
      <c r="J1336" s="2" t="s">
        <v>15</v>
      </c>
      <c r="K1336" s="2" t="s">
        <v>16</v>
      </c>
      <c r="L1336" s="2" t="s">
        <v>17</v>
      </c>
    </row>
    <row r="1337" spans="1:12" x14ac:dyDescent="0.25">
      <c r="A1337" s="3">
        <v>45707.262488425928</v>
      </c>
      <c r="B1337" t="s">
        <v>18</v>
      </c>
      <c r="C1337" s="3">
        <v>45707.264606481476</v>
      </c>
      <c r="D1337" t="s">
        <v>70</v>
      </c>
      <c r="E1337" s="4">
        <v>0</v>
      </c>
      <c r="F1337" s="4">
        <v>5810.8639999999996</v>
      </c>
      <c r="G1337" s="4">
        <v>5810.8639999999996</v>
      </c>
      <c r="H1337" s="5">
        <f>179 / 86400</f>
        <v>2.0717592592592593E-3</v>
      </c>
      <c r="I1337" t="s">
        <v>72</v>
      </c>
      <c r="J1337" t="s">
        <v>72</v>
      </c>
      <c r="K1337" s="5">
        <f>182 / 86400</f>
        <v>2.1064814814814813E-3</v>
      </c>
      <c r="L1337" s="5">
        <f>23504 / 86400</f>
        <v>0.27203703703703702</v>
      </c>
    </row>
    <row r="1338" spans="1:12" x14ac:dyDescent="0.25">
      <c r="A1338" s="3">
        <v>45707.274155092593</v>
      </c>
      <c r="B1338" t="s">
        <v>70</v>
      </c>
      <c r="C1338" s="3">
        <v>45707.340949074074</v>
      </c>
      <c r="D1338" t="s">
        <v>144</v>
      </c>
      <c r="E1338" s="4">
        <v>35.093000000000004</v>
      </c>
      <c r="F1338" s="4">
        <v>5810.8639999999996</v>
      </c>
      <c r="G1338" s="4">
        <v>5845.9570000000003</v>
      </c>
      <c r="H1338" s="5">
        <f>1238 / 86400</f>
        <v>1.4328703703703703E-2</v>
      </c>
      <c r="I1338" t="s">
        <v>111</v>
      </c>
      <c r="J1338" t="s">
        <v>129</v>
      </c>
      <c r="K1338" s="5">
        <f>5771 / 86400</f>
        <v>6.6793981481481482E-2</v>
      </c>
      <c r="L1338" s="5">
        <f>1248 / 86400</f>
        <v>1.4444444444444444E-2</v>
      </c>
    </row>
    <row r="1339" spans="1:12" x14ac:dyDescent="0.25">
      <c r="A1339" s="3">
        <v>45707.355393518519</v>
      </c>
      <c r="B1339" t="s">
        <v>144</v>
      </c>
      <c r="C1339" s="3">
        <v>45707.355983796297</v>
      </c>
      <c r="D1339" t="s">
        <v>130</v>
      </c>
      <c r="E1339" s="4">
        <v>4.5999999999999999E-2</v>
      </c>
      <c r="F1339" s="4">
        <v>5845.9570000000003</v>
      </c>
      <c r="G1339" s="4">
        <v>5846.0029999999997</v>
      </c>
      <c r="H1339" s="5">
        <f>19 / 86400</f>
        <v>2.199074074074074E-4</v>
      </c>
      <c r="I1339" t="s">
        <v>132</v>
      </c>
      <c r="J1339" t="s">
        <v>24</v>
      </c>
      <c r="K1339" s="5">
        <f>50 / 86400</f>
        <v>5.7870370370370367E-4</v>
      </c>
      <c r="L1339" s="5">
        <f>2 / 86400</f>
        <v>2.3148148148148147E-5</v>
      </c>
    </row>
    <row r="1340" spans="1:12" x14ac:dyDescent="0.25">
      <c r="A1340" s="3">
        <v>45707.356006944443</v>
      </c>
      <c r="B1340" t="s">
        <v>130</v>
      </c>
      <c r="C1340" s="3">
        <v>45707.362314814818</v>
      </c>
      <c r="D1340" t="s">
        <v>110</v>
      </c>
      <c r="E1340" s="4">
        <v>1.3580000000000001</v>
      </c>
      <c r="F1340" s="4">
        <v>5846.0029999999997</v>
      </c>
      <c r="G1340" s="4">
        <v>5847.3609999999999</v>
      </c>
      <c r="H1340" s="5">
        <f>243 / 86400</f>
        <v>2.8124999999999999E-3</v>
      </c>
      <c r="I1340" t="s">
        <v>161</v>
      </c>
      <c r="J1340" t="s">
        <v>132</v>
      </c>
      <c r="K1340" s="5">
        <f>545 / 86400</f>
        <v>6.3078703703703708E-3</v>
      </c>
      <c r="L1340" s="5">
        <f>4036 / 86400</f>
        <v>4.6712962962962963E-2</v>
      </c>
    </row>
    <row r="1341" spans="1:12" x14ac:dyDescent="0.25">
      <c r="A1341" s="3">
        <v>45707.40902777778</v>
      </c>
      <c r="B1341" t="s">
        <v>110</v>
      </c>
      <c r="C1341" s="3">
        <v>45707.409409722226</v>
      </c>
      <c r="D1341" t="s">
        <v>110</v>
      </c>
      <c r="E1341" s="4">
        <v>0</v>
      </c>
      <c r="F1341" s="4">
        <v>5847.3609999999999</v>
      </c>
      <c r="G1341" s="4">
        <v>5847.3609999999999</v>
      </c>
      <c r="H1341" s="5">
        <f>19 / 86400</f>
        <v>2.199074074074074E-4</v>
      </c>
      <c r="I1341" t="s">
        <v>72</v>
      </c>
      <c r="J1341" t="s">
        <v>72</v>
      </c>
      <c r="K1341" s="5">
        <f>33 / 86400</f>
        <v>3.8194444444444446E-4</v>
      </c>
      <c r="L1341" s="5">
        <f>4890 / 86400</f>
        <v>5.6597222222222222E-2</v>
      </c>
    </row>
    <row r="1342" spans="1:12" x14ac:dyDescent="0.25">
      <c r="A1342" s="3">
        <v>45707.466006944444</v>
      </c>
      <c r="B1342" t="s">
        <v>110</v>
      </c>
      <c r="C1342" s="3">
        <v>45707.468946759254</v>
      </c>
      <c r="D1342" t="s">
        <v>110</v>
      </c>
      <c r="E1342" s="4">
        <v>0</v>
      </c>
      <c r="F1342" s="4">
        <v>5847.3609999999999</v>
      </c>
      <c r="G1342" s="4">
        <v>5847.3609999999999</v>
      </c>
      <c r="H1342" s="5">
        <f>239 / 86400</f>
        <v>2.7662037037037039E-3</v>
      </c>
      <c r="I1342" t="s">
        <v>72</v>
      </c>
      <c r="J1342" t="s">
        <v>72</v>
      </c>
      <c r="K1342" s="5">
        <f>254 / 86400</f>
        <v>2.9398148148148148E-3</v>
      </c>
      <c r="L1342" s="5">
        <f>2788 / 86400</f>
        <v>3.2268518518518516E-2</v>
      </c>
    </row>
    <row r="1343" spans="1:12" x14ac:dyDescent="0.25">
      <c r="A1343" s="3">
        <v>45707.501215277778</v>
      </c>
      <c r="B1343" t="s">
        <v>110</v>
      </c>
      <c r="C1343" s="3">
        <v>45707.512430555551</v>
      </c>
      <c r="D1343" t="s">
        <v>110</v>
      </c>
      <c r="E1343" s="4">
        <v>0</v>
      </c>
      <c r="F1343" s="4">
        <v>5847.3609999999999</v>
      </c>
      <c r="G1343" s="4">
        <v>5847.3609999999999</v>
      </c>
      <c r="H1343" s="5">
        <f>960 / 86400</f>
        <v>1.1111111111111112E-2</v>
      </c>
      <c r="I1343" t="s">
        <v>72</v>
      </c>
      <c r="J1343" t="s">
        <v>72</v>
      </c>
      <c r="K1343" s="5">
        <f>969 / 86400</f>
        <v>1.1215277777777777E-2</v>
      </c>
      <c r="L1343" s="5">
        <f>36 / 86400</f>
        <v>4.1666666666666669E-4</v>
      </c>
    </row>
    <row r="1344" spans="1:12" x14ac:dyDescent="0.25">
      <c r="A1344" s="3">
        <v>45707.51284722222</v>
      </c>
      <c r="B1344" t="s">
        <v>110</v>
      </c>
      <c r="C1344" s="3">
        <v>45707.512870370367</v>
      </c>
      <c r="D1344" t="s">
        <v>110</v>
      </c>
      <c r="E1344" s="4">
        <v>0</v>
      </c>
      <c r="F1344" s="4">
        <v>5847.3609999999999</v>
      </c>
      <c r="G1344" s="4">
        <v>5847.3609999999999</v>
      </c>
      <c r="H1344" s="5">
        <f>0 / 86400</f>
        <v>0</v>
      </c>
      <c r="I1344" t="s">
        <v>72</v>
      </c>
      <c r="J1344" t="s">
        <v>72</v>
      </c>
      <c r="K1344" s="5">
        <f>2 / 86400</f>
        <v>2.3148148148148147E-5</v>
      </c>
      <c r="L1344" s="5">
        <f>185 / 86400</f>
        <v>2.1412037037037038E-3</v>
      </c>
    </row>
    <row r="1345" spans="1:12" x14ac:dyDescent="0.25">
      <c r="A1345" s="3">
        <v>45707.515011574069</v>
      </c>
      <c r="B1345" t="s">
        <v>110</v>
      </c>
      <c r="C1345" s="3">
        <v>45707.52579861111</v>
      </c>
      <c r="D1345" t="s">
        <v>110</v>
      </c>
      <c r="E1345" s="4">
        <v>0</v>
      </c>
      <c r="F1345" s="4">
        <v>5847.3609999999999</v>
      </c>
      <c r="G1345" s="4">
        <v>5847.3609999999999</v>
      </c>
      <c r="H1345" s="5">
        <f>919 / 86400</f>
        <v>1.0636574074074074E-2</v>
      </c>
      <c r="I1345" t="s">
        <v>72</v>
      </c>
      <c r="J1345" t="s">
        <v>72</v>
      </c>
      <c r="K1345" s="5">
        <f>932 / 86400</f>
        <v>1.0787037037037038E-2</v>
      </c>
      <c r="L1345" s="5">
        <f>95 / 86400</f>
        <v>1.0995370370370371E-3</v>
      </c>
    </row>
    <row r="1346" spans="1:12" x14ac:dyDescent="0.25">
      <c r="A1346" s="3">
        <v>45707.526898148149</v>
      </c>
      <c r="B1346" t="s">
        <v>110</v>
      </c>
      <c r="C1346" s="3">
        <v>45707.536307870367</v>
      </c>
      <c r="D1346" t="s">
        <v>110</v>
      </c>
      <c r="E1346" s="4">
        <v>0</v>
      </c>
      <c r="F1346" s="4">
        <v>5847.3609999999999</v>
      </c>
      <c r="G1346" s="4">
        <v>5847.3609999999999</v>
      </c>
      <c r="H1346" s="5">
        <f>799 / 86400</f>
        <v>9.2476851851851852E-3</v>
      </c>
      <c r="I1346" t="s">
        <v>72</v>
      </c>
      <c r="J1346" t="s">
        <v>72</v>
      </c>
      <c r="K1346" s="5">
        <f>812 / 86400</f>
        <v>9.3981481481481485E-3</v>
      </c>
      <c r="L1346" s="5">
        <f>6500 / 86400</f>
        <v>7.5231481481481483E-2</v>
      </c>
    </row>
    <row r="1347" spans="1:12" x14ac:dyDescent="0.25">
      <c r="A1347" s="3">
        <v>45707.611539351856</v>
      </c>
      <c r="B1347" t="s">
        <v>110</v>
      </c>
      <c r="C1347" s="3">
        <v>45707.643495370372</v>
      </c>
      <c r="D1347" t="s">
        <v>110</v>
      </c>
      <c r="E1347" s="4">
        <v>0</v>
      </c>
      <c r="F1347" s="4">
        <v>5847.3609999999999</v>
      </c>
      <c r="G1347" s="4">
        <v>5847.3609999999999</v>
      </c>
      <c r="H1347" s="5">
        <f>2749 / 86400</f>
        <v>3.1817129629629633E-2</v>
      </c>
      <c r="I1347" t="s">
        <v>72</v>
      </c>
      <c r="J1347" t="s">
        <v>72</v>
      </c>
      <c r="K1347" s="5">
        <f>2761 / 86400</f>
        <v>3.1956018518518516E-2</v>
      </c>
      <c r="L1347" s="5">
        <f>3853 / 86400</f>
        <v>4.4594907407407409E-2</v>
      </c>
    </row>
    <row r="1348" spans="1:12" x14ac:dyDescent="0.25">
      <c r="A1348" s="3">
        <v>45707.688090277778</v>
      </c>
      <c r="B1348" t="s">
        <v>110</v>
      </c>
      <c r="C1348" s="3">
        <v>45707.766469907408</v>
      </c>
      <c r="D1348" t="s">
        <v>110</v>
      </c>
      <c r="E1348" s="4">
        <v>0</v>
      </c>
      <c r="F1348" s="4">
        <v>5847.3609999999999</v>
      </c>
      <c r="G1348" s="4">
        <v>5847.3609999999999</v>
      </c>
      <c r="H1348" s="5">
        <f>6759 / 86400</f>
        <v>7.8229166666666669E-2</v>
      </c>
      <c r="I1348" t="s">
        <v>72</v>
      </c>
      <c r="J1348" t="s">
        <v>72</v>
      </c>
      <c r="K1348" s="5">
        <f>6772 / 86400</f>
        <v>7.8379629629629632E-2</v>
      </c>
      <c r="L1348" s="5">
        <f>202 / 86400</f>
        <v>2.3379629629629631E-3</v>
      </c>
    </row>
    <row r="1349" spans="1:12" x14ac:dyDescent="0.25">
      <c r="A1349" s="3">
        <v>45707.768807870365</v>
      </c>
      <c r="B1349" t="s">
        <v>110</v>
      </c>
      <c r="C1349" s="3">
        <v>45707.769583333335</v>
      </c>
      <c r="D1349" t="s">
        <v>110</v>
      </c>
      <c r="E1349" s="4">
        <v>0</v>
      </c>
      <c r="F1349" s="4">
        <v>5847.3609999999999</v>
      </c>
      <c r="G1349" s="4">
        <v>5847.3609999999999</v>
      </c>
      <c r="H1349" s="5">
        <f>59 / 86400</f>
        <v>6.8287037037037036E-4</v>
      </c>
      <c r="I1349" t="s">
        <v>72</v>
      </c>
      <c r="J1349" t="s">
        <v>72</v>
      </c>
      <c r="K1349" s="5">
        <f>66 / 86400</f>
        <v>7.6388888888888893E-4</v>
      </c>
      <c r="L1349" s="5">
        <f>19 / 86400</f>
        <v>2.199074074074074E-4</v>
      </c>
    </row>
    <row r="1350" spans="1:12" x14ac:dyDescent="0.25">
      <c r="A1350" s="3">
        <v>45707.769803240742</v>
      </c>
      <c r="B1350" t="s">
        <v>110</v>
      </c>
      <c r="C1350" s="3">
        <v>45707.770185185189</v>
      </c>
      <c r="D1350" t="s">
        <v>110</v>
      </c>
      <c r="E1350" s="4">
        <v>0</v>
      </c>
      <c r="F1350" s="4">
        <v>5847.3609999999999</v>
      </c>
      <c r="G1350" s="4">
        <v>5847.3609999999999</v>
      </c>
      <c r="H1350" s="5">
        <f>19 / 86400</f>
        <v>2.199074074074074E-4</v>
      </c>
      <c r="I1350" t="s">
        <v>72</v>
      </c>
      <c r="J1350" t="s">
        <v>72</v>
      </c>
      <c r="K1350" s="5">
        <f>32 / 86400</f>
        <v>3.7037037037037035E-4</v>
      </c>
      <c r="L1350" s="5">
        <f>19855 / 86400</f>
        <v>0.22980324074074074</v>
      </c>
    </row>
    <row r="1351" spans="1:12" x14ac:dyDescent="0.25">
      <c r="A1351" s="12"/>
      <c r="B1351" s="12"/>
      <c r="C1351" s="12"/>
      <c r="D1351" s="12"/>
      <c r="E1351" s="12"/>
      <c r="F1351" s="12"/>
      <c r="G1351" s="12"/>
      <c r="H1351" s="12"/>
      <c r="I1351" s="12"/>
      <c r="J1351" s="12"/>
    </row>
    <row r="1352" spans="1:12" x14ac:dyDescent="0.25">
      <c r="A1352" s="12"/>
      <c r="B1352" s="12"/>
      <c r="C1352" s="12"/>
      <c r="D1352" s="12"/>
      <c r="E1352" s="12"/>
      <c r="F1352" s="12"/>
      <c r="G1352" s="12"/>
      <c r="H1352" s="12"/>
      <c r="I1352" s="12"/>
      <c r="J1352" s="12"/>
    </row>
    <row r="1353" spans="1:12" s="10" customFormat="1" ht="20.100000000000001" customHeight="1" x14ac:dyDescent="0.35">
      <c r="A1353" s="15" t="s">
        <v>519</v>
      </c>
      <c r="B1353" s="15"/>
      <c r="C1353" s="15"/>
      <c r="D1353" s="15"/>
      <c r="E1353" s="15"/>
      <c r="F1353" s="15"/>
      <c r="G1353" s="15"/>
      <c r="H1353" s="15"/>
      <c r="I1353" s="15"/>
      <c r="J1353" s="15"/>
    </row>
    <row r="1354" spans="1:12" x14ac:dyDescent="0.25">
      <c r="A1354" s="12"/>
      <c r="B1354" s="12"/>
      <c r="C1354" s="12"/>
      <c r="D1354" s="12"/>
      <c r="E1354" s="12"/>
      <c r="F1354" s="12"/>
      <c r="G1354" s="12"/>
      <c r="H1354" s="12"/>
      <c r="I1354" s="12"/>
      <c r="J1354" s="12"/>
    </row>
    <row r="1355" spans="1:12" ht="30" x14ac:dyDescent="0.25">
      <c r="A1355" s="2" t="s">
        <v>6</v>
      </c>
      <c r="B1355" s="2" t="s">
        <v>7</v>
      </c>
      <c r="C1355" s="2" t="s">
        <v>8</v>
      </c>
      <c r="D1355" s="2" t="s">
        <v>9</v>
      </c>
      <c r="E1355" s="2" t="s">
        <v>10</v>
      </c>
      <c r="F1355" s="2" t="s">
        <v>11</v>
      </c>
      <c r="G1355" s="2" t="s">
        <v>12</v>
      </c>
      <c r="H1355" s="2" t="s">
        <v>13</v>
      </c>
      <c r="I1355" s="2" t="s">
        <v>14</v>
      </c>
      <c r="J1355" s="2" t="s">
        <v>15</v>
      </c>
      <c r="K1355" s="2" t="s">
        <v>16</v>
      </c>
      <c r="L1355" s="2" t="s">
        <v>17</v>
      </c>
    </row>
    <row r="1356" spans="1:12" x14ac:dyDescent="0.25">
      <c r="A1356" s="3">
        <v>45707.209872685184</v>
      </c>
      <c r="B1356" t="s">
        <v>28</v>
      </c>
      <c r="C1356" s="3">
        <v>45707.211875000001</v>
      </c>
      <c r="D1356" t="s">
        <v>28</v>
      </c>
      <c r="E1356" s="4">
        <v>0.114</v>
      </c>
      <c r="F1356" s="4">
        <v>409160.60800000001</v>
      </c>
      <c r="G1356" s="4">
        <v>409160.72200000001</v>
      </c>
      <c r="H1356" s="5">
        <f>39 / 86400</f>
        <v>4.5138888888888887E-4</v>
      </c>
      <c r="I1356" t="s">
        <v>101</v>
      </c>
      <c r="J1356" t="s">
        <v>136</v>
      </c>
      <c r="K1356" s="5">
        <f>172 / 86400</f>
        <v>1.9907407407407408E-3</v>
      </c>
      <c r="L1356" s="5">
        <f>19212 / 86400</f>
        <v>0.22236111111111112</v>
      </c>
    </row>
    <row r="1357" spans="1:12" x14ac:dyDescent="0.25">
      <c r="A1357" s="3">
        <v>45707.224363425921</v>
      </c>
      <c r="B1357" t="s">
        <v>28</v>
      </c>
      <c r="C1357" s="3">
        <v>45707.46539351852</v>
      </c>
      <c r="D1357" t="s">
        <v>121</v>
      </c>
      <c r="E1357" s="4">
        <v>89.521000000000001</v>
      </c>
      <c r="F1357" s="4">
        <v>409160.72200000001</v>
      </c>
      <c r="G1357" s="4">
        <v>409250.24300000002</v>
      </c>
      <c r="H1357" s="5">
        <f>7761 / 86400</f>
        <v>8.9826388888888886E-2</v>
      </c>
      <c r="I1357" t="s">
        <v>23</v>
      </c>
      <c r="J1357" t="s">
        <v>46</v>
      </c>
      <c r="K1357" s="5">
        <f>20824 / 86400</f>
        <v>0.24101851851851852</v>
      </c>
      <c r="L1357" s="5">
        <f>18449 / 86400</f>
        <v>0.21353009259259259</v>
      </c>
    </row>
    <row r="1358" spans="1:12" x14ac:dyDescent="0.25">
      <c r="A1358" s="3">
        <v>45707.678923611107</v>
      </c>
      <c r="B1358" t="s">
        <v>121</v>
      </c>
      <c r="C1358" s="3">
        <v>45707.685277777782</v>
      </c>
      <c r="D1358" t="s">
        <v>110</v>
      </c>
      <c r="E1358" s="4">
        <v>1.0449999999999999</v>
      </c>
      <c r="F1358" s="4">
        <v>409250.24300000002</v>
      </c>
      <c r="G1358" s="4">
        <v>409251.288</v>
      </c>
      <c r="H1358" s="5">
        <f>199 / 86400</f>
        <v>2.3032407407407407E-3</v>
      </c>
      <c r="I1358" t="s">
        <v>172</v>
      </c>
      <c r="J1358" t="s">
        <v>85</v>
      </c>
      <c r="K1358" s="5">
        <f>549 / 86400</f>
        <v>6.3541666666666668E-3</v>
      </c>
      <c r="L1358" s="5">
        <f>3498 / 86400</f>
        <v>4.0486111111111112E-2</v>
      </c>
    </row>
    <row r="1359" spans="1:12" x14ac:dyDescent="0.25">
      <c r="A1359" s="3">
        <v>45707.725763888884</v>
      </c>
      <c r="B1359" t="s">
        <v>110</v>
      </c>
      <c r="C1359" s="3">
        <v>45707.729120370372</v>
      </c>
      <c r="D1359" t="s">
        <v>121</v>
      </c>
      <c r="E1359" s="4">
        <v>0.94699999999999995</v>
      </c>
      <c r="F1359" s="4">
        <v>409251.288</v>
      </c>
      <c r="G1359" s="4">
        <v>409252.23499999999</v>
      </c>
      <c r="H1359" s="5">
        <f>0 / 86400</f>
        <v>0</v>
      </c>
      <c r="I1359" t="s">
        <v>129</v>
      </c>
      <c r="J1359" t="s">
        <v>148</v>
      </c>
      <c r="K1359" s="5">
        <f>289 / 86400</f>
        <v>3.3449074074074076E-3</v>
      </c>
      <c r="L1359" s="5">
        <f>760 / 86400</f>
        <v>8.7962962962962968E-3</v>
      </c>
    </row>
    <row r="1360" spans="1:12" x14ac:dyDescent="0.25">
      <c r="A1360" s="3">
        <v>45707.737916666665</v>
      </c>
      <c r="B1360" t="s">
        <v>121</v>
      </c>
      <c r="C1360" s="3">
        <v>45707.742928240739</v>
      </c>
      <c r="D1360" t="s">
        <v>95</v>
      </c>
      <c r="E1360" s="4">
        <v>1.5089999999999999</v>
      </c>
      <c r="F1360" s="4">
        <v>409252.23499999999</v>
      </c>
      <c r="G1360" s="4">
        <v>409253.74400000001</v>
      </c>
      <c r="H1360" s="5">
        <f>80 / 86400</f>
        <v>9.2592592592592596E-4</v>
      </c>
      <c r="I1360" t="s">
        <v>131</v>
      </c>
      <c r="J1360" t="s">
        <v>62</v>
      </c>
      <c r="K1360" s="5">
        <f>433 / 86400</f>
        <v>5.0115740740740737E-3</v>
      </c>
      <c r="L1360" s="5">
        <f>704 / 86400</f>
        <v>8.1481481481481474E-3</v>
      </c>
    </row>
    <row r="1361" spans="1:12" x14ac:dyDescent="0.25">
      <c r="A1361" s="3">
        <v>45707.751076388886</v>
      </c>
      <c r="B1361" t="s">
        <v>95</v>
      </c>
      <c r="C1361" s="3">
        <v>45707.793402777781</v>
      </c>
      <c r="D1361" t="s">
        <v>28</v>
      </c>
      <c r="E1361" s="4">
        <v>24.027999999999999</v>
      </c>
      <c r="F1361" s="4">
        <v>409253.74400000001</v>
      </c>
      <c r="G1361" s="4">
        <v>409277.772</v>
      </c>
      <c r="H1361" s="5">
        <f>679 / 86400</f>
        <v>7.858796296296296E-3</v>
      </c>
      <c r="I1361" t="s">
        <v>96</v>
      </c>
      <c r="J1361" t="s">
        <v>151</v>
      </c>
      <c r="K1361" s="5">
        <f>3657 / 86400</f>
        <v>4.2326388888888886E-2</v>
      </c>
      <c r="L1361" s="5">
        <f>126 / 86400</f>
        <v>1.4583333333333334E-3</v>
      </c>
    </row>
    <row r="1362" spans="1:12" x14ac:dyDescent="0.25">
      <c r="A1362" s="3">
        <v>45707.794861111106</v>
      </c>
      <c r="B1362" t="s">
        <v>28</v>
      </c>
      <c r="C1362" s="3">
        <v>45707.794953703706</v>
      </c>
      <c r="D1362" t="s">
        <v>28</v>
      </c>
      <c r="E1362" s="4">
        <v>0</v>
      </c>
      <c r="F1362" s="4">
        <v>409277.772</v>
      </c>
      <c r="G1362" s="4">
        <v>409277.772</v>
      </c>
      <c r="H1362" s="5">
        <f t="shared" ref="H1362:H1368" si="8">0 / 86400</f>
        <v>0</v>
      </c>
      <c r="I1362" t="s">
        <v>72</v>
      </c>
      <c r="J1362" t="s">
        <v>72</v>
      </c>
      <c r="K1362" s="5">
        <f>7 / 86400</f>
        <v>8.1018518518518516E-5</v>
      </c>
      <c r="L1362" s="5">
        <f>142 / 86400</f>
        <v>1.6435185185185185E-3</v>
      </c>
    </row>
    <row r="1363" spans="1:12" x14ac:dyDescent="0.25">
      <c r="A1363" s="3">
        <v>45707.796597222223</v>
      </c>
      <c r="B1363" t="s">
        <v>28</v>
      </c>
      <c r="C1363" s="3">
        <v>45707.796666666662</v>
      </c>
      <c r="D1363" t="s">
        <v>28</v>
      </c>
      <c r="E1363" s="4">
        <v>0</v>
      </c>
      <c r="F1363" s="4">
        <v>409277.772</v>
      </c>
      <c r="G1363" s="4">
        <v>409277.772</v>
      </c>
      <c r="H1363" s="5">
        <f t="shared" si="8"/>
        <v>0</v>
      </c>
      <c r="I1363" t="s">
        <v>72</v>
      </c>
      <c r="J1363" t="s">
        <v>72</v>
      </c>
      <c r="K1363" s="5">
        <f>6 / 86400</f>
        <v>6.9444444444444444E-5</v>
      </c>
      <c r="L1363" s="5">
        <f>2 / 86400</f>
        <v>2.3148148148148147E-5</v>
      </c>
    </row>
    <row r="1364" spans="1:12" x14ac:dyDescent="0.25">
      <c r="A1364" s="3">
        <v>45707.796689814815</v>
      </c>
      <c r="B1364" t="s">
        <v>28</v>
      </c>
      <c r="C1364" s="3">
        <v>45707.796712962961</v>
      </c>
      <c r="D1364" t="s">
        <v>28</v>
      </c>
      <c r="E1364" s="4">
        <v>0</v>
      </c>
      <c r="F1364" s="4">
        <v>409277.772</v>
      </c>
      <c r="G1364" s="4">
        <v>409277.772</v>
      </c>
      <c r="H1364" s="5">
        <f t="shared" si="8"/>
        <v>0</v>
      </c>
      <c r="I1364" t="s">
        <v>72</v>
      </c>
      <c r="J1364" t="s">
        <v>72</v>
      </c>
      <c r="K1364" s="5">
        <f>2 / 86400</f>
        <v>2.3148148148148147E-5</v>
      </c>
      <c r="L1364" s="5">
        <f>5 / 86400</f>
        <v>5.7870370370370373E-5</v>
      </c>
    </row>
    <row r="1365" spans="1:12" x14ac:dyDescent="0.25">
      <c r="A1365" s="3">
        <v>45707.796770833331</v>
      </c>
      <c r="B1365" t="s">
        <v>28</v>
      </c>
      <c r="C1365" s="3">
        <v>45707.796817129631</v>
      </c>
      <c r="D1365" t="s">
        <v>28</v>
      </c>
      <c r="E1365" s="4">
        <v>0</v>
      </c>
      <c r="F1365" s="4">
        <v>409277.772</v>
      </c>
      <c r="G1365" s="4">
        <v>409277.772</v>
      </c>
      <c r="H1365" s="5">
        <f t="shared" si="8"/>
        <v>0</v>
      </c>
      <c r="I1365" t="s">
        <v>72</v>
      </c>
      <c r="J1365" t="s">
        <v>72</v>
      </c>
      <c r="K1365" s="5">
        <f>4 / 86400</f>
        <v>4.6296296296296294E-5</v>
      </c>
      <c r="L1365" s="5">
        <f>11 / 86400</f>
        <v>1.273148148148148E-4</v>
      </c>
    </row>
    <row r="1366" spans="1:12" x14ac:dyDescent="0.25">
      <c r="A1366" s="3">
        <v>45707.796944444446</v>
      </c>
      <c r="B1366" t="s">
        <v>28</v>
      </c>
      <c r="C1366" s="3">
        <v>45707.796979166669</v>
      </c>
      <c r="D1366" t="s">
        <v>28</v>
      </c>
      <c r="E1366" s="4">
        <v>0</v>
      </c>
      <c r="F1366" s="4">
        <v>409277.772</v>
      </c>
      <c r="G1366" s="4">
        <v>409277.772</v>
      </c>
      <c r="H1366" s="5">
        <f t="shared" si="8"/>
        <v>0</v>
      </c>
      <c r="I1366" t="s">
        <v>72</v>
      </c>
      <c r="J1366" t="s">
        <v>72</v>
      </c>
      <c r="K1366" s="5">
        <f>2 / 86400</f>
        <v>2.3148148148148147E-5</v>
      </c>
      <c r="L1366" s="5">
        <f>2 / 86400</f>
        <v>2.3148148148148147E-5</v>
      </c>
    </row>
    <row r="1367" spans="1:12" x14ac:dyDescent="0.25">
      <c r="A1367" s="3">
        <v>45707.797002314815</v>
      </c>
      <c r="B1367" t="s">
        <v>28</v>
      </c>
      <c r="C1367" s="3">
        <v>45707.797013888892</v>
      </c>
      <c r="D1367" t="s">
        <v>28</v>
      </c>
      <c r="E1367" s="4">
        <v>0</v>
      </c>
      <c r="F1367" s="4">
        <v>409277.772</v>
      </c>
      <c r="G1367" s="4">
        <v>409277.772</v>
      </c>
      <c r="H1367" s="5">
        <f t="shared" si="8"/>
        <v>0</v>
      </c>
      <c r="I1367" t="s">
        <v>72</v>
      </c>
      <c r="J1367" t="s">
        <v>72</v>
      </c>
      <c r="K1367" s="5">
        <f>1 / 86400</f>
        <v>1.1574074074074073E-5</v>
      </c>
      <c r="L1367" s="5">
        <f>11822 / 86400</f>
        <v>0.1368287037037037</v>
      </c>
    </row>
    <row r="1368" spans="1:12" x14ac:dyDescent="0.25">
      <c r="A1368" s="3">
        <v>45707.933842592596</v>
      </c>
      <c r="B1368" t="s">
        <v>28</v>
      </c>
      <c r="C1368" s="3">
        <v>45707.933981481481</v>
      </c>
      <c r="D1368" t="s">
        <v>28</v>
      </c>
      <c r="E1368" s="4">
        <v>0</v>
      </c>
      <c r="F1368" s="4">
        <v>409277.772</v>
      </c>
      <c r="G1368" s="4">
        <v>409277.772</v>
      </c>
      <c r="H1368" s="5">
        <f t="shared" si="8"/>
        <v>0</v>
      </c>
      <c r="I1368" t="s">
        <v>72</v>
      </c>
      <c r="J1368" t="s">
        <v>72</v>
      </c>
      <c r="K1368" s="5">
        <f>11 / 86400</f>
        <v>1.273148148148148E-4</v>
      </c>
      <c r="L1368" s="5">
        <f>5703 / 86400</f>
        <v>6.6006944444444438E-2</v>
      </c>
    </row>
    <row r="1369" spans="1:12" x14ac:dyDescent="0.25">
      <c r="A1369" s="12"/>
      <c r="B1369" s="12"/>
      <c r="C1369" s="12"/>
      <c r="D1369" s="12"/>
      <c r="E1369" s="12"/>
      <c r="F1369" s="12"/>
      <c r="G1369" s="12"/>
      <c r="H1369" s="12"/>
      <c r="I1369" s="12"/>
      <c r="J1369" s="12"/>
    </row>
    <row r="1370" spans="1:12" x14ac:dyDescent="0.25">
      <c r="A1370" s="12"/>
      <c r="B1370" s="12"/>
      <c r="C1370" s="12"/>
      <c r="D1370" s="12"/>
      <c r="E1370" s="12"/>
      <c r="F1370" s="12"/>
      <c r="G1370" s="12"/>
      <c r="H1370" s="12"/>
      <c r="I1370" s="12"/>
      <c r="J1370" s="12"/>
    </row>
    <row r="1371" spans="1:12" s="10" customFormat="1" ht="20.100000000000001" customHeight="1" x14ac:dyDescent="0.35">
      <c r="A1371" s="15" t="s">
        <v>520</v>
      </c>
      <c r="B1371" s="15"/>
      <c r="C1371" s="15"/>
      <c r="D1371" s="15"/>
      <c r="E1371" s="15"/>
      <c r="F1371" s="15"/>
      <c r="G1371" s="15"/>
      <c r="H1371" s="15"/>
      <c r="I1371" s="15"/>
      <c r="J1371" s="15"/>
    </row>
    <row r="1372" spans="1:12" x14ac:dyDescent="0.25">
      <c r="A1372" s="12"/>
      <c r="B1372" s="12"/>
      <c r="C1372" s="12"/>
      <c r="D1372" s="12"/>
      <c r="E1372" s="12"/>
      <c r="F1372" s="12"/>
      <c r="G1372" s="12"/>
      <c r="H1372" s="12"/>
      <c r="I1372" s="12"/>
      <c r="J1372" s="12"/>
    </row>
    <row r="1373" spans="1:12" ht="30" x14ac:dyDescent="0.25">
      <c r="A1373" s="2" t="s">
        <v>6</v>
      </c>
      <c r="B1373" s="2" t="s">
        <v>7</v>
      </c>
      <c r="C1373" s="2" t="s">
        <v>8</v>
      </c>
      <c r="D1373" s="2" t="s">
        <v>9</v>
      </c>
      <c r="E1373" s="2" t="s">
        <v>10</v>
      </c>
      <c r="F1373" s="2" t="s">
        <v>11</v>
      </c>
      <c r="G1373" s="2" t="s">
        <v>12</v>
      </c>
      <c r="H1373" s="2" t="s">
        <v>13</v>
      </c>
      <c r="I1373" s="2" t="s">
        <v>14</v>
      </c>
      <c r="J1373" s="2" t="s">
        <v>15</v>
      </c>
      <c r="K1373" s="2" t="s">
        <v>16</v>
      </c>
      <c r="L1373" s="2" t="s">
        <v>17</v>
      </c>
    </row>
    <row r="1374" spans="1:12" x14ac:dyDescent="0.25">
      <c r="A1374" s="3">
        <v>45707</v>
      </c>
      <c r="B1374" t="s">
        <v>112</v>
      </c>
      <c r="C1374" s="3">
        <v>45707.024641203709</v>
      </c>
      <c r="D1374" t="s">
        <v>79</v>
      </c>
      <c r="E1374" s="4">
        <v>15.552</v>
      </c>
      <c r="F1374" s="4">
        <v>551670.66599999997</v>
      </c>
      <c r="G1374" s="4">
        <v>551686.21799999999</v>
      </c>
      <c r="H1374" s="5">
        <f>340 / 86400</f>
        <v>3.9351851851851848E-3</v>
      </c>
      <c r="I1374" t="s">
        <v>299</v>
      </c>
      <c r="J1374" t="s">
        <v>155</v>
      </c>
      <c r="K1374" s="5">
        <f>2129 / 86400</f>
        <v>2.4641203703703703E-2</v>
      </c>
      <c r="L1374" s="5">
        <f>755 / 86400</f>
        <v>8.7384259259259255E-3</v>
      </c>
    </row>
    <row r="1375" spans="1:12" x14ac:dyDescent="0.25">
      <c r="A1375" s="3">
        <v>45707.033379629633</v>
      </c>
      <c r="B1375" t="s">
        <v>176</v>
      </c>
      <c r="C1375" s="3">
        <v>45707.047465277778</v>
      </c>
      <c r="D1375" t="s">
        <v>458</v>
      </c>
      <c r="E1375" s="4">
        <v>0.41099999999999998</v>
      </c>
      <c r="F1375" s="4">
        <v>551686.21799999999</v>
      </c>
      <c r="G1375" s="4">
        <v>551686.62899999996</v>
      </c>
      <c r="H1375" s="5">
        <f>1060 / 86400</f>
        <v>1.2268518518518519E-2</v>
      </c>
      <c r="I1375" t="s">
        <v>129</v>
      </c>
      <c r="J1375" t="s">
        <v>127</v>
      </c>
      <c r="K1375" s="5">
        <f>1217 / 86400</f>
        <v>1.4085648148148147E-2</v>
      </c>
      <c r="L1375" s="5">
        <f>1035 / 86400</f>
        <v>1.1979166666666667E-2</v>
      </c>
    </row>
    <row r="1376" spans="1:12" x14ac:dyDescent="0.25">
      <c r="A1376" s="3">
        <v>45707.059444444443</v>
      </c>
      <c r="B1376" t="s">
        <v>458</v>
      </c>
      <c r="C1376" s="3">
        <v>45707.063877314809</v>
      </c>
      <c r="D1376" t="s">
        <v>80</v>
      </c>
      <c r="E1376" s="4">
        <v>0.48599999999999999</v>
      </c>
      <c r="F1376" s="4">
        <v>551686.62899999996</v>
      </c>
      <c r="G1376" s="4">
        <v>551687.11499999999</v>
      </c>
      <c r="H1376" s="5">
        <f>180 / 86400</f>
        <v>2.0833333333333333E-3</v>
      </c>
      <c r="I1376" t="s">
        <v>161</v>
      </c>
      <c r="J1376" t="s">
        <v>134</v>
      </c>
      <c r="K1376" s="5">
        <f>383 / 86400</f>
        <v>4.43287037037037E-3</v>
      </c>
      <c r="L1376" s="5">
        <f>16238 / 86400</f>
        <v>0.18793981481481481</v>
      </c>
    </row>
    <row r="1377" spans="1:12" x14ac:dyDescent="0.25">
      <c r="A1377" s="3">
        <v>45707.251817129625</v>
      </c>
      <c r="B1377" t="s">
        <v>80</v>
      </c>
      <c r="C1377" s="3">
        <v>45707.450104166666</v>
      </c>
      <c r="D1377" t="s">
        <v>95</v>
      </c>
      <c r="E1377" s="4">
        <v>86.759</v>
      </c>
      <c r="F1377" s="4">
        <v>551687.11499999999</v>
      </c>
      <c r="G1377" s="4">
        <v>551773.87399999995</v>
      </c>
      <c r="H1377" s="5">
        <f>4936 / 86400</f>
        <v>5.7129629629629627E-2</v>
      </c>
      <c r="I1377" t="s">
        <v>113</v>
      </c>
      <c r="J1377" t="s">
        <v>27</v>
      </c>
      <c r="K1377" s="5">
        <f>17132 / 86400</f>
        <v>0.19828703703703704</v>
      </c>
      <c r="L1377" s="5">
        <f>8574 / 86400</f>
        <v>9.9236111111111108E-2</v>
      </c>
    </row>
    <row r="1378" spans="1:12" x14ac:dyDescent="0.25">
      <c r="A1378" s="3">
        <v>45707.549340277779</v>
      </c>
      <c r="B1378" t="s">
        <v>95</v>
      </c>
      <c r="C1378" s="3">
        <v>45707.552893518514</v>
      </c>
      <c r="D1378" t="s">
        <v>399</v>
      </c>
      <c r="E1378" s="4">
        <v>0.443</v>
      </c>
      <c r="F1378" s="4">
        <v>551773.87399999995</v>
      </c>
      <c r="G1378" s="4">
        <v>551774.31700000004</v>
      </c>
      <c r="H1378" s="5">
        <f>99 / 86400</f>
        <v>1.1458333333333333E-3</v>
      </c>
      <c r="I1378" t="s">
        <v>129</v>
      </c>
      <c r="J1378" t="s">
        <v>134</v>
      </c>
      <c r="K1378" s="5">
        <f>306 / 86400</f>
        <v>3.5416666666666665E-3</v>
      </c>
      <c r="L1378" s="5">
        <f>1301 / 86400</f>
        <v>1.5057870370370371E-2</v>
      </c>
    </row>
    <row r="1379" spans="1:12" x14ac:dyDescent="0.25">
      <c r="A1379" s="3">
        <v>45707.56795138889</v>
      </c>
      <c r="B1379" t="s">
        <v>399</v>
      </c>
      <c r="C1379" s="3">
        <v>45707.954328703709</v>
      </c>
      <c r="D1379" t="s">
        <v>79</v>
      </c>
      <c r="E1379" s="4">
        <v>141.65</v>
      </c>
      <c r="F1379" s="4">
        <v>551774.31700000004</v>
      </c>
      <c r="G1379" s="4">
        <v>551915.96699999995</v>
      </c>
      <c r="H1379" s="5">
        <f>11156 / 86400</f>
        <v>0.12912037037037036</v>
      </c>
      <c r="I1379" t="s">
        <v>50</v>
      </c>
      <c r="J1379" t="s">
        <v>46</v>
      </c>
      <c r="K1379" s="5">
        <f>33383 / 86400</f>
        <v>0.3863773148148148</v>
      </c>
      <c r="L1379" s="5">
        <f>684 / 86400</f>
        <v>7.9166666666666673E-3</v>
      </c>
    </row>
    <row r="1380" spans="1:12" x14ac:dyDescent="0.25">
      <c r="A1380" s="3">
        <v>45707.962245370371</v>
      </c>
      <c r="B1380" t="s">
        <v>176</v>
      </c>
      <c r="C1380" s="3">
        <v>45707.964305555557</v>
      </c>
      <c r="D1380" t="s">
        <v>80</v>
      </c>
      <c r="E1380" s="4">
        <v>0.28000000000000003</v>
      </c>
      <c r="F1380" s="4">
        <v>551915.96699999995</v>
      </c>
      <c r="G1380" s="4">
        <v>551916.24699999997</v>
      </c>
      <c r="H1380" s="5">
        <f>40 / 86400</f>
        <v>4.6296296296296298E-4</v>
      </c>
      <c r="I1380" t="s">
        <v>43</v>
      </c>
      <c r="J1380" t="s">
        <v>101</v>
      </c>
      <c r="K1380" s="5">
        <f>178 / 86400</f>
        <v>2.0601851851851853E-3</v>
      </c>
      <c r="L1380" s="5">
        <f>755 / 86400</f>
        <v>8.7384259259259255E-3</v>
      </c>
    </row>
    <row r="1381" spans="1:12" x14ac:dyDescent="0.25">
      <c r="A1381" s="3">
        <v>45707.973043981481</v>
      </c>
      <c r="B1381" t="s">
        <v>80</v>
      </c>
      <c r="C1381" s="3">
        <v>45707.973668981482</v>
      </c>
      <c r="D1381" t="s">
        <v>80</v>
      </c>
      <c r="E1381" s="4">
        <v>0</v>
      </c>
      <c r="F1381" s="4">
        <v>551916.24699999997</v>
      </c>
      <c r="G1381" s="4">
        <v>551916.24699999997</v>
      </c>
      <c r="H1381" s="5">
        <f>39 / 86400</f>
        <v>4.5138888888888887E-4</v>
      </c>
      <c r="I1381" t="s">
        <v>72</v>
      </c>
      <c r="J1381" t="s">
        <v>72</v>
      </c>
      <c r="K1381" s="5">
        <f>53 / 86400</f>
        <v>6.134259259259259E-4</v>
      </c>
      <c r="L1381" s="5">
        <f>2274 / 86400</f>
        <v>2.6319444444444444E-2</v>
      </c>
    </row>
    <row r="1382" spans="1:12" x14ac:dyDescent="0.25">
      <c r="A1382" s="12"/>
      <c r="B1382" s="12"/>
      <c r="C1382" s="12"/>
      <c r="D1382" s="12"/>
      <c r="E1382" s="12"/>
      <c r="F1382" s="12"/>
      <c r="G1382" s="12"/>
      <c r="H1382" s="12"/>
      <c r="I1382" s="12"/>
      <c r="J1382" s="12"/>
    </row>
    <row r="1383" spans="1:12" x14ac:dyDescent="0.25">
      <c r="A1383" s="12"/>
      <c r="B1383" s="12"/>
      <c r="C1383" s="12"/>
      <c r="D1383" s="12"/>
      <c r="E1383" s="12"/>
      <c r="F1383" s="12"/>
      <c r="G1383" s="12"/>
      <c r="H1383" s="12"/>
      <c r="I1383" s="12"/>
      <c r="J1383" s="12"/>
    </row>
    <row r="1384" spans="1:12" s="10" customFormat="1" ht="20.100000000000001" customHeight="1" x14ac:dyDescent="0.35">
      <c r="A1384" s="15" t="s">
        <v>521</v>
      </c>
      <c r="B1384" s="15"/>
      <c r="C1384" s="15"/>
      <c r="D1384" s="15"/>
      <c r="E1384" s="15"/>
      <c r="F1384" s="15"/>
      <c r="G1384" s="15"/>
      <c r="H1384" s="15"/>
      <c r="I1384" s="15"/>
      <c r="J1384" s="15"/>
    </row>
    <row r="1385" spans="1:12" x14ac:dyDescent="0.25">
      <c r="A1385" s="12"/>
      <c r="B1385" s="12"/>
      <c r="C1385" s="12"/>
      <c r="D1385" s="12"/>
      <c r="E1385" s="12"/>
      <c r="F1385" s="12"/>
      <c r="G1385" s="12"/>
      <c r="H1385" s="12"/>
      <c r="I1385" s="12"/>
      <c r="J1385" s="12"/>
    </row>
    <row r="1386" spans="1:12" ht="30" x14ac:dyDescent="0.25">
      <c r="A1386" s="2" t="s">
        <v>6</v>
      </c>
      <c r="B1386" s="2" t="s">
        <v>7</v>
      </c>
      <c r="C1386" s="2" t="s">
        <v>8</v>
      </c>
      <c r="D1386" s="2" t="s">
        <v>9</v>
      </c>
      <c r="E1386" s="2" t="s">
        <v>10</v>
      </c>
      <c r="F1386" s="2" t="s">
        <v>11</v>
      </c>
      <c r="G1386" s="2" t="s">
        <v>12</v>
      </c>
      <c r="H1386" s="2" t="s">
        <v>13</v>
      </c>
      <c r="I1386" s="2" t="s">
        <v>14</v>
      </c>
      <c r="J1386" s="2" t="s">
        <v>15</v>
      </c>
      <c r="K1386" s="2" t="s">
        <v>16</v>
      </c>
      <c r="L1386" s="2" t="s">
        <v>17</v>
      </c>
    </row>
    <row r="1387" spans="1:12" x14ac:dyDescent="0.25">
      <c r="A1387" s="3">
        <v>45707</v>
      </c>
      <c r="B1387" t="s">
        <v>114</v>
      </c>
      <c r="C1387" s="3">
        <v>45707.031180555554</v>
      </c>
      <c r="D1387" t="s">
        <v>118</v>
      </c>
      <c r="E1387" s="4">
        <v>87.855000000000004</v>
      </c>
      <c r="F1387" s="4">
        <v>59040.76</v>
      </c>
      <c r="G1387" s="4">
        <v>59128.614999999998</v>
      </c>
      <c r="H1387" s="5">
        <f>440 / 86400</f>
        <v>5.092592592592593E-3</v>
      </c>
      <c r="I1387" t="s">
        <v>293</v>
      </c>
      <c r="J1387" t="s">
        <v>459</v>
      </c>
      <c r="K1387" s="5">
        <f>2694 / 86400</f>
        <v>3.1180555555555555E-2</v>
      </c>
      <c r="L1387" s="5">
        <f>531 / 86400</f>
        <v>6.145833333333333E-3</v>
      </c>
    </row>
    <row r="1388" spans="1:12" x14ac:dyDescent="0.25">
      <c r="A1388" s="3">
        <v>45707.037326388891</v>
      </c>
      <c r="B1388" t="s">
        <v>118</v>
      </c>
      <c r="C1388" s="3">
        <v>45707.056527777779</v>
      </c>
      <c r="D1388" t="s">
        <v>460</v>
      </c>
      <c r="E1388" s="4">
        <v>20.49</v>
      </c>
      <c r="F1388" s="4">
        <v>59128.614999999998</v>
      </c>
      <c r="G1388" s="4">
        <v>59149.105000000003</v>
      </c>
      <c r="H1388" s="5">
        <f>999 / 86400</f>
        <v>1.15625E-2</v>
      </c>
      <c r="I1388" t="s">
        <v>202</v>
      </c>
      <c r="J1388" t="s">
        <v>251</v>
      </c>
      <c r="K1388" s="5">
        <f>1658 / 86400</f>
        <v>1.9189814814814816E-2</v>
      </c>
      <c r="L1388" s="5">
        <f>15863 / 86400</f>
        <v>0.18359953703703705</v>
      </c>
    </row>
    <row r="1389" spans="1:12" x14ac:dyDescent="0.25">
      <c r="A1389" s="3">
        <v>45707.240127314813</v>
      </c>
      <c r="B1389" t="s">
        <v>460</v>
      </c>
      <c r="C1389" s="3">
        <v>45707.251319444447</v>
      </c>
      <c r="D1389" t="s">
        <v>179</v>
      </c>
      <c r="E1389" s="4">
        <v>6.6349999999999998</v>
      </c>
      <c r="F1389" s="4">
        <v>59149.105000000003</v>
      </c>
      <c r="G1389" s="4">
        <v>59155.74</v>
      </c>
      <c r="H1389" s="5">
        <f>719 / 86400</f>
        <v>8.3217592592592596E-3</v>
      </c>
      <c r="I1389" t="s">
        <v>193</v>
      </c>
      <c r="J1389" t="s">
        <v>30</v>
      </c>
      <c r="K1389" s="5">
        <f>967 / 86400</f>
        <v>1.119212962962963E-2</v>
      </c>
      <c r="L1389" s="5">
        <f>592 / 86400</f>
        <v>6.851851851851852E-3</v>
      </c>
    </row>
    <row r="1390" spans="1:12" x14ac:dyDescent="0.25">
      <c r="A1390" s="3">
        <v>45707.2581712963</v>
      </c>
      <c r="B1390" t="s">
        <v>354</v>
      </c>
      <c r="C1390" s="3">
        <v>45707.42423611111</v>
      </c>
      <c r="D1390" t="s">
        <v>121</v>
      </c>
      <c r="E1390" s="4">
        <v>380.51</v>
      </c>
      <c r="F1390" s="4">
        <v>59155.74</v>
      </c>
      <c r="G1390" s="4">
        <v>59536.25</v>
      </c>
      <c r="H1390" s="5">
        <f>4479 / 86400</f>
        <v>5.1840277777777777E-2</v>
      </c>
      <c r="I1390" t="s">
        <v>19</v>
      </c>
      <c r="J1390" t="s">
        <v>90</v>
      </c>
      <c r="K1390" s="5">
        <f>14348 / 86400</f>
        <v>0.1660648148148148</v>
      </c>
      <c r="L1390" s="5">
        <f>300 / 86400</f>
        <v>3.472222222222222E-3</v>
      </c>
    </row>
    <row r="1391" spans="1:12" x14ac:dyDescent="0.25">
      <c r="A1391" s="3">
        <v>45707.427708333329</v>
      </c>
      <c r="B1391" t="s">
        <v>121</v>
      </c>
      <c r="C1391" s="3">
        <v>45707.432916666672</v>
      </c>
      <c r="D1391" t="s">
        <v>120</v>
      </c>
      <c r="E1391" s="4">
        <v>5.05</v>
      </c>
      <c r="F1391" s="4">
        <v>59536.25</v>
      </c>
      <c r="G1391" s="4">
        <v>59541.3</v>
      </c>
      <c r="H1391" s="5">
        <f>200 / 86400</f>
        <v>2.3148148148148147E-3</v>
      </c>
      <c r="I1391" t="s">
        <v>172</v>
      </c>
      <c r="J1391" t="s">
        <v>256</v>
      </c>
      <c r="K1391" s="5">
        <f>450 / 86400</f>
        <v>5.208333333333333E-3</v>
      </c>
      <c r="L1391" s="5">
        <f>3696 / 86400</f>
        <v>4.2777777777777776E-2</v>
      </c>
    </row>
    <row r="1392" spans="1:12" x14ac:dyDescent="0.25">
      <c r="A1392" s="3">
        <v>45707.475694444445</v>
      </c>
      <c r="B1392" t="s">
        <v>120</v>
      </c>
      <c r="C1392" s="3">
        <v>45707.478263888886</v>
      </c>
      <c r="D1392" t="s">
        <v>121</v>
      </c>
      <c r="E1392" s="4">
        <v>4.41</v>
      </c>
      <c r="F1392" s="4">
        <v>59541.3</v>
      </c>
      <c r="G1392" s="4">
        <v>59545.71</v>
      </c>
      <c r="H1392" s="5">
        <f>79 / 86400</f>
        <v>9.1435185185185185E-4</v>
      </c>
      <c r="I1392" t="s">
        <v>278</v>
      </c>
      <c r="J1392" t="s">
        <v>302</v>
      </c>
      <c r="K1392" s="5">
        <f>221 / 86400</f>
        <v>2.5578703703703705E-3</v>
      </c>
      <c r="L1392" s="5">
        <f>1751 / 86400</f>
        <v>2.0266203703703703E-2</v>
      </c>
    </row>
    <row r="1393" spans="1:12" x14ac:dyDescent="0.25">
      <c r="A1393" s="3">
        <v>45707.498530092591</v>
      </c>
      <c r="B1393" t="s">
        <v>121</v>
      </c>
      <c r="C1393" s="3">
        <v>45707.50063657407</v>
      </c>
      <c r="D1393" t="s">
        <v>121</v>
      </c>
      <c r="E1393" s="4">
        <v>0.33</v>
      </c>
      <c r="F1393" s="4">
        <v>59545.71</v>
      </c>
      <c r="G1393" s="4">
        <v>59546.04</v>
      </c>
      <c r="H1393" s="5">
        <f>119 / 86400</f>
        <v>1.3773148148148147E-3</v>
      </c>
      <c r="I1393" t="s">
        <v>137</v>
      </c>
      <c r="J1393" t="s">
        <v>85</v>
      </c>
      <c r="K1393" s="5">
        <f>182 / 86400</f>
        <v>2.1064814814814813E-3</v>
      </c>
      <c r="L1393" s="5">
        <f>145 / 86400</f>
        <v>1.6782407407407408E-3</v>
      </c>
    </row>
    <row r="1394" spans="1:12" x14ac:dyDescent="0.25">
      <c r="A1394" s="3">
        <v>45707.502314814818</v>
      </c>
      <c r="B1394" t="s">
        <v>121</v>
      </c>
      <c r="C1394" s="3">
        <v>45707.99998842593</v>
      </c>
      <c r="D1394" t="s">
        <v>115</v>
      </c>
      <c r="E1394" s="4">
        <v>1043.43</v>
      </c>
      <c r="F1394" s="4">
        <v>59546.04</v>
      </c>
      <c r="G1394" s="4">
        <v>60589.47</v>
      </c>
      <c r="H1394" s="5">
        <f>14098 / 86400</f>
        <v>0.16317129629629629</v>
      </c>
      <c r="I1394" t="s">
        <v>116</v>
      </c>
      <c r="J1394" t="s">
        <v>60</v>
      </c>
      <c r="K1394" s="5">
        <f>42999 / 86400</f>
        <v>0.49767361111111114</v>
      </c>
      <c r="L1394" s="5">
        <f>0 / 86400</f>
        <v>0</v>
      </c>
    </row>
    <row r="1395" spans="1:12" x14ac:dyDescent="0.25">
      <c r="A1395" s="12"/>
      <c r="B1395" s="12"/>
      <c r="C1395" s="12"/>
      <c r="D1395" s="12"/>
      <c r="E1395" s="12"/>
      <c r="F1395" s="12"/>
      <c r="G1395" s="12"/>
      <c r="H1395" s="12"/>
      <c r="I1395" s="12"/>
      <c r="J1395" s="12"/>
    </row>
    <row r="1396" spans="1:12" x14ac:dyDescent="0.25">
      <c r="A1396" s="12"/>
      <c r="B1396" s="12"/>
      <c r="C1396" s="12"/>
      <c r="D1396" s="12"/>
      <c r="E1396" s="12"/>
      <c r="F1396" s="12"/>
      <c r="G1396" s="12"/>
      <c r="H1396" s="12"/>
      <c r="I1396" s="12"/>
      <c r="J1396" s="12"/>
    </row>
    <row r="1397" spans="1:12" s="10" customFormat="1" ht="20.100000000000001" customHeight="1" x14ac:dyDescent="0.35">
      <c r="A1397" s="15" t="s">
        <v>522</v>
      </c>
      <c r="B1397" s="15"/>
      <c r="C1397" s="15"/>
      <c r="D1397" s="15"/>
      <c r="E1397" s="15"/>
      <c r="F1397" s="15"/>
      <c r="G1397" s="15"/>
      <c r="H1397" s="15"/>
      <c r="I1397" s="15"/>
      <c r="J1397" s="15"/>
    </row>
    <row r="1398" spans="1:12" x14ac:dyDescent="0.25">
      <c r="A1398" s="12"/>
      <c r="B1398" s="12"/>
      <c r="C1398" s="12"/>
      <c r="D1398" s="12"/>
      <c r="E1398" s="12"/>
      <c r="F1398" s="12"/>
      <c r="G1398" s="12"/>
      <c r="H1398" s="12"/>
      <c r="I1398" s="12"/>
      <c r="J1398" s="12"/>
    </row>
    <row r="1399" spans="1:12" ht="30" x14ac:dyDescent="0.25">
      <c r="A1399" s="2" t="s">
        <v>6</v>
      </c>
      <c r="B1399" s="2" t="s">
        <v>7</v>
      </c>
      <c r="C1399" s="2" t="s">
        <v>8</v>
      </c>
      <c r="D1399" s="2" t="s">
        <v>9</v>
      </c>
      <c r="E1399" s="2" t="s">
        <v>10</v>
      </c>
      <c r="F1399" s="2" t="s">
        <v>11</v>
      </c>
      <c r="G1399" s="2" t="s">
        <v>12</v>
      </c>
      <c r="H1399" s="2" t="s">
        <v>13</v>
      </c>
      <c r="I1399" s="2" t="s">
        <v>14</v>
      </c>
      <c r="J1399" s="2" t="s">
        <v>15</v>
      </c>
      <c r="K1399" s="2" t="s">
        <v>16</v>
      </c>
      <c r="L1399" s="2" t="s">
        <v>17</v>
      </c>
    </row>
    <row r="1400" spans="1:12" x14ac:dyDescent="0.25">
      <c r="A1400" s="3">
        <v>45707.373969907407</v>
      </c>
      <c r="B1400" t="s">
        <v>117</v>
      </c>
      <c r="C1400" s="3">
        <v>45707.380266203705</v>
      </c>
      <c r="D1400" t="s">
        <v>110</v>
      </c>
      <c r="E1400" s="4">
        <v>0.307</v>
      </c>
      <c r="F1400" s="4">
        <v>61042.631000000001</v>
      </c>
      <c r="G1400" s="4">
        <v>61042.938000000002</v>
      </c>
      <c r="H1400" s="5">
        <f>379 / 86400</f>
        <v>4.386574074074074E-3</v>
      </c>
      <c r="I1400" t="s">
        <v>46</v>
      </c>
      <c r="J1400" t="s">
        <v>136</v>
      </c>
      <c r="K1400" s="5">
        <f>543 / 86400</f>
        <v>6.2847222222222219E-3</v>
      </c>
      <c r="L1400" s="5">
        <f>32514 / 86400</f>
        <v>0.37631944444444443</v>
      </c>
    </row>
    <row r="1401" spans="1:12" x14ac:dyDescent="0.25">
      <c r="A1401" s="3">
        <v>45707.382615740746</v>
      </c>
      <c r="B1401" t="s">
        <v>110</v>
      </c>
      <c r="C1401" s="3">
        <v>45707.383993055555</v>
      </c>
      <c r="D1401" t="s">
        <v>110</v>
      </c>
      <c r="E1401" s="4">
        <v>7.5999999999999998E-2</v>
      </c>
      <c r="F1401" s="4">
        <v>61042.938000000002</v>
      </c>
      <c r="G1401" s="4">
        <v>61043.014000000003</v>
      </c>
      <c r="H1401" s="5">
        <f>40 / 86400</f>
        <v>4.6296296296296298E-4</v>
      </c>
      <c r="I1401" t="s">
        <v>101</v>
      </c>
      <c r="J1401" t="s">
        <v>136</v>
      </c>
      <c r="K1401" s="5">
        <f>119 / 86400</f>
        <v>1.3773148148148147E-3</v>
      </c>
      <c r="L1401" s="5">
        <f>3012 / 86400</f>
        <v>3.4861111111111114E-2</v>
      </c>
    </row>
    <row r="1402" spans="1:12" x14ac:dyDescent="0.25">
      <c r="A1402" s="3">
        <v>45707.418854166666</v>
      </c>
      <c r="B1402" t="s">
        <v>110</v>
      </c>
      <c r="C1402" s="3">
        <v>45707.420555555553</v>
      </c>
      <c r="D1402" t="s">
        <v>117</v>
      </c>
      <c r="E1402" s="4">
        <v>0.30499999999999999</v>
      </c>
      <c r="F1402" s="4">
        <v>61043.014000000003</v>
      </c>
      <c r="G1402" s="4">
        <v>61043.319000000003</v>
      </c>
      <c r="H1402" s="5">
        <f>20 / 86400</f>
        <v>2.3148148148148149E-4</v>
      </c>
      <c r="I1402" t="s">
        <v>43</v>
      </c>
      <c r="J1402" t="s">
        <v>31</v>
      </c>
      <c r="K1402" s="5">
        <f>146 / 86400</f>
        <v>1.6898148148148148E-3</v>
      </c>
      <c r="L1402" s="5">
        <f>41 / 86400</f>
        <v>4.7453703703703704E-4</v>
      </c>
    </row>
    <row r="1403" spans="1:12" x14ac:dyDescent="0.25">
      <c r="A1403" s="3">
        <v>45707.421030092592</v>
      </c>
      <c r="B1403" t="s">
        <v>117</v>
      </c>
      <c r="C1403" s="3">
        <v>45707.421805555554</v>
      </c>
      <c r="D1403" t="s">
        <v>117</v>
      </c>
      <c r="E1403" s="4">
        <v>3.5000000000000003E-2</v>
      </c>
      <c r="F1403" s="4">
        <v>61043.319000000003</v>
      </c>
      <c r="G1403" s="4">
        <v>61043.353999999999</v>
      </c>
      <c r="H1403" s="5">
        <f>39 / 86400</f>
        <v>4.5138888888888887E-4</v>
      </c>
      <c r="I1403" t="s">
        <v>85</v>
      </c>
      <c r="J1403" t="s">
        <v>136</v>
      </c>
      <c r="K1403" s="5">
        <f>66 / 86400</f>
        <v>7.6388888888888893E-4</v>
      </c>
      <c r="L1403" s="5">
        <f>22534 / 86400</f>
        <v>0.26081018518518517</v>
      </c>
    </row>
    <row r="1404" spans="1:12" x14ac:dyDescent="0.25">
      <c r="A1404" s="3">
        <v>45707.682615740741</v>
      </c>
      <c r="B1404" t="s">
        <v>117</v>
      </c>
      <c r="C1404" s="3">
        <v>45707.7658912037</v>
      </c>
      <c r="D1404" t="s">
        <v>461</v>
      </c>
      <c r="E1404" s="4">
        <v>36.447000000000003</v>
      </c>
      <c r="F1404" s="4">
        <v>61043.353999999999</v>
      </c>
      <c r="G1404" s="4">
        <v>61079.800999999999</v>
      </c>
      <c r="H1404" s="5">
        <f>2600 / 86400</f>
        <v>3.0092592592592591E-2</v>
      </c>
      <c r="I1404" t="s">
        <v>119</v>
      </c>
      <c r="J1404" t="s">
        <v>27</v>
      </c>
      <c r="K1404" s="5">
        <f>7194 / 86400</f>
        <v>8.3263888888888887E-2</v>
      </c>
      <c r="L1404" s="5">
        <f>32 / 86400</f>
        <v>3.7037037037037035E-4</v>
      </c>
    </row>
    <row r="1405" spans="1:12" x14ac:dyDescent="0.25">
      <c r="A1405" s="3">
        <v>45707.76626157407</v>
      </c>
      <c r="B1405" t="s">
        <v>461</v>
      </c>
      <c r="C1405" s="3">
        <v>45707.887986111113</v>
      </c>
      <c r="D1405" t="s">
        <v>295</v>
      </c>
      <c r="E1405" s="4">
        <v>44.575000000000003</v>
      </c>
      <c r="F1405" s="4">
        <v>61079.800999999999</v>
      </c>
      <c r="G1405" s="4">
        <v>61124.375999999997</v>
      </c>
      <c r="H1405" s="5">
        <f>4020 / 86400</f>
        <v>4.6527777777777779E-2</v>
      </c>
      <c r="I1405" t="s">
        <v>299</v>
      </c>
      <c r="J1405" t="s">
        <v>46</v>
      </c>
      <c r="K1405" s="5">
        <f>10517 / 86400</f>
        <v>0.12172453703703703</v>
      </c>
      <c r="L1405" s="5">
        <f>48 / 86400</f>
        <v>5.5555555555555556E-4</v>
      </c>
    </row>
    <row r="1406" spans="1:12" x14ac:dyDescent="0.25">
      <c r="A1406" s="3">
        <v>45707.888541666667</v>
      </c>
      <c r="B1406" t="s">
        <v>295</v>
      </c>
      <c r="C1406" s="3">
        <v>45707.95685185185</v>
      </c>
      <c r="D1406" t="s">
        <v>257</v>
      </c>
      <c r="E1406" s="4">
        <v>35.29</v>
      </c>
      <c r="F1406" s="4">
        <v>61124.375999999997</v>
      </c>
      <c r="G1406" s="4">
        <v>61159.665999999997</v>
      </c>
      <c r="H1406" s="5">
        <f>1719 / 86400</f>
        <v>1.9895833333333335E-2</v>
      </c>
      <c r="I1406" t="s">
        <v>23</v>
      </c>
      <c r="J1406" t="s">
        <v>129</v>
      </c>
      <c r="K1406" s="5">
        <f>5902 / 86400</f>
        <v>6.8310185185185182E-2</v>
      </c>
      <c r="L1406" s="5">
        <f>261 / 86400</f>
        <v>3.0208333333333333E-3</v>
      </c>
    </row>
    <row r="1407" spans="1:12" x14ac:dyDescent="0.25">
      <c r="A1407" s="3">
        <v>45707.959872685184</v>
      </c>
      <c r="B1407" t="s">
        <v>257</v>
      </c>
      <c r="C1407" s="3">
        <v>45707.962534722217</v>
      </c>
      <c r="D1407" t="s">
        <v>257</v>
      </c>
      <c r="E1407" s="4">
        <v>5.0000000000000001E-3</v>
      </c>
      <c r="F1407" s="4">
        <v>61159.665999999997</v>
      </c>
      <c r="G1407" s="4">
        <v>61159.671000000002</v>
      </c>
      <c r="H1407" s="5">
        <f>219 / 86400</f>
        <v>2.5347222222222221E-3</v>
      </c>
      <c r="I1407" t="s">
        <v>72</v>
      </c>
      <c r="J1407" t="s">
        <v>72</v>
      </c>
      <c r="K1407" s="5">
        <f>229 / 86400</f>
        <v>2.650462962962963E-3</v>
      </c>
      <c r="L1407" s="5">
        <f>27 / 86400</f>
        <v>3.1250000000000001E-4</v>
      </c>
    </row>
    <row r="1408" spans="1:12" x14ac:dyDescent="0.25">
      <c r="A1408" s="3">
        <v>45707.962847222225</v>
      </c>
      <c r="B1408" t="s">
        <v>257</v>
      </c>
      <c r="C1408" s="3">
        <v>45707.99998842593</v>
      </c>
      <c r="D1408" t="s">
        <v>118</v>
      </c>
      <c r="E1408" s="4">
        <v>13.019</v>
      </c>
      <c r="F1408" s="4">
        <v>61159.671000000002</v>
      </c>
      <c r="G1408" s="4">
        <v>61172.69</v>
      </c>
      <c r="H1408" s="5">
        <f>1139 / 86400</f>
        <v>1.3182870370370371E-2</v>
      </c>
      <c r="I1408" t="s">
        <v>352</v>
      </c>
      <c r="J1408" t="s">
        <v>46</v>
      </c>
      <c r="K1408" s="5">
        <f>3209 / 86400</f>
        <v>3.7141203703703704E-2</v>
      </c>
      <c r="L1408" s="5">
        <f>0 / 86400</f>
        <v>0</v>
      </c>
    </row>
    <row r="1409" spans="1:12" x14ac:dyDescent="0.25">
      <c r="A1409" s="12"/>
      <c r="B1409" s="12"/>
      <c r="C1409" s="12"/>
      <c r="D1409" s="12"/>
      <c r="E1409" s="12"/>
      <c r="F1409" s="12"/>
      <c r="G1409" s="12"/>
      <c r="H1409" s="12"/>
      <c r="I1409" s="12"/>
      <c r="J1409" s="12"/>
    </row>
    <row r="1410" spans="1:12" x14ac:dyDescent="0.25">
      <c r="A1410" s="12"/>
      <c r="B1410" s="12"/>
      <c r="C1410" s="12"/>
      <c r="D1410" s="12"/>
      <c r="E1410" s="12"/>
      <c r="F1410" s="12"/>
      <c r="G1410" s="12"/>
      <c r="H1410" s="12"/>
      <c r="I1410" s="12"/>
      <c r="J1410" s="12"/>
    </row>
    <row r="1411" spans="1:12" s="10" customFormat="1" ht="20.100000000000001" customHeight="1" x14ac:dyDescent="0.35">
      <c r="A1411" s="15" t="s">
        <v>523</v>
      </c>
      <c r="B1411" s="15"/>
      <c r="C1411" s="15"/>
      <c r="D1411" s="15"/>
      <c r="E1411" s="15"/>
      <c r="F1411" s="15"/>
      <c r="G1411" s="15"/>
      <c r="H1411" s="15"/>
      <c r="I1411" s="15"/>
      <c r="J1411" s="15"/>
    </row>
    <row r="1412" spans="1:12" x14ac:dyDescent="0.25">
      <c r="A1412" s="12"/>
      <c r="B1412" s="12"/>
      <c r="C1412" s="12"/>
      <c r="D1412" s="12"/>
      <c r="E1412" s="12"/>
      <c r="F1412" s="12"/>
      <c r="G1412" s="12"/>
      <c r="H1412" s="12"/>
      <c r="I1412" s="12"/>
      <c r="J1412" s="12"/>
    </row>
    <row r="1413" spans="1:12" ht="30" x14ac:dyDescent="0.25">
      <c r="A1413" s="2" t="s">
        <v>6</v>
      </c>
      <c r="B1413" s="2" t="s">
        <v>7</v>
      </c>
      <c r="C1413" s="2" t="s">
        <v>8</v>
      </c>
      <c r="D1413" s="2" t="s">
        <v>9</v>
      </c>
      <c r="E1413" s="2" t="s">
        <v>10</v>
      </c>
      <c r="F1413" s="2" t="s">
        <v>11</v>
      </c>
      <c r="G1413" s="2" t="s">
        <v>12</v>
      </c>
      <c r="H1413" s="2" t="s">
        <v>13</v>
      </c>
      <c r="I1413" s="2" t="s">
        <v>14</v>
      </c>
      <c r="J1413" s="2" t="s">
        <v>15</v>
      </c>
      <c r="K1413" s="2" t="s">
        <v>16</v>
      </c>
      <c r="L1413" s="2" t="s">
        <v>17</v>
      </c>
    </row>
    <row r="1414" spans="1:12" x14ac:dyDescent="0.25">
      <c r="A1414" s="3">
        <v>45707</v>
      </c>
      <c r="B1414" t="s">
        <v>120</v>
      </c>
      <c r="C1414" s="3">
        <v>45707.003125000003</v>
      </c>
      <c r="D1414" t="s">
        <v>121</v>
      </c>
      <c r="E1414" s="4">
        <v>1.034</v>
      </c>
      <c r="F1414" s="4">
        <v>64880.25</v>
      </c>
      <c r="G1414" s="4">
        <v>64881.284</v>
      </c>
      <c r="H1414" s="5">
        <f>80 / 86400</f>
        <v>9.2592592592592596E-4</v>
      </c>
      <c r="I1414" t="s">
        <v>131</v>
      </c>
      <c r="J1414" t="s">
        <v>43</v>
      </c>
      <c r="K1414" s="5">
        <f>270 / 86400</f>
        <v>3.1250000000000002E-3</v>
      </c>
      <c r="L1414" s="5">
        <f>13842 / 86400</f>
        <v>0.16020833333333334</v>
      </c>
    </row>
    <row r="1415" spans="1:12" x14ac:dyDescent="0.25">
      <c r="A1415" s="3">
        <v>45707.16333333333</v>
      </c>
      <c r="B1415" t="s">
        <v>121</v>
      </c>
      <c r="C1415" s="3">
        <v>45707.605023148149</v>
      </c>
      <c r="D1415" t="s">
        <v>121</v>
      </c>
      <c r="E1415" s="4">
        <v>204.38399999999999</v>
      </c>
      <c r="F1415" s="4">
        <v>64881.284</v>
      </c>
      <c r="G1415" s="4">
        <v>65085.667999999998</v>
      </c>
      <c r="H1415" s="5">
        <f>12371 / 86400</f>
        <v>0.14318287037037036</v>
      </c>
      <c r="I1415" t="s">
        <v>122</v>
      </c>
      <c r="J1415" t="s">
        <v>33</v>
      </c>
      <c r="K1415" s="5">
        <f>38161 / 86400</f>
        <v>0.44167824074074075</v>
      </c>
      <c r="L1415" s="5">
        <f>529 / 86400</f>
        <v>6.122685185185185E-3</v>
      </c>
    </row>
    <row r="1416" spans="1:12" x14ac:dyDescent="0.25">
      <c r="A1416" s="3">
        <v>45707.611145833333</v>
      </c>
      <c r="B1416" t="s">
        <v>121</v>
      </c>
      <c r="C1416" s="3">
        <v>45707.614780092597</v>
      </c>
      <c r="D1416" t="s">
        <v>121</v>
      </c>
      <c r="E1416" s="4">
        <v>3.9E-2</v>
      </c>
      <c r="F1416" s="4">
        <v>65085.667999999998</v>
      </c>
      <c r="G1416" s="4">
        <v>65085.707000000002</v>
      </c>
      <c r="H1416" s="5">
        <f>239 / 86400</f>
        <v>2.7662037037037039E-3</v>
      </c>
      <c r="I1416" t="s">
        <v>134</v>
      </c>
      <c r="J1416" t="s">
        <v>72</v>
      </c>
      <c r="K1416" s="5">
        <f>314 / 86400</f>
        <v>3.6342592592592594E-3</v>
      </c>
      <c r="L1416" s="5">
        <f>560 / 86400</f>
        <v>6.4814814814814813E-3</v>
      </c>
    </row>
    <row r="1417" spans="1:12" x14ac:dyDescent="0.25">
      <c r="A1417" s="3">
        <v>45707.621261574073</v>
      </c>
      <c r="B1417" t="s">
        <v>121</v>
      </c>
      <c r="C1417" s="3">
        <v>45707.621782407412</v>
      </c>
      <c r="D1417" t="s">
        <v>121</v>
      </c>
      <c r="E1417" s="4">
        <v>2.1999999999999999E-2</v>
      </c>
      <c r="F1417" s="4">
        <v>65085.707000000002</v>
      </c>
      <c r="G1417" s="4">
        <v>65085.728999999999</v>
      </c>
      <c r="H1417" s="5">
        <f>20 / 86400</f>
        <v>2.3148148148148149E-4</v>
      </c>
      <c r="I1417" t="s">
        <v>101</v>
      </c>
      <c r="J1417" t="s">
        <v>136</v>
      </c>
      <c r="K1417" s="5">
        <f>45 / 86400</f>
        <v>5.2083333333333333E-4</v>
      </c>
      <c r="L1417" s="5">
        <f>1956 / 86400</f>
        <v>2.2638888888888889E-2</v>
      </c>
    </row>
    <row r="1418" spans="1:12" x14ac:dyDescent="0.25">
      <c r="A1418" s="3">
        <v>45707.644421296296</v>
      </c>
      <c r="B1418" t="s">
        <v>121</v>
      </c>
      <c r="C1418" s="3">
        <v>45707.974768518514</v>
      </c>
      <c r="D1418" t="s">
        <v>95</v>
      </c>
      <c r="E1418" s="4">
        <v>155.351</v>
      </c>
      <c r="F1418" s="4">
        <v>65085.728999999999</v>
      </c>
      <c r="G1418" s="4">
        <v>65241.08</v>
      </c>
      <c r="H1418" s="5">
        <f>9001 / 86400</f>
        <v>0.10417824074074074</v>
      </c>
      <c r="I1418" t="s">
        <v>19</v>
      </c>
      <c r="J1418" t="s">
        <v>149</v>
      </c>
      <c r="K1418" s="5">
        <f>28542 / 86400</f>
        <v>0.33034722222222224</v>
      </c>
      <c r="L1418" s="5">
        <f>3 / 86400</f>
        <v>3.4722222222222222E-5</v>
      </c>
    </row>
    <row r="1419" spans="1:12" x14ac:dyDescent="0.25">
      <c r="A1419" s="3">
        <v>45707.974803240737</v>
      </c>
      <c r="B1419" t="s">
        <v>95</v>
      </c>
      <c r="C1419" s="3">
        <v>45707.97488425926</v>
      </c>
      <c r="D1419" t="s">
        <v>95</v>
      </c>
      <c r="E1419" s="4">
        <v>0</v>
      </c>
      <c r="F1419" s="4">
        <v>65241.08</v>
      </c>
      <c r="G1419" s="4">
        <v>65241.08</v>
      </c>
      <c r="H1419" s="5">
        <f>0 / 86400</f>
        <v>0</v>
      </c>
      <c r="I1419" t="s">
        <v>72</v>
      </c>
      <c r="J1419" t="s">
        <v>72</v>
      </c>
      <c r="K1419" s="5">
        <f>7 / 86400</f>
        <v>8.1018518518518516E-5</v>
      </c>
      <c r="L1419" s="5">
        <f>856 / 86400</f>
        <v>9.9074074074074082E-3</v>
      </c>
    </row>
    <row r="1420" spans="1:12" x14ac:dyDescent="0.25">
      <c r="A1420" s="3">
        <v>45707.984791666662</v>
      </c>
      <c r="B1420" t="s">
        <v>95</v>
      </c>
      <c r="C1420" s="3">
        <v>45707.990613425922</v>
      </c>
      <c r="D1420" t="s">
        <v>121</v>
      </c>
      <c r="E1420" s="4">
        <v>1.6040000000000001</v>
      </c>
      <c r="F1420" s="4">
        <v>65241.08</v>
      </c>
      <c r="G1420" s="4">
        <v>65242.684000000001</v>
      </c>
      <c r="H1420" s="5">
        <f>199 / 86400</f>
        <v>2.3032407407407407E-3</v>
      </c>
      <c r="I1420" t="s">
        <v>169</v>
      </c>
      <c r="J1420" t="s">
        <v>137</v>
      </c>
      <c r="K1420" s="5">
        <f>503 / 86400</f>
        <v>5.8217592592592592E-3</v>
      </c>
      <c r="L1420" s="5">
        <f>810 / 86400</f>
        <v>9.3749999999999997E-3</v>
      </c>
    </row>
    <row r="1421" spans="1:12" x14ac:dyDescent="0.25">
      <c r="A1421" s="12"/>
      <c r="B1421" s="12"/>
      <c r="C1421" s="12"/>
      <c r="D1421" s="12"/>
      <c r="E1421" s="12"/>
      <c r="F1421" s="12"/>
      <c r="G1421" s="12"/>
      <c r="H1421" s="12"/>
      <c r="I1421" s="12"/>
      <c r="J1421" s="12"/>
    </row>
    <row r="1422" spans="1:12" x14ac:dyDescent="0.25">
      <c r="A1422" s="12"/>
      <c r="B1422" s="12"/>
      <c r="C1422" s="12"/>
      <c r="D1422" s="12"/>
      <c r="E1422" s="12"/>
      <c r="F1422" s="12"/>
      <c r="G1422" s="12"/>
      <c r="H1422" s="12"/>
      <c r="I1422" s="12"/>
      <c r="J1422" s="12"/>
    </row>
    <row r="1423" spans="1:12" s="10" customFormat="1" ht="20.100000000000001" customHeight="1" x14ac:dyDescent="0.35">
      <c r="A1423" s="15" t="s">
        <v>524</v>
      </c>
      <c r="B1423" s="15"/>
      <c r="C1423" s="15"/>
      <c r="D1423" s="15"/>
      <c r="E1423" s="15"/>
      <c r="F1423" s="15"/>
      <c r="G1423" s="15"/>
      <c r="H1423" s="15"/>
      <c r="I1423" s="15"/>
      <c r="J1423" s="15"/>
    </row>
    <row r="1424" spans="1:12" x14ac:dyDescent="0.25">
      <c r="A1424" s="12"/>
      <c r="B1424" s="12"/>
      <c r="C1424" s="12"/>
      <c r="D1424" s="12"/>
      <c r="E1424" s="12"/>
      <c r="F1424" s="12"/>
      <c r="G1424" s="12"/>
      <c r="H1424" s="12"/>
      <c r="I1424" s="12"/>
      <c r="J1424" s="12"/>
    </row>
    <row r="1425" spans="1:12" ht="30" x14ac:dyDescent="0.25">
      <c r="A1425" s="2" t="s">
        <v>6</v>
      </c>
      <c r="B1425" s="2" t="s">
        <v>7</v>
      </c>
      <c r="C1425" s="2" t="s">
        <v>8</v>
      </c>
      <c r="D1425" s="2" t="s">
        <v>9</v>
      </c>
      <c r="E1425" s="2" t="s">
        <v>10</v>
      </c>
      <c r="F1425" s="2" t="s">
        <v>11</v>
      </c>
      <c r="G1425" s="2" t="s">
        <v>12</v>
      </c>
      <c r="H1425" s="2" t="s">
        <v>13</v>
      </c>
      <c r="I1425" s="2" t="s">
        <v>14</v>
      </c>
      <c r="J1425" s="2" t="s">
        <v>15</v>
      </c>
      <c r="K1425" s="2" t="s">
        <v>16</v>
      </c>
      <c r="L1425" s="2" t="s">
        <v>17</v>
      </c>
    </row>
    <row r="1426" spans="1:12" x14ac:dyDescent="0.25">
      <c r="A1426" s="3">
        <v>45707.039687500001</v>
      </c>
      <c r="B1426" t="s">
        <v>121</v>
      </c>
      <c r="C1426" s="3">
        <v>45707.041516203702</v>
      </c>
      <c r="D1426" t="s">
        <v>121</v>
      </c>
      <c r="E1426" s="4">
        <v>5.0999999999999997E-2</v>
      </c>
      <c r="F1426" s="4">
        <v>292962.59899999999</v>
      </c>
      <c r="G1426" s="4">
        <v>292962.65000000002</v>
      </c>
      <c r="H1426" s="5">
        <f>100 / 86400</f>
        <v>1.1574074074074073E-3</v>
      </c>
      <c r="I1426" t="s">
        <v>101</v>
      </c>
      <c r="J1426" t="s">
        <v>127</v>
      </c>
      <c r="K1426" s="5">
        <f>158 / 86400</f>
        <v>1.8287037037037037E-3</v>
      </c>
      <c r="L1426" s="5">
        <f>22852 / 86400</f>
        <v>0.26449074074074075</v>
      </c>
    </row>
    <row r="1427" spans="1:12" x14ac:dyDescent="0.25">
      <c r="A1427" s="3">
        <v>45707.266319444447</v>
      </c>
      <c r="B1427" t="s">
        <v>121</v>
      </c>
      <c r="C1427" s="3">
        <v>45707.623819444445</v>
      </c>
      <c r="D1427" t="s">
        <v>80</v>
      </c>
      <c r="E1427" s="4">
        <v>126.215</v>
      </c>
      <c r="F1427" s="4">
        <v>292962.65000000002</v>
      </c>
      <c r="G1427" s="4">
        <v>293088.86499999999</v>
      </c>
      <c r="H1427" s="5">
        <f>12880 / 86400</f>
        <v>0.14907407407407408</v>
      </c>
      <c r="I1427" t="s">
        <v>42</v>
      </c>
      <c r="J1427" t="s">
        <v>46</v>
      </c>
      <c r="K1427" s="5">
        <f>30887 / 86400</f>
        <v>0.35748842592592595</v>
      </c>
      <c r="L1427" s="5">
        <f>4 / 86400</f>
        <v>4.6296296296296294E-5</v>
      </c>
    </row>
    <row r="1428" spans="1:12" x14ac:dyDescent="0.25">
      <c r="A1428" s="3">
        <v>45707.623865740738</v>
      </c>
      <c r="B1428" t="s">
        <v>80</v>
      </c>
      <c r="C1428" s="3">
        <v>45707.626805555556</v>
      </c>
      <c r="D1428" t="s">
        <v>80</v>
      </c>
      <c r="E1428" s="4">
        <v>1.2E-2</v>
      </c>
      <c r="F1428" s="4">
        <v>293088.86499999999</v>
      </c>
      <c r="G1428" s="4">
        <v>293088.87699999998</v>
      </c>
      <c r="H1428" s="5">
        <f>253 / 86400</f>
        <v>2.9282407407407408E-3</v>
      </c>
      <c r="I1428" t="s">
        <v>72</v>
      </c>
      <c r="J1428" t="s">
        <v>72</v>
      </c>
      <c r="K1428" s="5">
        <f>254 / 86400</f>
        <v>2.9398148148148148E-3</v>
      </c>
      <c r="L1428" s="5">
        <f>1648 / 86400</f>
        <v>1.9074074074074073E-2</v>
      </c>
    </row>
    <row r="1429" spans="1:12" x14ac:dyDescent="0.25">
      <c r="A1429" s="3">
        <v>45707.645879629628</v>
      </c>
      <c r="B1429" t="s">
        <v>80</v>
      </c>
      <c r="C1429" s="3">
        <v>45707.822604166664</v>
      </c>
      <c r="D1429" t="s">
        <v>80</v>
      </c>
      <c r="E1429" s="4">
        <v>0</v>
      </c>
      <c r="F1429" s="4">
        <v>293088.87699999998</v>
      </c>
      <c r="G1429" s="4">
        <v>293088.87699999998</v>
      </c>
      <c r="H1429" s="5">
        <f>15268 / 86400</f>
        <v>0.17671296296296296</v>
      </c>
      <c r="I1429" t="s">
        <v>72</v>
      </c>
      <c r="J1429" t="s">
        <v>72</v>
      </c>
      <c r="K1429" s="5">
        <f>15269 / 86400</f>
        <v>0.17672453703703703</v>
      </c>
      <c r="L1429" s="5">
        <f>479 / 86400</f>
        <v>5.5439814814814813E-3</v>
      </c>
    </row>
    <row r="1430" spans="1:12" x14ac:dyDescent="0.25">
      <c r="A1430" s="3">
        <v>45707.828148148154</v>
      </c>
      <c r="B1430" t="s">
        <v>80</v>
      </c>
      <c r="C1430" s="3">
        <v>45707.922986111109</v>
      </c>
      <c r="D1430" t="s">
        <v>121</v>
      </c>
      <c r="E1430" s="4">
        <v>23.117999999999999</v>
      </c>
      <c r="F1430" s="4">
        <v>293088.87699999998</v>
      </c>
      <c r="G1430" s="4">
        <v>293111.995</v>
      </c>
      <c r="H1430" s="5">
        <f>4599 / 86400</f>
        <v>5.3229166666666668E-2</v>
      </c>
      <c r="I1430" t="s">
        <v>282</v>
      </c>
      <c r="J1430" t="s">
        <v>123</v>
      </c>
      <c r="K1430" s="5">
        <f>8193 / 86400</f>
        <v>9.4826388888888891E-2</v>
      </c>
      <c r="L1430" s="5">
        <f>6653 / 86400</f>
        <v>7.7002314814814815E-2</v>
      </c>
    </row>
    <row r="1431" spans="1:12" x14ac:dyDescent="0.25">
      <c r="A1431" s="12"/>
      <c r="B1431" s="12"/>
      <c r="C1431" s="12"/>
      <c r="D1431" s="12"/>
      <c r="E1431" s="12"/>
      <c r="F1431" s="12"/>
      <c r="G1431" s="12"/>
      <c r="H1431" s="12"/>
      <c r="I1431" s="12"/>
      <c r="J1431" s="12"/>
    </row>
    <row r="1432" spans="1:12" x14ac:dyDescent="0.25">
      <c r="A1432" s="12" t="s">
        <v>125</v>
      </c>
      <c r="B1432" s="12"/>
      <c r="C1432" s="12"/>
      <c r="D1432" s="12"/>
      <c r="E1432" s="12"/>
      <c r="F1432" s="12"/>
      <c r="G1432" s="12"/>
      <c r="H1432" s="12"/>
      <c r="I1432" s="12"/>
      <c r="J1432" s="12"/>
    </row>
  </sheetData>
  <mergeCells count="262">
    <mergeCell ref="A1431:J1431"/>
    <mergeCell ref="A1432:J1432"/>
    <mergeCell ref="A1398:J1398"/>
    <mergeCell ref="A1409:J1409"/>
    <mergeCell ref="A1410:J1410"/>
    <mergeCell ref="A1411:J1411"/>
    <mergeCell ref="A1412:J1412"/>
    <mergeCell ref="A1421:J1421"/>
    <mergeCell ref="A1422:J1422"/>
    <mergeCell ref="A1423:J1423"/>
    <mergeCell ref="A1424:J1424"/>
    <mergeCell ref="A1371:J1371"/>
    <mergeCell ref="A1372:J1372"/>
    <mergeCell ref="A1382:J1382"/>
    <mergeCell ref="A1383:J1383"/>
    <mergeCell ref="A1384:J1384"/>
    <mergeCell ref="A1385:J1385"/>
    <mergeCell ref="A1395:J1395"/>
    <mergeCell ref="A1396:J1396"/>
    <mergeCell ref="A1397:J1397"/>
    <mergeCell ref="A1333:J1333"/>
    <mergeCell ref="A1334:J1334"/>
    <mergeCell ref="A1335:J1335"/>
    <mergeCell ref="A1351:J1351"/>
    <mergeCell ref="A1352:J1352"/>
    <mergeCell ref="A1353:J1353"/>
    <mergeCell ref="A1354:J1354"/>
    <mergeCell ref="A1369:J1369"/>
    <mergeCell ref="A1370:J1370"/>
    <mergeCell ref="A1305:J1305"/>
    <mergeCell ref="A1306:J1306"/>
    <mergeCell ref="A1307:J1307"/>
    <mergeCell ref="A1308:J1308"/>
    <mergeCell ref="A1318:J1318"/>
    <mergeCell ref="A1319:J1319"/>
    <mergeCell ref="A1320:J1320"/>
    <mergeCell ref="A1321:J1321"/>
    <mergeCell ref="A1332:J1332"/>
    <mergeCell ref="A1275:J1275"/>
    <mergeCell ref="A1282:J1282"/>
    <mergeCell ref="A1283:J1283"/>
    <mergeCell ref="A1284:J1284"/>
    <mergeCell ref="A1285:J1285"/>
    <mergeCell ref="A1295:J1295"/>
    <mergeCell ref="A1296:J1296"/>
    <mergeCell ref="A1297:J1297"/>
    <mergeCell ref="A1298:J1298"/>
    <mergeCell ref="A1251:J1251"/>
    <mergeCell ref="A1252:J1252"/>
    <mergeCell ref="A1258:J1258"/>
    <mergeCell ref="A1259:J1259"/>
    <mergeCell ref="A1260:J1260"/>
    <mergeCell ref="A1261:J1261"/>
    <mergeCell ref="A1272:J1272"/>
    <mergeCell ref="A1273:J1273"/>
    <mergeCell ref="A1274:J1274"/>
    <mergeCell ref="A1214:J1214"/>
    <mergeCell ref="A1215:J1215"/>
    <mergeCell ref="A1216:J1216"/>
    <mergeCell ref="A1242:J1242"/>
    <mergeCell ref="A1243:J1243"/>
    <mergeCell ref="A1244:J1244"/>
    <mergeCell ref="A1245:J1245"/>
    <mergeCell ref="A1249:J1249"/>
    <mergeCell ref="A1250:J1250"/>
    <mergeCell ref="A1185:J1185"/>
    <mergeCell ref="A1186:J1186"/>
    <mergeCell ref="A1187:J1187"/>
    <mergeCell ref="A1188:J1188"/>
    <mergeCell ref="A1200:J1200"/>
    <mergeCell ref="A1201:J1201"/>
    <mergeCell ref="A1202:J1202"/>
    <mergeCell ref="A1203:J1203"/>
    <mergeCell ref="A1213:J1213"/>
    <mergeCell ref="A1126:J1126"/>
    <mergeCell ref="A1140:J1140"/>
    <mergeCell ref="A1141:J1141"/>
    <mergeCell ref="A1142:J1142"/>
    <mergeCell ref="A1143:J1143"/>
    <mergeCell ref="A1151:J1151"/>
    <mergeCell ref="A1152:J1152"/>
    <mergeCell ref="A1153:J1153"/>
    <mergeCell ref="A1154:J1154"/>
    <mergeCell ref="A1088:J1088"/>
    <mergeCell ref="A1089:J1089"/>
    <mergeCell ref="A1106:J1106"/>
    <mergeCell ref="A1107:J1107"/>
    <mergeCell ref="A1108:J1108"/>
    <mergeCell ref="A1109:J1109"/>
    <mergeCell ref="A1123:J1123"/>
    <mergeCell ref="A1124:J1124"/>
    <mergeCell ref="A1125:J1125"/>
    <mergeCell ref="A1066:J1066"/>
    <mergeCell ref="A1067:J1067"/>
    <mergeCell ref="A1068:J1068"/>
    <mergeCell ref="A1077:J1077"/>
    <mergeCell ref="A1078:J1078"/>
    <mergeCell ref="A1079:J1079"/>
    <mergeCell ref="A1080:J1080"/>
    <mergeCell ref="A1086:J1086"/>
    <mergeCell ref="A1087:J1087"/>
    <mergeCell ref="A1029:J1029"/>
    <mergeCell ref="A1030:J1030"/>
    <mergeCell ref="A1031:J1031"/>
    <mergeCell ref="A1032:J1032"/>
    <mergeCell ref="A1048:J1048"/>
    <mergeCell ref="A1049:J1049"/>
    <mergeCell ref="A1050:J1050"/>
    <mergeCell ref="A1051:J1051"/>
    <mergeCell ref="A1065:J1065"/>
    <mergeCell ref="A995:J995"/>
    <mergeCell ref="A1001:J1001"/>
    <mergeCell ref="A1002:J1002"/>
    <mergeCell ref="A1003:J1003"/>
    <mergeCell ref="A1004:J1004"/>
    <mergeCell ref="A1016:J1016"/>
    <mergeCell ref="A1017:J1017"/>
    <mergeCell ref="A1018:J1018"/>
    <mergeCell ref="A1019:J1019"/>
    <mergeCell ref="A962:J962"/>
    <mergeCell ref="A963:J963"/>
    <mergeCell ref="A966:J966"/>
    <mergeCell ref="A967:J967"/>
    <mergeCell ref="A968:J968"/>
    <mergeCell ref="A969:J969"/>
    <mergeCell ref="A992:J992"/>
    <mergeCell ref="A993:J993"/>
    <mergeCell ref="A994:J994"/>
    <mergeCell ref="A912:J912"/>
    <mergeCell ref="A913:J913"/>
    <mergeCell ref="A914:J914"/>
    <mergeCell ref="A928:J928"/>
    <mergeCell ref="A929:J929"/>
    <mergeCell ref="A930:J930"/>
    <mergeCell ref="A931:J931"/>
    <mergeCell ref="A960:J960"/>
    <mergeCell ref="A961:J961"/>
    <mergeCell ref="A879:J879"/>
    <mergeCell ref="A880:J880"/>
    <mergeCell ref="A881:J881"/>
    <mergeCell ref="A882:J882"/>
    <mergeCell ref="A900:J900"/>
    <mergeCell ref="A901:J901"/>
    <mergeCell ref="A902:J902"/>
    <mergeCell ref="A903:J903"/>
    <mergeCell ref="A911:J911"/>
    <mergeCell ref="A848:J848"/>
    <mergeCell ref="A851:J851"/>
    <mergeCell ref="A852:J852"/>
    <mergeCell ref="A853:J853"/>
    <mergeCell ref="A854:J854"/>
    <mergeCell ref="A863:J863"/>
    <mergeCell ref="A864:J864"/>
    <mergeCell ref="A865:J865"/>
    <mergeCell ref="A866:J866"/>
    <mergeCell ref="A812:J812"/>
    <mergeCell ref="A813:J813"/>
    <mergeCell ref="A830:J830"/>
    <mergeCell ref="A831:J831"/>
    <mergeCell ref="A832:J832"/>
    <mergeCell ref="A833:J833"/>
    <mergeCell ref="A845:J845"/>
    <mergeCell ref="A846:J846"/>
    <mergeCell ref="A847:J847"/>
    <mergeCell ref="A783:J783"/>
    <mergeCell ref="A784:J784"/>
    <mergeCell ref="A785:J785"/>
    <mergeCell ref="A793:J793"/>
    <mergeCell ref="A794:J794"/>
    <mergeCell ref="A795:J795"/>
    <mergeCell ref="A796:J796"/>
    <mergeCell ref="A810:J810"/>
    <mergeCell ref="A811:J811"/>
    <mergeCell ref="A752:J752"/>
    <mergeCell ref="A753:J753"/>
    <mergeCell ref="A754:J754"/>
    <mergeCell ref="A755:J755"/>
    <mergeCell ref="A764:J764"/>
    <mergeCell ref="A765:J765"/>
    <mergeCell ref="A766:J766"/>
    <mergeCell ref="A767:J767"/>
    <mergeCell ref="A782:J782"/>
    <mergeCell ref="A708:J708"/>
    <mergeCell ref="A720:J720"/>
    <mergeCell ref="A721:J721"/>
    <mergeCell ref="A722:J722"/>
    <mergeCell ref="A723:J723"/>
    <mergeCell ref="A738:J738"/>
    <mergeCell ref="A739:J739"/>
    <mergeCell ref="A740:J740"/>
    <mergeCell ref="A741:J741"/>
    <mergeCell ref="A675:J675"/>
    <mergeCell ref="A676:J676"/>
    <mergeCell ref="A689:J689"/>
    <mergeCell ref="A690:J690"/>
    <mergeCell ref="A691:J691"/>
    <mergeCell ref="A692:J692"/>
    <mergeCell ref="A705:J705"/>
    <mergeCell ref="A706:J706"/>
    <mergeCell ref="A707:J707"/>
    <mergeCell ref="A621:J621"/>
    <mergeCell ref="A622:J622"/>
    <mergeCell ref="A623:J623"/>
    <mergeCell ref="A641:J641"/>
    <mergeCell ref="A642:J642"/>
    <mergeCell ref="A643:J643"/>
    <mergeCell ref="A644:J644"/>
    <mergeCell ref="A673:J673"/>
    <mergeCell ref="A674:J674"/>
    <mergeCell ref="A585:J585"/>
    <mergeCell ref="A586:J586"/>
    <mergeCell ref="A587:J587"/>
    <mergeCell ref="A588:J588"/>
    <mergeCell ref="A608:J608"/>
    <mergeCell ref="A609:J609"/>
    <mergeCell ref="A610:J610"/>
    <mergeCell ref="A611:J611"/>
    <mergeCell ref="A620:J620"/>
    <mergeCell ref="A169:J169"/>
    <mergeCell ref="A562:J562"/>
    <mergeCell ref="A563:J563"/>
    <mergeCell ref="A564:J564"/>
    <mergeCell ref="A565:J565"/>
    <mergeCell ref="A570:J570"/>
    <mergeCell ref="A571:J571"/>
    <mergeCell ref="A572:J572"/>
    <mergeCell ref="A573:J573"/>
    <mergeCell ref="A142:J142"/>
    <mergeCell ref="A143:J143"/>
    <mergeCell ref="A149:J149"/>
    <mergeCell ref="A150:J150"/>
    <mergeCell ref="A151:J151"/>
    <mergeCell ref="A152:J152"/>
    <mergeCell ref="A166:J166"/>
    <mergeCell ref="A167:J167"/>
    <mergeCell ref="A168:J168"/>
    <mergeCell ref="A102:J102"/>
    <mergeCell ref="A103:J103"/>
    <mergeCell ref="A104:J104"/>
    <mergeCell ref="A123:J123"/>
    <mergeCell ref="A124:J124"/>
    <mergeCell ref="A125:J125"/>
    <mergeCell ref="A126:J126"/>
    <mergeCell ref="A140:J140"/>
    <mergeCell ref="A141:J141"/>
    <mergeCell ref="A74:J74"/>
    <mergeCell ref="A75:J75"/>
    <mergeCell ref="A76:J76"/>
    <mergeCell ref="A77:J77"/>
    <mergeCell ref="A87:J87"/>
    <mergeCell ref="A88:J88"/>
    <mergeCell ref="A89:J89"/>
    <mergeCell ref="A90:J90"/>
    <mergeCell ref="A101:J101"/>
    <mergeCell ref="A1:J1"/>
    <mergeCell ref="A2:J2"/>
    <mergeCell ref="A3:J3"/>
    <mergeCell ref="A4:J4"/>
    <mergeCell ref="A5:J5"/>
    <mergeCell ref="A6:J6"/>
    <mergeCell ref="A72:J72"/>
    <mergeCell ref="A73:J73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2025-09-22T19:52:48Z</dcterms:created>
  <dcterms:modified xsi:type="dcterms:W3CDTF">2025-09-23T05:37:38Z</dcterms:modified>
</cp:coreProperties>
</file>