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codeName="ThisWorkbook"/>
  <xr:revisionPtr revIDLastSave="0" documentId="13_ncr:1_{7E66F384-F637-4AF0-9337-DCE0D70B1101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1298" i="1" l="1"/>
  <c r="K1298" i="1"/>
  <c r="H1298" i="1"/>
  <c r="L1297" i="1"/>
  <c r="K1297" i="1"/>
  <c r="H1297" i="1"/>
  <c r="L1296" i="1"/>
  <c r="K1296" i="1"/>
  <c r="H1296" i="1"/>
  <c r="L1290" i="1"/>
  <c r="K1290" i="1"/>
  <c r="H1290" i="1"/>
  <c r="L1289" i="1"/>
  <c r="K1289" i="1"/>
  <c r="H1289" i="1"/>
  <c r="L1283" i="1"/>
  <c r="K1283" i="1"/>
  <c r="H1283" i="1"/>
  <c r="L1282" i="1"/>
  <c r="K1282" i="1"/>
  <c r="H1282" i="1"/>
  <c r="L1281" i="1"/>
  <c r="K1281" i="1"/>
  <c r="H1281" i="1"/>
  <c r="L1280" i="1"/>
  <c r="K1280" i="1"/>
  <c r="H1280" i="1"/>
  <c r="L1279" i="1"/>
  <c r="K1279" i="1"/>
  <c r="H1279" i="1"/>
  <c r="L1278" i="1"/>
  <c r="K1278" i="1"/>
  <c r="H1278" i="1"/>
  <c r="L1277" i="1"/>
  <c r="K1277" i="1"/>
  <c r="H1277" i="1"/>
  <c r="L1276" i="1"/>
  <c r="K1276" i="1"/>
  <c r="H1276" i="1"/>
  <c r="L1275" i="1"/>
  <c r="K1275" i="1"/>
  <c r="H1275" i="1"/>
  <c r="L1274" i="1"/>
  <c r="K1274" i="1"/>
  <c r="H1274" i="1"/>
  <c r="L1273" i="1"/>
  <c r="K1273" i="1"/>
  <c r="H1273" i="1"/>
  <c r="L1272" i="1"/>
  <c r="K1272" i="1"/>
  <c r="H1272" i="1"/>
  <c r="L1271" i="1"/>
  <c r="K1271" i="1"/>
  <c r="H1271" i="1"/>
  <c r="L1270" i="1"/>
  <c r="K1270" i="1"/>
  <c r="H1270" i="1"/>
  <c r="L1269" i="1"/>
  <c r="K1269" i="1"/>
  <c r="H1269" i="1"/>
  <c r="L1268" i="1"/>
  <c r="K1268" i="1"/>
  <c r="H1268" i="1"/>
  <c r="L1267" i="1"/>
  <c r="K1267" i="1"/>
  <c r="H1267" i="1"/>
  <c r="L1266" i="1"/>
  <c r="K1266" i="1"/>
  <c r="H1266" i="1"/>
  <c r="L1265" i="1"/>
  <c r="K1265" i="1"/>
  <c r="H1265" i="1"/>
  <c r="L1264" i="1"/>
  <c r="K1264" i="1"/>
  <c r="H1264" i="1"/>
  <c r="L1263" i="1"/>
  <c r="K1263" i="1"/>
  <c r="H1263" i="1"/>
  <c r="L1262" i="1"/>
  <c r="K1262" i="1"/>
  <c r="H1262" i="1"/>
  <c r="L1261" i="1"/>
  <c r="K1261" i="1"/>
  <c r="H1261" i="1"/>
  <c r="L1260" i="1"/>
  <c r="K1260" i="1"/>
  <c r="H1260" i="1"/>
  <c r="L1259" i="1"/>
  <c r="K1259" i="1"/>
  <c r="H1259" i="1"/>
  <c r="L1258" i="1"/>
  <c r="K1258" i="1"/>
  <c r="H1258" i="1"/>
  <c r="L1257" i="1"/>
  <c r="K1257" i="1"/>
  <c r="H1257" i="1"/>
  <c r="L1251" i="1"/>
  <c r="K1251" i="1"/>
  <c r="H1251" i="1"/>
  <c r="L1250" i="1"/>
  <c r="K1250" i="1"/>
  <c r="H1250" i="1"/>
  <c r="L1249" i="1"/>
  <c r="K1249" i="1"/>
  <c r="H1249" i="1"/>
  <c r="L1248" i="1"/>
  <c r="K1248" i="1"/>
  <c r="H1248" i="1"/>
  <c r="L1247" i="1"/>
  <c r="K1247" i="1"/>
  <c r="H1247" i="1"/>
  <c r="L1246" i="1"/>
  <c r="K1246" i="1"/>
  <c r="H1246" i="1"/>
  <c r="L1245" i="1"/>
  <c r="K1245" i="1"/>
  <c r="H1245" i="1"/>
  <c r="L1244" i="1"/>
  <c r="K1244" i="1"/>
  <c r="H1244" i="1"/>
  <c r="L1243" i="1"/>
  <c r="K1243" i="1"/>
  <c r="H1243" i="1"/>
  <c r="L1242" i="1"/>
  <c r="K1242" i="1"/>
  <c r="H1242" i="1"/>
  <c r="L1241" i="1"/>
  <c r="K1241" i="1"/>
  <c r="H1241" i="1"/>
  <c r="L1240" i="1"/>
  <c r="K1240" i="1"/>
  <c r="H1240" i="1"/>
  <c r="L1239" i="1"/>
  <c r="K1239" i="1"/>
  <c r="H1239" i="1"/>
  <c r="L1238" i="1"/>
  <c r="K1238" i="1"/>
  <c r="H1238" i="1"/>
  <c r="L1237" i="1"/>
  <c r="K1237" i="1"/>
  <c r="H1237" i="1"/>
  <c r="L1236" i="1"/>
  <c r="K1236" i="1"/>
  <c r="H1236" i="1"/>
  <c r="L1235" i="1"/>
  <c r="K1235" i="1"/>
  <c r="H1235" i="1"/>
  <c r="L1229" i="1"/>
  <c r="K1229" i="1"/>
  <c r="H1229" i="1"/>
  <c r="L1228" i="1"/>
  <c r="K1228" i="1"/>
  <c r="H1228" i="1"/>
  <c r="L1227" i="1"/>
  <c r="K1227" i="1"/>
  <c r="H1227" i="1"/>
  <c r="L1226" i="1"/>
  <c r="K1226" i="1"/>
  <c r="H1226" i="1"/>
  <c r="L1220" i="1"/>
  <c r="K1220" i="1"/>
  <c r="H1220" i="1"/>
  <c r="L1219" i="1"/>
  <c r="K1219" i="1"/>
  <c r="H1219" i="1"/>
  <c r="L1218" i="1"/>
  <c r="K1218" i="1"/>
  <c r="H1218" i="1"/>
  <c r="L1217" i="1"/>
  <c r="K1217" i="1"/>
  <c r="H1217" i="1"/>
  <c r="L1216" i="1"/>
  <c r="K1216" i="1"/>
  <c r="H1216" i="1"/>
  <c r="L1215" i="1"/>
  <c r="K1215" i="1"/>
  <c r="H1215" i="1"/>
  <c r="L1214" i="1"/>
  <c r="K1214" i="1"/>
  <c r="H1214" i="1"/>
  <c r="L1213" i="1"/>
  <c r="K1213" i="1"/>
  <c r="H1213" i="1"/>
  <c r="L1212" i="1"/>
  <c r="K1212" i="1"/>
  <c r="H1212" i="1"/>
  <c r="L1211" i="1"/>
  <c r="K1211" i="1"/>
  <c r="H1211" i="1"/>
  <c r="L1210" i="1"/>
  <c r="K1210" i="1"/>
  <c r="H1210" i="1"/>
  <c r="L1209" i="1"/>
  <c r="K1209" i="1"/>
  <c r="H1209" i="1"/>
  <c r="L1208" i="1"/>
  <c r="K1208" i="1"/>
  <c r="H1208" i="1"/>
  <c r="L1207" i="1"/>
  <c r="K1207" i="1"/>
  <c r="H1207" i="1"/>
  <c r="L1206" i="1"/>
  <c r="K1206" i="1"/>
  <c r="H1206" i="1"/>
  <c r="L1205" i="1"/>
  <c r="K1205" i="1"/>
  <c r="H1205" i="1"/>
  <c r="L1204" i="1"/>
  <c r="K1204" i="1"/>
  <c r="H1204" i="1"/>
  <c r="L1203" i="1"/>
  <c r="K1203" i="1"/>
  <c r="H1203" i="1"/>
  <c r="L1202" i="1"/>
  <c r="K1202" i="1"/>
  <c r="H1202" i="1"/>
  <c r="L1201" i="1"/>
  <c r="K1201" i="1"/>
  <c r="H1201" i="1"/>
  <c r="L1195" i="1"/>
  <c r="K1195" i="1"/>
  <c r="H1195" i="1"/>
  <c r="L1194" i="1"/>
  <c r="K1194" i="1"/>
  <c r="H1194" i="1"/>
  <c r="L1193" i="1"/>
  <c r="K1193" i="1"/>
  <c r="H1193" i="1"/>
  <c r="L1192" i="1"/>
  <c r="K1192" i="1"/>
  <c r="H1192" i="1"/>
  <c r="L1191" i="1"/>
  <c r="K1191" i="1"/>
  <c r="H1191" i="1"/>
  <c r="L1190" i="1"/>
  <c r="K1190" i="1"/>
  <c r="H1190" i="1"/>
  <c r="L1189" i="1"/>
  <c r="K1189" i="1"/>
  <c r="H1189" i="1"/>
  <c r="L1188" i="1"/>
  <c r="K1188" i="1"/>
  <c r="H1188" i="1"/>
  <c r="L1187" i="1"/>
  <c r="K1187" i="1"/>
  <c r="H1187" i="1"/>
  <c r="L1181" i="1"/>
  <c r="K1181" i="1"/>
  <c r="H1181" i="1"/>
  <c r="L1180" i="1"/>
  <c r="K1180" i="1"/>
  <c r="H1180" i="1"/>
  <c r="L1179" i="1"/>
  <c r="K1179" i="1"/>
  <c r="H1179" i="1"/>
  <c r="L1178" i="1"/>
  <c r="K1178" i="1"/>
  <c r="H1178" i="1"/>
  <c r="L1177" i="1"/>
  <c r="K1177" i="1"/>
  <c r="H1177" i="1"/>
  <c r="L1176" i="1"/>
  <c r="K1176" i="1"/>
  <c r="H1176" i="1"/>
  <c r="L1175" i="1"/>
  <c r="K1175" i="1"/>
  <c r="H1175" i="1"/>
  <c r="L1174" i="1"/>
  <c r="K1174" i="1"/>
  <c r="H1174" i="1"/>
  <c r="L1173" i="1"/>
  <c r="K1173" i="1"/>
  <c r="H1173" i="1"/>
  <c r="L1167" i="1"/>
  <c r="K1167" i="1"/>
  <c r="H1167" i="1"/>
  <c r="L1166" i="1"/>
  <c r="K1166" i="1"/>
  <c r="H1166" i="1"/>
  <c r="L1165" i="1"/>
  <c r="K1165" i="1"/>
  <c r="H1165" i="1"/>
  <c r="L1164" i="1"/>
  <c r="K1164" i="1"/>
  <c r="H1164" i="1"/>
  <c r="L1163" i="1"/>
  <c r="K1163" i="1"/>
  <c r="H1163" i="1"/>
  <c r="L1162" i="1"/>
  <c r="K1162" i="1"/>
  <c r="H1162" i="1"/>
  <c r="L1161" i="1"/>
  <c r="K1161" i="1"/>
  <c r="H1161" i="1"/>
  <c r="L1160" i="1"/>
  <c r="K1160" i="1"/>
  <c r="H1160" i="1"/>
  <c r="L1154" i="1"/>
  <c r="K1154" i="1"/>
  <c r="H1154" i="1"/>
  <c r="L1153" i="1"/>
  <c r="K1153" i="1"/>
  <c r="H1153" i="1"/>
  <c r="L1152" i="1"/>
  <c r="K1152" i="1"/>
  <c r="H1152" i="1"/>
  <c r="L1151" i="1"/>
  <c r="K1151" i="1"/>
  <c r="H1151" i="1"/>
  <c r="L1145" i="1"/>
  <c r="K1145" i="1"/>
  <c r="H1145" i="1"/>
  <c r="L1144" i="1"/>
  <c r="K1144" i="1"/>
  <c r="H1144" i="1"/>
  <c r="L1143" i="1"/>
  <c r="K1143" i="1"/>
  <c r="H1143" i="1"/>
  <c r="L1142" i="1"/>
  <c r="K1142" i="1"/>
  <c r="H1142" i="1"/>
  <c r="L1141" i="1"/>
  <c r="K1141" i="1"/>
  <c r="H1141" i="1"/>
  <c r="L1140" i="1"/>
  <c r="K1140" i="1"/>
  <c r="H1140" i="1"/>
  <c r="L1134" i="1"/>
  <c r="K1134" i="1"/>
  <c r="H1134" i="1"/>
  <c r="L1133" i="1"/>
  <c r="K1133" i="1"/>
  <c r="H1133" i="1"/>
  <c r="L1132" i="1"/>
  <c r="K1132" i="1"/>
  <c r="H1132" i="1"/>
  <c r="L1131" i="1"/>
  <c r="K1131" i="1"/>
  <c r="H1131" i="1"/>
  <c r="L1130" i="1"/>
  <c r="K1130" i="1"/>
  <c r="H1130" i="1"/>
  <c r="L1129" i="1"/>
  <c r="K1129" i="1"/>
  <c r="H1129" i="1"/>
  <c r="L1123" i="1"/>
  <c r="K1123" i="1"/>
  <c r="H1123" i="1"/>
  <c r="L1122" i="1"/>
  <c r="K1122" i="1"/>
  <c r="H1122" i="1"/>
  <c r="L1121" i="1"/>
  <c r="K1121" i="1"/>
  <c r="H1121" i="1"/>
  <c r="L1120" i="1"/>
  <c r="K1120" i="1"/>
  <c r="H1120" i="1"/>
  <c r="L1119" i="1"/>
  <c r="K1119" i="1"/>
  <c r="H1119" i="1"/>
  <c r="L1118" i="1"/>
  <c r="K1118" i="1"/>
  <c r="H1118" i="1"/>
  <c r="L1117" i="1"/>
  <c r="K1117" i="1"/>
  <c r="H1117" i="1"/>
  <c r="L1116" i="1"/>
  <c r="K1116" i="1"/>
  <c r="H1116" i="1"/>
  <c r="L1115" i="1"/>
  <c r="K1115" i="1"/>
  <c r="H1115" i="1"/>
  <c r="L1109" i="1"/>
  <c r="K1109" i="1"/>
  <c r="H1109" i="1"/>
  <c r="L1108" i="1"/>
  <c r="K1108" i="1"/>
  <c r="H1108" i="1"/>
  <c r="L1102" i="1"/>
  <c r="K1102" i="1"/>
  <c r="H1102" i="1"/>
  <c r="L1101" i="1"/>
  <c r="K1101" i="1"/>
  <c r="H1101" i="1"/>
  <c r="L1100" i="1"/>
  <c r="K1100" i="1"/>
  <c r="H1100" i="1"/>
  <c r="L1099" i="1"/>
  <c r="K1099" i="1"/>
  <c r="H1099" i="1"/>
  <c r="L1098" i="1"/>
  <c r="K1098" i="1"/>
  <c r="H1098" i="1"/>
  <c r="L1097" i="1"/>
  <c r="K1097" i="1"/>
  <c r="H1097" i="1"/>
  <c r="L1096" i="1"/>
  <c r="K1096" i="1"/>
  <c r="H1096" i="1"/>
  <c r="L1095" i="1"/>
  <c r="K1095" i="1"/>
  <c r="H1095" i="1"/>
  <c r="L1094" i="1"/>
  <c r="K1094" i="1"/>
  <c r="H1094" i="1"/>
  <c r="L1093" i="1"/>
  <c r="K1093" i="1"/>
  <c r="H1093" i="1"/>
  <c r="L1092" i="1"/>
  <c r="K1092" i="1"/>
  <c r="H1092" i="1"/>
  <c r="L1091" i="1"/>
  <c r="K1091" i="1"/>
  <c r="H1091" i="1"/>
  <c r="L1090" i="1"/>
  <c r="K1090" i="1"/>
  <c r="H1090" i="1"/>
  <c r="L1089" i="1"/>
  <c r="K1089" i="1"/>
  <c r="H1089" i="1"/>
  <c r="L1088" i="1"/>
  <c r="K1088" i="1"/>
  <c r="H1088" i="1"/>
  <c r="L1082" i="1"/>
  <c r="K1082" i="1"/>
  <c r="H1082" i="1"/>
  <c r="L1081" i="1"/>
  <c r="K1081" i="1"/>
  <c r="H1081" i="1"/>
  <c r="L1080" i="1"/>
  <c r="K1080" i="1"/>
  <c r="H1080" i="1"/>
  <c r="L1079" i="1"/>
  <c r="K1079" i="1"/>
  <c r="H1079" i="1"/>
  <c r="L1078" i="1"/>
  <c r="K1078" i="1"/>
  <c r="H1078" i="1"/>
  <c r="L1077" i="1"/>
  <c r="K1077" i="1"/>
  <c r="H1077" i="1"/>
  <c r="L1076" i="1"/>
  <c r="K1076" i="1"/>
  <c r="H1076" i="1"/>
  <c r="L1075" i="1"/>
  <c r="K1075" i="1"/>
  <c r="H1075" i="1"/>
  <c r="L1069" i="1"/>
  <c r="K1069" i="1"/>
  <c r="H1069" i="1"/>
  <c r="L1068" i="1"/>
  <c r="K1068" i="1"/>
  <c r="H1068" i="1"/>
  <c r="L1067" i="1"/>
  <c r="K1067" i="1"/>
  <c r="H1067" i="1"/>
  <c r="L1066" i="1"/>
  <c r="K1066" i="1"/>
  <c r="H1066" i="1"/>
  <c r="L1065" i="1"/>
  <c r="K1065" i="1"/>
  <c r="H1065" i="1"/>
  <c r="L1064" i="1"/>
  <c r="K1064" i="1"/>
  <c r="H1064" i="1"/>
  <c r="L1063" i="1"/>
  <c r="K1063" i="1"/>
  <c r="H1063" i="1"/>
  <c r="L1062" i="1"/>
  <c r="K1062" i="1"/>
  <c r="H1062" i="1"/>
  <c r="L1056" i="1"/>
  <c r="K1056" i="1"/>
  <c r="H1056" i="1"/>
  <c r="L1055" i="1"/>
  <c r="K1055" i="1"/>
  <c r="H1055" i="1"/>
  <c r="L1054" i="1"/>
  <c r="K1054" i="1"/>
  <c r="H1054" i="1"/>
  <c r="L1053" i="1"/>
  <c r="K1053" i="1"/>
  <c r="H1053" i="1"/>
  <c r="L1052" i="1"/>
  <c r="K1052" i="1"/>
  <c r="H1052" i="1"/>
  <c r="L1051" i="1"/>
  <c r="K1051" i="1"/>
  <c r="H1051" i="1"/>
  <c r="L1050" i="1"/>
  <c r="K1050" i="1"/>
  <c r="H1050" i="1"/>
  <c r="L1049" i="1"/>
  <c r="K1049" i="1"/>
  <c r="H1049" i="1"/>
  <c r="L1048" i="1"/>
  <c r="K1048" i="1"/>
  <c r="H1048" i="1"/>
  <c r="L1047" i="1"/>
  <c r="K1047" i="1"/>
  <c r="H1047" i="1"/>
  <c r="L1046" i="1"/>
  <c r="K1046" i="1"/>
  <c r="H1046" i="1"/>
  <c r="L1045" i="1"/>
  <c r="K1045" i="1"/>
  <c r="H1045" i="1"/>
  <c r="L1044" i="1"/>
  <c r="K1044" i="1"/>
  <c r="H1044" i="1"/>
  <c r="L1038" i="1"/>
  <c r="K1038" i="1"/>
  <c r="H1038" i="1"/>
  <c r="L1037" i="1"/>
  <c r="K1037" i="1"/>
  <c r="H1037" i="1"/>
  <c r="L1036" i="1"/>
  <c r="K1036" i="1"/>
  <c r="H1036" i="1"/>
  <c r="L1035" i="1"/>
  <c r="K1035" i="1"/>
  <c r="H1035" i="1"/>
  <c r="L1034" i="1"/>
  <c r="K1034" i="1"/>
  <c r="H1034" i="1"/>
  <c r="L1033" i="1"/>
  <c r="K1033" i="1"/>
  <c r="H1033" i="1"/>
  <c r="L1032" i="1"/>
  <c r="K1032" i="1"/>
  <c r="H1032" i="1"/>
  <c r="L1031" i="1"/>
  <c r="K1031" i="1"/>
  <c r="H1031" i="1"/>
  <c r="L1025" i="1"/>
  <c r="K1025" i="1"/>
  <c r="H1025" i="1"/>
  <c r="L1024" i="1"/>
  <c r="K1024" i="1"/>
  <c r="H1024" i="1"/>
  <c r="L1023" i="1"/>
  <c r="K1023" i="1"/>
  <c r="H1023" i="1"/>
  <c r="L1022" i="1"/>
  <c r="K1022" i="1"/>
  <c r="H1022" i="1"/>
  <c r="L1021" i="1"/>
  <c r="K1021" i="1"/>
  <c r="H1021" i="1"/>
  <c r="L1020" i="1"/>
  <c r="K1020" i="1"/>
  <c r="H1020" i="1"/>
  <c r="L1019" i="1"/>
  <c r="K1019" i="1"/>
  <c r="H1019" i="1"/>
  <c r="L1013" i="1"/>
  <c r="K1013" i="1"/>
  <c r="H1013" i="1"/>
  <c r="L1012" i="1"/>
  <c r="K1012" i="1"/>
  <c r="H1012" i="1"/>
  <c r="L1011" i="1"/>
  <c r="K1011" i="1"/>
  <c r="H1011" i="1"/>
  <c r="L1010" i="1"/>
  <c r="K1010" i="1"/>
  <c r="H1010" i="1"/>
  <c r="L1009" i="1"/>
  <c r="K1009" i="1"/>
  <c r="H1009" i="1"/>
  <c r="L1008" i="1"/>
  <c r="K1008" i="1"/>
  <c r="H1008" i="1"/>
  <c r="L1007" i="1"/>
  <c r="K1007" i="1"/>
  <c r="H1007" i="1"/>
  <c r="L1006" i="1"/>
  <c r="K1006" i="1"/>
  <c r="H1006" i="1"/>
  <c r="L1005" i="1"/>
  <c r="K1005" i="1"/>
  <c r="H1005" i="1"/>
  <c r="L1004" i="1"/>
  <c r="K1004" i="1"/>
  <c r="H1004" i="1"/>
  <c r="L1003" i="1"/>
  <c r="K1003" i="1"/>
  <c r="H1003" i="1"/>
  <c r="L1002" i="1"/>
  <c r="K1002" i="1"/>
  <c r="H1002" i="1"/>
  <c r="L996" i="1"/>
  <c r="K996" i="1"/>
  <c r="H996" i="1"/>
  <c r="L995" i="1"/>
  <c r="K995" i="1"/>
  <c r="H995" i="1"/>
  <c r="L994" i="1"/>
  <c r="K994" i="1"/>
  <c r="H994" i="1"/>
  <c r="L993" i="1"/>
  <c r="K993" i="1"/>
  <c r="H993" i="1"/>
  <c r="L992" i="1"/>
  <c r="K992" i="1"/>
  <c r="H992" i="1"/>
  <c r="L991" i="1"/>
  <c r="K991" i="1"/>
  <c r="H991" i="1"/>
  <c r="L990" i="1"/>
  <c r="K990" i="1"/>
  <c r="H990" i="1"/>
  <c r="L984" i="1"/>
  <c r="K984" i="1"/>
  <c r="H984" i="1"/>
  <c r="L983" i="1"/>
  <c r="K983" i="1"/>
  <c r="H983" i="1"/>
  <c r="L982" i="1"/>
  <c r="K982" i="1"/>
  <c r="H982" i="1"/>
  <c r="L981" i="1"/>
  <c r="K981" i="1"/>
  <c r="H981" i="1"/>
  <c r="L980" i="1"/>
  <c r="K980" i="1"/>
  <c r="H980" i="1"/>
  <c r="L974" i="1"/>
  <c r="K974" i="1"/>
  <c r="H974" i="1"/>
  <c r="L973" i="1"/>
  <c r="K973" i="1"/>
  <c r="H973" i="1"/>
  <c r="L972" i="1"/>
  <c r="K972" i="1"/>
  <c r="H972" i="1"/>
  <c r="L971" i="1"/>
  <c r="K971" i="1"/>
  <c r="H971" i="1"/>
  <c r="L970" i="1"/>
  <c r="K970" i="1"/>
  <c r="H970" i="1"/>
  <c r="L969" i="1"/>
  <c r="K969" i="1"/>
  <c r="H969" i="1"/>
  <c r="L968" i="1"/>
  <c r="K968" i="1"/>
  <c r="H968" i="1"/>
  <c r="L962" i="1"/>
  <c r="K962" i="1"/>
  <c r="H962" i="1"/>
  <c r="L961" i="1"/>
  <c r="K961" i="1"/>
  <c r="H961" i="1"/>
  <c r="L960" i="1"/>
  <c r="K960" i="1"/>
  <c r="H960" i="1"/>
  <c r="L959" i="1"/>
  <c r="K959" i="1"/>
  <c r="H959" i="1"/>
  <c r="L958" i="1"/>
  <c r="K958" i="1"/>
  <c r="H958" i="1"/>
  <c r="L957" i="1"/>
  <c r="K957" i="1"/>
  <c r="H957" i="1"/>
  <c r="L956" i="1"/>
  <c r="K956" i="1"/>
  <c r="H956" i="1"/>
  <c r="L955" i="1"/>
  <c r="K955" i="1"/>
  <c r="H955" i="1"/>
  <c r="L954" i="1"/>
  <c r="K954" i="1"/>
  <c r="H954" i="1"/>
  <c r="L953" i="1"/>
  <c r="K953" i="1"/>
  <c r="H953" i="1"/>
  <c r="L947" i="1"/>
  <c r="K947" i="1"/>
  <c r="H947" i="1"/>
  <c r="L946" i="1"/>
  <c r="K946" i="1"/>
  <c r="H946" i="1"/>
  <c r="L945" i="1"/>
  <c r="K945" i="1"/>
  <c r="H945" i="1"/>
  <c r="L944" i="1"/>
  <c r="K944" i="1"/>
  <c r="H944" i="1"/>
  <c r="L943" i="1"/>
  <c r="K943" i="1"/>
  <c r="H943" i="1"/>
  <c r="L942" i="1"/>
  <c r="K942" i="1"/>
  <c r="H942" i="1"/>
  <c r="L941" i="1"/>
  <c r="K941" i="1"/>
  <c r="H941" i="1"/>
  <c r="L940" i="1"/>
  <c r="K940" i="1"/>
  <c r="H940" i="1"/>
  <c r="L939" i="1"/>
  <c r="K939" i="1"/>
  <c r="H939" i="1"/>
  <c r="L938" i="1"/>
  <c r="K938" i="1"/>
  <c r="H938" i="1"/>
  <c r="L937" i="1"/>
  <c r="K937" i="1"/>
  <c r="H937" i="1"/>
  <c r="L936" i="1"/>
  <c r="K936" i="1"/>
  <c r="H936" i="1"/>
  <c r="L930" i="1"/>
  <c r="K930" i="1"/>
  <c r="H930" i="1"/>
  <c r="L929" i="1"/>
  <c r="K929" i="1"/>
  <c r="H929" i="1"/>
  <c r="L928" i="1"/>
  <c r="K928" i="1"/>
  <c r="H928" i="1"/>
  <c r="L927" i="1"/>
  <c r="K927" i="1"/>
  <c r="H927" i="1"/>
  <c r="L926" i="1"/>
  <c r="K926" i="1"/>
  <c r="H926" i="1"/>
  <c r="L925" i="1"/>
  <c r="K925" i="1"/>
  <c r="H925" i="1"/>
  <c r="L924" i="1"/>
  <c r="K924" i="1"/>
  <c r="H924" i="1"/>
  <c r="L923" i="1"/>
  <c r="K923" i="1"/>
  <c r="H923" i="1"/>
  <c r="L917" i="1"/>
  <c r="K917" i="1"/>
  <c r="H917" i="1"/>
  <c r="L916" i="1"/>
  <c r="K916" i="1"/>
  <c r="H916" i="1"/>
  <c r="L915" i="1"/>
  <c r="K915" i="1"/>
  <c r="H915" i="1"/>
  <c r="L914" i="1"/>
  <c r="K914" i="1"/>
  <c r="H914" i="1"/>
  <c r="L913" i="1"/>
  <c r="K913" i="1"/>
  <c r="H913" i="1"/>
  <c r="L912" i="1"/>
  <c r="K912" i="1"/>
  <c r="H912" i="1"/>
  <c r="L906" i="1"/>
  <c r="K906" i="1"/>
  <c r="H906" i="1"/>
  <c r="L905" i="1"/>
  <c r="K905" i="1"/>
  <c r="H905" i="1"/>
  <c r="L904" i="1"/>
  <c r="K904" i="1"/>
  <c r="H904" i="1"/>
  <c r="L903" i="1"/>
  <c r="K903" i="1"/>
  <c r="H903" i="1"/>
  <c r="L902" i="1"/>
  <c r="K902" i="1"/>
  <c r="H902" i="1"/>
  <c r="L901" i="1"/>
  <c r="K901" i="1"/>
  <c r="H901" i="1"/>
  <c r="L900" i="1"/>
  <c r="K900" i="1"/>
  <c r="H900" i="1"/>
  <c r="L899" i="1"/>
  <c r="K899" i="1"/>
  <c r="H899" i="1"/>
  <c r="L898" i="1"/>
  <c r="K898" i="1"/>
  <c r="H898" i="1"/>
  <c r="L897" i="1"/>
  <c r="K897" i="1"/>
  <c r="H897" i="1"/>
  <c r="L896" i="1"/>
  <c r="K896" i="1"/>
  <c r="H896" i="1"/>
  <c r="L895" i="1"/>
  <c r="K895" i="1"/>
  <c r="H895" i="1"/>
  <c r="L894" i="1"/>
  <c r="K894" i="1"/>
  <c r="H894" i="1"/>
  <c r="L893" i="1"/>
  <c r="K893" i="1"/>
  <c r="H893" i="1"/>
  <c r="L887" i="1"/>
  <c r="K887" i="1"/>
  <c r="H887" i="1"/>
  <c r="L881" i="1"/>
  <c r="K881" i="1"/>
  <c r="H881" i="1"/>
  <c r="L880" i="1"/>
  <c r="K880" i="1"/>
  <c r="H880" i="1"/>
  <c r="L879" i="1"/>
  <c r="K879" i="1"/>
  <c r="H879" i="1"/>
  <c r="L878" i="1"/>
  <c r="K878" i="1"/>
  <c r="H878" i="1"/>
  <c r="L877" i="1"/>
  <c r="K877" i="1"/>
  <c r="H877" i="1"/>
  <c r="L876" i="1"/>
  <c r="K876" i="1"/>
  <c r="H876" i="1"/>
  <c r="L875" i="1"/>
  <c r="K875" i="1"/>
  <c r="H875" i="1"/>
  <c r="L874" i="1"/>
  <c r="K874" i="1"/>
  <c r="H874" i="1"/>
  <c r="L873" i="1"/>
  <c r="K873" i="1"/>
  <c r="H873" i="1"/>
  <c r="L872" i="1"/>
  <c r="K872" i="1"/>
  <c r="H872" i="1"/>
  <c r="L871" i="1"/>
  <c r="K871" i="1"/>
  <c r="H871" i="1"/>
  <c r="L870" i="1"/>
  <c r="K870" i="1"/>
  <c r="H870" i="1"/>
  <c r="L869" i="1"/>
  <c r="K869" i="1"/>
  <c r="H869" i="1"/>
  <c r="L868" i="1"/>
  <c r="K868" i="1"/>
  <c r="H868" i="1"/>
  <c r="L867" i="1"/>
  <c r="K867" i="1"/>
  <c r="H867" i="1"/>
  <c r="L861" i="1"/>
  <c r="K861" i="1"/>
  <c r="H861" i="1"/>
  <c r="L860" i="1"/>
  <c r="K860" i="1"/>
  <c r="H860" i="1"/>
  <c r="L859" i="1"/>
  <c r="K859" i="1"/>
  <c r="H859" i="1"/>
  <c r="L858" i="1"/>
  <c r="K858" i="1"/>
  <c r="H858" i="1"/>
  <c r="L857" i="1"/>
  <c r="K857" i="1"/>
  <c r="H857" i="1"/>
  <c r="L856" i="1"/>
  <c r="K856" i="1"/>
  <c r="H856" i="1"/>
  <c r="L855" i="1"/>
  <c r="K855" i="1"/>
  <c r="H855" i="1"/>
  <c r="L854" i="1"/>
  <c r="K854" i="1"/>
  <c r="H854" i="1"/>
  <c r="L853" i="1"/>
  <c r="K853" i="1"/>
  <c r="H853" i="1"/>
  <c r="L852" i="1"/>
  <c r="K852" i="1"/>
  <c r="H852" i="1"/>
  <c r="L851" i="1"/>
  <c r="K851" i="1"/>
  <c r="H851" i="1"/>
  <c r="L850" i="1"/>
  <c r="K850" i="1"/>
  <c r="H850" i="1"/>
  <c r="L849" i="1"/>
  <c r="K849" i="1"/>
  <c r="H849" i="1"/>
  <c r="L848" i="1"/>
  <c r="K848" i="1"/>
  <c r="H848" i="1"/>
  <c r="L842" i="1"/>
  <c r="K842" i="1"/>
  <c r="H842" i="1"/>
  <c r="L841" i="1"/>
  <c r="K841" i="1"/>
  <c r="H841" i="1"/>
  <c r="L840" i="1"/>
  <c r="K840" i="1"/>
  <c r="H840" i="1"/>
  <c r="L839" i="1"/>
  <c r="K839" i="1"/>
  <c r="H839" i="1"/>
  <c r="L838" i="1"/>
  <c r="K838" i="1"/>
  <c r="H838" i="1"/>
  <c r="L837" i="1"/>
  <c r="K837" i="1"/>
  <c r="H837" i="1"/>
  <c r="L836" i="1"/>
  <c r="K836" i="1"/>
  <c r="H836" i="1"/>
  <c r="L835" i="1"/>
  <c r="K835" i="1"/>
  <c r="H835" i="1"/>
  <c r="L834" i="1"/>
  <c r="K834" i="1"/>
  <c r="H834" i="1"/>
  <c r="L833" i="1"/>
  <c r="K833" i="1"/>
  <c r="H833" i="1"/>
  <c r="L832" i="1"/>
  <c r="K832" i="1"/>
  <c r="H832" i="1"/>
  <c r="L831" i="1"/>
  <c r="K831" i="1"/>
  <c r="H831" i="1"/>
  <c r="L830" i="1"/>
  <c r="K830" i="1"/>
  <c r="H830" i="1"/>
  <c r="L829" i="1"/>
  <c r="K829" i="1"/>
  <c r="H829" i="1"/>
  <c r="L828" i="1"/>
  <c r="K828" i="1"/>
  <c r="H828" i="1"/>
  <c r="L827" i="1"/>
  <c r="K827" i="1"/>
  <c r="H827" i="1"/>
  <c r="L826" i="1"/>
  <c r="K826" i="1"/>
  <c r="H826" i="1"/>
  <c r="L825" i="1"/>
  <c r="K825" i="1"/>
  <c r="H825" i="1"/>
  <c r="L819" i="1"/>
  <c r="K819" i="1"/>
  <c r="H819" i="1"/>
  <c r="L818" i="1"/>
  <c r="K818" i="1"/>
  <c r="H818" i="1"/>
  <c r="L817" i="1"/>
  <c r="K817" i="1"/>
  <c r="H817" i="1"/>
  <c r="L816" i="1"/>
  <c r="K816" i="1"/>
  <c r="H816" i="1"/>
  <c r="L815" i="1"/>
  <c r="K815" i="1"/>
  <c r="H815" i="1"/>
  <c r="L814" i="1"/>
  <c r="K814" i="1"/>
  <c r="H814" i="1"/>
  <c r="L813" i="1"/>
  <c r="K813" i="1"/>
  <c r="H813" i="1"/>
  <c r="L812" i="1"/>
  <c r="K812" i="1"/>
  <c r="H812" i="1"/>
  <c r="L811" i="1"/>
  <c r="K811" i="1"/>
  <c r="H811" i="1"/>
  <c r="L810" i="1"/>
  <c r="K810" i="1"/>
  <c r="H810" i="1"/>
  <c r="L809" i="1"/>
  <c r="K809" i="1"/>
  <c r="H809" i="1"/>
  <c r="L808" i="1"/>
  <c r="K808" i="1"/>
  <c r="H808" i="1"/>
  <c r="L807" i="1"/>
  <c r="K807" i="1"/>
  <c r="H807" i="1"/>
  <c r="L801" i="1"/>
  <c r="K801" i="1"/>
  <c r="H801" i="1"/>
  <c r="L800" i="1"/>
  <c r="K800" i="1"/>
  <c r="H800" i="1"/>
  <c r="L799" i="1"/>
  <c r="K799" i="1"/>
  <c r="H799" i="1"/>
  <c r="L798" i="1"/>
  <c r="K798" i="1"/>
  <c r="H798" i="1"/>
  <c r="L797" i="1"/>
  <c r="K797" i="1"/>
  <c r="H797" i="1"/>
  <c r="L791" i="1"/>
  <c r="K791" i="1"/>
  <c r="H791" i="1"/>
  <c r="L790" i="1"/>
  <c r="K790" i="1"/>
  <c r="H790" i="1"/>
  <c r="L789" i="1"/>
  <c r="K789" i="1"/>
  <c r="H789" i="1"/>
  <c r="L788" i="1"/>
  <c r="K788" i="1"/>
  <c r="H788" i="1"/>
  <c r="L787" i="1"/>
  <c r="K787" i="1"/>
  <c r="H787" i="1"/>
  <c r="L786" i="1"/>
  <c r="K786" i="1"/>
  <c r="H786" i="1"/>
  <c r="L780" i="1"/>
  <c r="K780" i="1"/>
  <c r="H780" i="1"/>
  <c r="L779" i="1"/>
  <c r="K779" i="1"/>
  <c r="H779" i="1"/>
  <c r="L778" i="1"/>
  <c r="K778" i="1"/>
  <c r="H778" i="1"/>
  <c r="L777" i="1"/>
  <c r="K777" i="1"/>
  <c r="H777" i="1"/>
  <c r="L771" i="1"/>
  <c r="K771" i="1"/>
  <c r="H771" i="1"/>
  <c r="L770" i="1"/>
  <c r="K770" i="1"/>
  <c r="H770" i="1"/>
  <c r="L769" i="1"/>
  <c r="K769" i="1"/>
  <c r="H769" i="1"/>
  <c r="L763" i="1"/>
  <c r="K763" i="1"/>
  <c r="H763" i="1"/>
  <c r="L762" i="1"/>
  <c r="K762" i="1"/>
  <c r="H762" i="1"/>
  <c r="L761" i="1"/>
  <c r="K761" i="1"/>
  <c r="H761" i="1"/>
  <c r="L760" i="1"/>
  <c r="K760" i="1"/>
  <c r="H760" i="1"/>
  <c r="L759" i="1"/>
  <c r="K759" i="1"/>
  <c r="H759" i="1"/>
  <c r="L758" i="1"/>
  <c r="K758" i="1"/>
  <c r="H758" i="1"/>
  <c r="L757" i="1"/>
  <c r="K757" i="1"/>
  <c r="H757" i="1"/>
  <c r="L756" i="1"/>
  <c r="K756" i="1"/>
  <c r="H756" i="1"/>
  <c r="L755" i="1"/>
  <c r="K755" i="1"/>
  <c r="H755" i="1"/>
  <c r="L749" i="1"/>
  <c r="K749" i="1"/>
  <c r="H749" i="1"/>
  <c r="L743" i="1"/>
  <c r="K743" i="1"/>
  <c r="H743" i="1"/>
  <c r="L742" i="1"/>
  <c r="K742" i="1"/>
  <c r="H742" i="1"/>
  <c r="L741" i="1"/>
  <c r="K741" i="1"/>
  <c r="H741" i="1"/>
  <c r="L740" i="1"/>
  <c r="K740" i="1"/>
  <c r="H740" i="1"/>
  <c r="L739" i="1"/>
  <c r="K739" i="1"/>
  <c r="H739" i="1"/>
  <c r="L738" i="1"/>
  <c r="K738" i="1"/>
  <c r="H738" i="1"/>
  <c r="L732" i="1"/>
  <c r="K732" i="1"/>
  <c r="H732" i="1"/>
  <c r="L731" i="1"/>
  <c r="K731" i="1"/>
  <c r="H731" i="1"/>
  <c r="L730" i="1"/>
  <c r="K730" i="1"/>
  <c r="H730" i="1"/>
  <c r="L729" i="1"/>
  <c r="K729" i="1"/>
  <c r="H729" i="1"/>
  <c r="L728" i="1"/>
  <c r="K728" i="1"/>
  <c r="H728" i="1"/>
  <c r="L727" i="1"/>
  <c r="K727" i="1"/>
  <c r="H727" i="1"/>
  <c r="L726" i="1"/>
  <c r="K726" i="1"/>
  <c r="H726" i="1"/>
  <c r="L725" i="1"/>
  <c r="K725" i="1"/>
  <c r="H725" i="1"/>
  <c r="L724" i="1"/>
  <c r="K724" i="1"/>
  <c r="H724" i="1"/>
  <c r="L723" i="1"/>
  <c r="K723" i="1"/>
  <c r="H723" i="1"/>
  <c r="L717" i="1"/>
  <c r="K717" i="1"/>
  <c r="H717" i="1"/>
  <c r="L716" i="1"/>
  <c r="K716" i="1"/>
  <c r="H716" i="1"/>
  <c r="L715" i="1"/>
  <c r="K715" i="1"/>
  <c r="H715" i="1"/>
  <c r="L714" i="1"/>
  <c r="K714" i="1"/>
  <c r="H714" i="1"/>
  <c r="L713" i="1"/>
  <c r="K713" i="1"/>
  <c r="H713" i="1"/>
  <c r="L712" i="1"/>
  <c r="K712" i="1"/>
  <c r="H712" i="1"/>
  <c r="L711" i="1"/>
  <c r="K711" i="1"/>
  <c r="H711" i="1"/>
  <c r="L710" i="1"/>
  <c r="K710" i="1"/>
  <c r="H710" i="1"/>
  <c r="L704" i="1"/>
  <c r="K704" i="1"/>
  <c r="H704" i="1"/>
  <c r="L703" i="1"/>
  <c r="K703" i="1"/>
  <c r="H703" i="1"/>
  <c r="L702" i="1"/>
  <c r="K702" i="1"/>
  <c r="H702" i="1"/>
  <c r="L696" i="1"/>
  <c r="K696" i="1"/>
  <c r="H696" i="1"/>
  <c r="L695" i="1"/>
  <c r="K695" i="1"/>
  <c r="H695" i="1"/>
  <c r="L694" i="1"/>
  <c r="K694" i="1"/>
  <c r="H694" i="1"/>
  <c r="L693" i="1"/>
  <c r="K693" i="1"/>
  <c r="H693" i="1"/>
  <c r="L692" i="1"/>
  <c r="K692" i="1"/>
  <c r="H692" i="1"/>
  <c r="L691" i="1"/>
  <c r="K691" i="1"/>
  <c r="H691" i="1"/>
  <c r="L690" i="1"/>
  <c r="K690" i="1"/>
  <c r="H690" i="1"/>
  <c r="L689" i="1"/>
  <c r="K689" i="1"/>
  <c r="H689" i="1"/>
  <c r="L688" i="1"/>
  <c r="K688" i="1"/>
  <c r="H688" i="1"/>
  <c r="L687" i="1"/>
  <c r="K687" i="1"/>
  <c r="H687" i="1"/>
  <c r="L686" i="1"/>
  <c r="K686" i="1"/>
  <c r="H686" i="1"/>
  <c r="L685" i="1"/>
  <c r="K685" i="1"/>
  <c r="H685" i="1"/>
  <c r="L684" i="1"/>
  <c r="K684" i="1"/>
  <c r="H684" i="1"/>
  <c r="L683" i="1"/>
  <c r="K683" i="1"/>
  <c r="H683" i="1"/>
  <c r="L682" i="1"/>
  <c r="K682" i="1"/>
  <c r="H682" i="1"/>
  <c r="L676" i="1"/>
  <c r="K676" i="1"/>
  <c r="H676" i="1"/>
  <c r="L675" i="1"/>
  <c r="K675" i="1"/>
  <c r="H675" i="1"/>
  <c r="L674" i="1"/>
  <c r="K674" i="1"/>
  <c r="H674" i="1"/>
  <c r="L673" i="1"/>
  <c r="K673" i="1"/>
  <c r="H673" i="1"/>
  <c r="L672" i="1"/>
  <c r="K672" i="1"/>
  <c r="H672" i="1"/>
  <c r="L671" i="1"/>
  <c r="K671" i="1"/>
  <c r="H671" i="1"/>
  <c r="L670" i="1"/>
  <c r="K670" i="1"/>
  <c r="H670" i="1"/>
  <c r="L669" i="1"/>
  <c r="K669" i="1"/>
  <c r="H669" i="1"/>
  <c r="L668" i="1"/>
  <c r="K668" i="1"/>
  <c r="H668" i="1"/>
  <c r="L667" i="1"/>
  <c r="K667" i="1"/>
  <c r="H667" i="1"/>
  <c r="L666" i="1"/>
  <c r="K666" i="1"/>
  <c r="H666" i="1"/>
  <c r="L660" i="1"/>
  <c r="K660" i="1"/>
  <c r="H660" i="1"/>
  <c r="L659" i="1"/>
  <c r="K659" i="1"/>
  <c r="H659" i="1"/>
  <c r="L658" i="1"/>
  <c r="K658" i="1"/>
  <c r="H658" i="1"/>
  <c r="L657" i="1"/>
  <c r="K657" i="1"/>
  <c r="H657" i="1"/>
  <c r="L656" i="1"/>
  <c r="K656" i="1"/>
  <c r="H656" i="1"/>
  <c r="L655" i="1"/>
  <c r="K655" i="1"/>
  <c r="H655" i="1"/>
  <c r="L654" i="1"/>
  <c r="K654" i="1"/>
  <c r="H654" i="1"/>
  <c r="L653" i="1"/>
  <c r="K653" i="1"/>
  <c r="H653" i="1"/>
  <c r="L652" i="1"/>
  <c r="K652" i="1"/>
  <c r="H652" i="1"/>
  <c r="L651" i="1"/>
  <c r="K651" i="1"/>
  <c r="H651" i="1"/>
  <c r="L650" i="1"/>
  <c r="K650" i="1"/>
  <c r="H650" i="1"/>
  <c r="L649" i="1"/>
  <c r="K649" i="1"/>
  <c r="H649" i="1"/>
  <c r="L648" i="1"/>
  <c r="K648" i="1"/>
  <c r="H648" i="1"/>
  <c r="L647" i="1"/>
  <c r="K647" i="1"/>
  <c r="H647" i="1"/>
  <c r="L646" i="1"/>
  <c r="K646" i="1"/>
  <c r="H646" i="1"/>
  <c r="L640" i="1"/>
  <c r="K640" i="1"/>
  <c r="H640" i="1"/>
  <c r="L639" i="1"/>
  <c r="K639" i="1"/>
  <c r="H639" i="1"/>
  <c r="L638" i="1"/>
  <c r="K638" i="1"/>
  <c r="H638" i="1"/>
  <c r="L637" i="1"/>
  <c r="K637" i="1"/>
  <c r="H637" i="1"/>
  <c r="L636" i="1"/>
  <c r="K636" i="1"/>
  <c r="H636" i="1"/>
  <c r="L635" i="1"/>
  <c r="K635" i="1"/>
  <c r="H635" i="1"/>
  <c r="L634" i="1"/>
  <c r="K634" i="1"/>
  <c r="H634" i="1"/>
  <c r="L633" i="1"/>
  <c r="K633" i="1"/>
  <c r="H633" i="1"/>
  <c r="L632" i="1"/>
  <c r="K632" i="1"/>
  <c r="H632" i="1"/>
  <c r="L631" i="1"/>
  <c r="K631" i="1"/>
  <c r="H631" i="1"/>
  <c r="L630" i="1"/>
  <c r="K630" i="1"/>
  <c r="H630" i="1"/>
  <c r="L629" i="1"/>
  <c r="K629" i="1"/>
  <c r="H629" i="1"/>
  <c r="L628" i="1"/>
  <c r="K628" i="1"/>
  <c r="H628" i="1"/>
  <c r="L622" i="1"/>
  <c r="K622" i="1"/>
  <c r="H622" i="1"/>
  <c r="L621" i="1"/>
  <c r="K621" i="1"/>
  <c r="H621" i="1"/>
  <c r="L620" i="1"/>
  <c r="K620" i="1"/>
  <c r="H620" i="1"/>
  <c r="L619" i="1"/>
  <c r="K619" i="1"/>
  <c r="H619" i="1"/>
  <c r="L618" i="1"/>
  <c r="K618" i="1"/>
  <c r="H618" i="1"/>
  <c r="L612" i="1"/>
  <c r="K612" i="1"/>
  <c r="H612" i="1"/>
  <c r="L611" i="1"/>
  <c r="K611" i="1"/>
  <c r="H611" i="1"/>
  <c r="L610" i="1"/>
  <c r="K610" i="1"/>
  <c r="H610" i="1"/>
  <c r="L609" i="1"/>
  <c r="K609" i="1"/>
  <c r="H609" i="1"/>
  <c r="L608" i="1"/>
  <c r="K608" i="1"/>
  <c r="H608" i="1"/>
  <c r="L607" i="1"/>
  <c r="K607" i="1"/>
  <c r="H607" i="1"/>
  <c r="L606" i="1"/>
  <c r="K606" i="1"/>
  <c r="H606" i="1"/>
  <c r="L605" i="1"/>
  <c r="K605" i="1"/>
  <c r="H605" i="1"/>
  <c r="L604" i="1"/>
  <c r="K604" i="1"/>
  <c r="H604" i="1"/>
  <c r="L603" i="1"/>
  <c r="K603" i="1"/>
  <c r="H603" i="1"/>
  <c r="L597" i="1"/>
  <c r="K597" i="1"/>
  <c r="H597" i="1"/>
  <c r="L596" i="1"/>
  <c r="K596" i="1"/>
  <c r="H596" i="1"/>
  <c r="L590" i="1"/>
  <c r="K590" i="1"/>
  <c r="H590" i="1"/>
  <c r="L589" i="1"/>
  <c r="K589" i="1"/>
  <c r="H589" i="1"/>
  <c r="L588" i="1"/>
  <c r="K588" i="1"/>
  <c r="H588" i="1"/>
  <c r="L587" i="1"/>
  <c r="K587" i="1"/>
  <c r="H587" i="1"/>
  <c r="L586" i="1"/>
  <c r="K586" i="1"/>
  <c r="H586" i="1"/>
  <c r="L585" i="1"/>
  <c r="K585" i="1"/>
  <c r="H585" i="1"/>
  <c r="L584" i="1"/>
  <c r="K584" i="1"/>
  <c r="H584" i="1"/>
  <c r="L583" i="1"/>
  <c r="K583" i="1"/>
  <c r="H583" i="1"/>
  <c r="L582" i="1"/>
  <c r="K582" i="1"/>
  <c r="H582" i="1"/>
  <c r="L581" i="1"/>
  <c r="K581" i="1"/>
  <c r="H581" i="1"/>
  <c r="L580" i="1"/>
  <c r="K580" i="1"/>
  <c r="H580" i="1"/>
  <c r="L579" i="1"/>
  <c r="K579" i="1"/>
  <c r="H579" i="1"/>
  <c r="L578" i="1"/>
  <c r="K578" i="1"/>
  <c r="H578" i="1"/>
  <c r="L577" i="1"/>
  <c r="K577" i="1"/>
  <c r="H577" i="1"/>
  <c r="L576" i="1"/>
  <c r="K576" i="1"/>
  <c r="H576" i="1"/>
  <c r="L575" i="1"/>
  <c r="K575" i="1"/>
  <c r="H575" i="1"/>
  <c r="L574" i="1"/>
  <c r="K574" i="1"/>
  <c r="H574" i="1"/>
  <c r="L573" i="1"/>
  <c r="K573" i="1"/>
  <c r="H573" i="1"/>
  <c r="L567" i="1"/>
  <c r="K567" i="1"/>
  <c r="H567" i="1"/>
  <c r="L566" i="1"/>
  <c r="K566" i="1"/>
  <c r="H566" i="1"/>
  <c r="L565" i="1"/>
  <c r="K565" i="1"/>
  <c r="H565" i="1"/>
  <c r="L564" i="1"/>
  <c r="K564" i="1"/>
  <c r="H564" i="1"/>
  <c r="L563" i="1"/>
  <c r="K563" i="1"/>
  <c r="H563" i="1"/>
  <c r="L562" i="1"/>
  <c r="K562" i="1"/>
  <c r="H562" i="1"/>
  <c r="L561" i="1"/>
  <c r="K561" i="1"/>
  <c r="H561" i="1"/>
  <c r="L560" i="1"/>
  <c r="K560" i="1"/>
  <c r="H560" i="1"/>
  <c r="L559" i="1"/>
  <c r="K559" i="1"/>
  <c r="H559" i="1"/>
  <c r="L558" i="1"/>
  <c r="K558" i="1"/>
  <c r="H558" i="1"/>
  <c r="L557" i="1"/>
  <c r="K557" i="1"/>
  <c r="H557" i="1"/>
  <c r="L556" i="1"/>
  <c r="K556" i="1"/>
  <c r="H556" i="1"/>
  <c r="L555" i="1"/>
  <c r="K555" i="1"/>
  <c r="H555" i="1"/>
  <c r="L554" i="1"/>
  <c r="K554" i="1"/>
  <c r="H554" i="1"/>
  <c r="L548" i="1"/>
  <c r="K548" i="1"/>
  <c r="H548" i="1"/>
  <c r="L547" i="1"/>
  <c r="K547" i="1"/>
  <c r="H547" i="1"/>
  <c r="L546" i="1"/>
  <c r="K546" i="1"/>
  <c r="H546" i="1"/>
  <c r="L540" i="1"/>
  <c r="K540" i="1"/>
  <c r="H540" i="1"/>
  <c r="L539" i="1"/>
  <c r="K539" i="1"/>
  <c r="H539" i="1"/>
  <c r="L538" i="1"/>
  <c r="K538" i="1"/>
  <c r="H538" i="1"/>
  <c r="L537" i="1"/>
  <c r="K537" i="1"/>
  <c r="H537" i="1"/>
  <c r="L536" i="1"/>
  <c r="K536" i="1"/>
  <c r="H536" i="1"/>
  <c r="L535" i="1"/>
  <c r="K535" i="1"/>
  <c r="H535" i="1"/>
  <c r="L534" i="1"/>
  <c r="K534" i="1"/>
  <c r="H534" i="1"/>
  <c r="L533" i="1"/>
  <c r="K533" i="1"/>
  <c r="H533" i="1"/>
  <c r="L532" i="1"/>
  <c r="K532" i="1"/>
  <c r="H532" i="1"/>
  <c r="L531" i="1"/>
  <c r="K531" i="1"/>
  <c r="H531" i="1"/>
  <c r="L530" i="1"/>
  <c r="K530" i="1"/>
  <c r="H530" i="1"/>
  <c r="L529" i="1"/>
  <c r="K529" i="1"/>
  <c r="H529" i="1"/>
  <c r="L528" i="1"/>
  <c r="K528" i="1"/>
  <c r="H528" i="1"/>
  <c r="L527" i="1"/>
  <c r="K527" i="1"/>
  <c r="H527" i="1"/>
  <c r="L526" i="1"/>
  <c r="K526" i="1"/>
  <c r="H526" i="1"/>
  <c r="L525" i="1"/>
  <c r="K525" i="1"/>
  <c r="H525" i="1"/>
  <c r="L524" i="1"/>
  <c r="K524" i="1"/>
  <c r="H524" i="1"/>
  <c r="L523" i="1"/>
  <c r="K523" i="1"/>
  <c r="H523" i="1"/>
  <c r="L522" i="1"/>
  <c r="K522" i="1"/>
  <c r="H522" i="1"/>
  <c r="L521" i="1"/>
  <c r="K521" i="1"/>
  <c r="H521" i="1"/>
  <c r="L520" i="1"/>
  <c r="K520" i="1"/>
  <c r="H520" i="1"/>
  <c r="L519" i="1"/>
  <c r="K519" i="1"/>
  <c r="H519" i="1"/>
  <c r="L518" i="1"/>
  <c r="K518" i="1"/>
  <c r="H518" i="1"/>
  <c r="L517" i="1"/>
  <c r="K517" i="1"/>
  <c r="H517" i="1"/>
  <c r="L516" i="1"/>
  <c r="K516" i="1"/>
  <c r="H516" i="1"/>
  <c r="L515" i="1"/>
  <c r="K515" i="1"/>
  <c r="H515" i="1"/>
  <c r="L514" i="1"/>
  <c r="K514" i="1"/>
  <c r="H514" i="1"/>
  <c r="L513" i="1"/>
  <c r="K513" i="1"/>
  <c r="H513" i="1"/>
  <c r="L512" i="1"/>
  <c r="K512" i="1"/>
  <c r="H512" i="1"/>
  <c r="L511" i="1"/>
  <c r="K511" i="1"/>
  <c r="H511" i="1"/>
  <c r="L510" i="1"/>
  <c r="K510" i="1"/>
  <c r="H510" i="1"/>
  <c r="L509" i="1"/>
  <c r="K509" i="1"/>
  <c r="H509" i="1"/>
  <c r="L508" i="1"/>
  <c r="K508" i="1"/>
  <c r="H508" i="1"/>
  <c r="L507" i="1"/>
  <c r="K507" i="1"/>
  <c r="H507" i="1"/>
  <c r="L506" i="1"/>
  <c r="K506" i="1"/>
  <c r="H506" i="1"/>
  <c r="L505" i="1"/>
  <c r="K505" i="1"/>
  <c r="H505" i="1"/>
  <c r="L504" i="1"/>
  <c r="K504" i="1"/>
  <c r="H504" i="1"/>
  <c r="L503" i="1"/>
  <c r="K503" i="1"/>
  <c r="H503" i="1"/>
  <c r="L502" i="1"/>
  <c r="K502" i="1"/>
  <c r="H502" i="1"/>
  <c r="L501" i="1"/>
  <c r="K501" i="1"/>
  <c r="H501" i="1"/>
  <c r="L500" i="1"/>
  <c r="K500" i="1"/>
  <c r="H500" i="1"/>
  <c r="L499" i="1"/>
  <c r="K499" i="1"/>
  <c r="H499" i="1"/>
  <c r="L498" i="1"/>
  <c r="K498" i="1"/>
  <c r="H498" i="1"/>
  <c r="L497" i="1"/>
  <c r="K497" i="1"/>
  <c r="H497" i="1"/>
  <c r="L496" i="1"/>
  <c r="K496" i="1"/>
  <c r="H496" i="1"/>
  <c r="L495" i="1"/>
  <c r="K495" i="1"/>
  <c r="H495" i="1"/>
  <c r="L494" i="1"/>
  <c r="K494" i="1"/>
  <c r="H494" i="1"/>
  <c r="L493" i="1"/>
  <c r="K493" i="1"/>
  <c r="H493" i="1"/>
  <c r="L492" i="1"/>
  <c r="K492" i="1"/>
  <c r="H492" i="1"/>
  <c r="L491" i="1"/>
  <c r="K491" i="1"/>
  <c r="H491" i="1"/>
  <c r="L490" i="1"/>
  <c r="K490" i="1"/>
  <c r="H490" i="1"/>
  <c r="L489" i="1"/>
  <c r="K489" i="1"/>
  <c r="H489" i="1"/>
  <c r="L488" i="1"/>
  <c r="K488" i="1"/>
  <c r="H488" i="1"/>
  <c r="L487" i="1"/>
  <c r="K487" i="1"/>
  <c r="H487" i="1"/>
  <c r="L486" i="1"/>
  <c r="K486" i="1"/>
  <c r="H486" i="1"/>
  <c r="L485" i="1"/>
  <c r="K485" i="1"/>
  <c r="H485" i="1"/>
  <c r="L484" i="1"/>
  <c r="K484" i="1"/>
  <c r="H484" i="1"/>
  <c r="L483" i="1"/>
  <c r="K483" i="1"/>
  <c r="H483" i="1"/>
  <c r="L482" i="1"/>
  <c r="K482" i="1"/>
  <c r="H482" i="1"/>
  <c r="L481" i="1"/>
  <c r="K481" i="1"/>
  <c r="H481" i="1"/>
  <c r="L480" i="1"/>
  <c r="K480" i="1"/>
  <c r="H480" i="1"/>
  <c r="L479" i="1"/>
  <c r="K479" i="1"/>
  <c r="H479" i="1"/>
  <c r="L478" i="1"/>
  <c r="K478" i="1"/>
  <c r="H478" i="1"/>
  <c r="L477" i="1"/>
  <c r="K477" i="1"/>
  <c r="H477" i="1"/>
  <c r="L476" i="1"/>
  <c r="K476" i="1"/>
  <c r="H476" i="1"/>
  <c r="L475" i="1"/>
  <c r="K475" i="1"/>
  <c r="H475" i="1"/>
  <c r="L474" i="1"/>
  <c r="K474" i="1"/>
  <c r="H474" i="1"/>
  <c r="L473" i="1"/>
  <c r="K473" i="1"/>
  <c r="H473" i="1"/>
  <c r="L472" i="1"/>
  <c r="K472" i="1"/>
  <c r="H472" i="1"/>
  <c r="L471" i="1"/>
  <c r="K471" i="1"/>
  <c r="H471" i="1"/>
  <c r="L470" i="1"/>
  <c r="K470" i="1"/>
  <c r="H470" i="1"/>
  <c r="L469" i="1"/>
  <c r="K469" i="1"/>
  <c r="H469" i="1"/>
  <c r="L468" i="1"/>
  <c r="K468" i="1"/>
  <c r="H468" i="1"/>
  <c r="L467" i="1"/>
  <c r="K467" i="1"/>
  <c r="H467" i="1"/>
  <c r="L466" i="1"/>
  <c r="K466" i="1"/>
  <c r="H466" i="1"/>
  <c r="L465" i="1"/>
  <c r="K465" i="1"/>
  <c r="H465" i="1"/>
  <c r="L464" i="1"/>
  <c r="K464" i="1"/>
  <c r="H464" i="1"/>
  <c r="L463" i="1"/>
  <c r="K463" i="1"/>
  <c r="H463" i="1"/>
  <c r="L462" i="1"/>
  <c r="K462" i="1"/>
  <c r="H462" i="1"/>
  <c r="L461" i="1"/>
  <c r="K461" i="1"/>
  <c r="H461" i="1"/>
  <c r="L460" i="1"/>
  <c r="K460" i="1"/>
  <c r="H460" i="1"/>
  <c r="L459" i="1"/>
  <c r="K459" i="1"/>
  <c r="H459" i="1"/>
  <c r="L458" i="1"/>
  <c r="K458" i="1"/>
  <c r="H458" i="1"/>
  <c r="L457" i="1"/>
  <c r="K457" i="1"/>
  <c r="H457" i="1"/>
  <c r="L456" i="1"/>
  <c r="K456" i="1"/>
  <c r="H456" i="1"/>
  <c r="L455" i="1"/>
  <c r="K455" i="1"/>
  <c r="H455" i="1"/>
  <c r="L454" i="1"/>
  <c r="K454" i="1"/>
  <c r="H454" i="1"/>
  <c r="L453" i="1"/>
  <c r="K453" i="1"/>
  <c r="H453" i="1"/>
  <c r="L452" i="1"/>
  <c r="K452" i="1"/>
  <c r="H452" i="1"/>
  <c r="L451" i="1"/>
  <c r="K451" i="1"/>
  <c r="H451" i="1"/>
  <c r="L450" i="1"/>
  <c r="K450" i="1"/>
  <c r="H450" i="1"/>
  <c r="L449" i="1"/>
  <c r="K449" i="1"/>
  <c r="H449" i="1"/>
  <c r="L448" i="1"/>
  <c r="K448" i="1"/>
  <c r="H448" i="1"/>
  <c r="L447" i="1"/>
  <c r="K447" i="1"/>
  <c r="H447" i="1"/>
  <c r="L446" i="1"/>
  <c r="K446" i="1"/>
  <c r="H446" i="1"/>
  <c r="L445" i="1"/>
  <c r="K445" i="1"/>
  <c r="H445" i="1"/>
  <c r="L444" i="1"/>
  <c r="K444" i="1"/>
  <c r="H444" i="1"/>
  <c r="L443" i="1"/>
  <c r="K443" i="1"/>
  <c r="H443" i="1"/>
  <c r="L442" i="1"/>
  <c r="K442" i="1"/>
  <c r="H442" i="1"/>
  <c r="L441" i="1"/>
  <c r="K441" i="1"/>
  <c r="H441" i="1"/>
  <c r="L440" i="1"/>
  <c r="K440" i="1"/>
  <c r="H440" i="1"/>
  <c r="L439" i="1"/>
  <c r="K439" i="1"/>
  <c r="H439" i="1"/>
  <c r="L438" i="1"/>
  <c r="K438" i="1"/>
  <c r="H438" i="1"/>
  <c r="L437" i="1"/>
  <c r="K437" i="1"/>
  <c r="H437" i="1"/>
  <c r="L436" i="1"/>
  <c r="K436" i="1"/>
  <c r="H436" i="1"/>
  <c r="L435" i="1"/>
  <c r="K435" i="1"/>
  <c r="H435" i="1"/>
  <c r="L434" i="1"/>
  <c r="K434" i="1"/>
  <c r="H434" i="1"/>
  <c r="L433" i="1"/>
  <c r="K433" i="1"/>
  <c r="H433" i="1"/>
  <c r="L432" i="1"/>
  <c r="K432" i="1"/>
  <c r="H432" i="1"/>
  <c r="L431" i="1"/>
  <c r="K431" i="1"/>
  <c r="H431" i="1"/>
  <c r="L430" i="1"/>
  <c r="K430" i="1"/>
  <c r="H430" i="1"/>
  <c r="L429" i="1"/>
  <c r="K429" i="1"/>
  <c r="H429" i="1"/>
  <c r="L428" i="1"/>
  <c r="K428" i="1"/>
  <c r="H428" i="1"/>
  <c r="L427" i="1"/>
  <c r="K427" i="1"/>
  <c r="H427" i="1"/>
  <c r="L426" i="1"/>
  <c r="K426" i="1"/>
  <c r="H426" i="1"/>
  <c r="L425" i="1"/>
  <c r="K425" i="1"/>
  <c r="H425" i="1"/>
  <c r="L424" i="1"/>
  <c r="K424" i="1"/>
  <c r="H424" i="1"/>
  <c r="L423" i="1"/>
  <c r="K423" i="1"/>
  <c r="H423" i="1"/>
  <c r="L422" i="1"/>
  <c r="K422" i="1"/>
  <c r="H422" i="1"/>
  <c r="L421" i="1"/>
  <c r="K421" i="1"/>
  <c r="H421" i="1"/>
  <c r="L420" i="1"/>
  <c r="K420" i="1"/>
  <c r="H420" i="1"/>
  <c r="L419" i="1"/>
  <c r="K419" i="1"/>
  <c r="H419" i="1"/>
  <c r="L418" i="1"/>
  <c r="K418" i="1"/>
  <c r="H418" i="1"/>
  <c r="L417" i="1"/>
  <c r="K417" i="1"/>
  <c r="H417" i="1"/>
  <c r="L416" i="1"/>
  <c r="K416" i="1"/>
  <c r="H416" i="1"/>
  <c r="L415" i="1"/>
  <c r="K415" i="1"/>
  <c r="H415" i="1"/>
  <c r="L414" i="1"/>
  <c r="K414" i="1"/>
  <c r="H414" i="1"/>
  <c r="L413" i="1"/>
  <c r="K413" i="1"/>
  <c r="H413" i="1"/>
  <c r="L412" i="1"/>
  <c r="K412" i="1"/>
  <c r="H412" i="1"/>
  <c r="L411" i="1"/>
  <c r="K411" i="1"/>
  <c r="H411" i="1"/>
  <c r="L410" i="1"/>
  <c r="K410" i="1"/>
  <c r="H410" i="1"/>
  <c r="L409" i="1"/>
  <c r="K409" i="1"/>
  <c r="H409" i="1"/>
  <c r="L408" i="1"/>
  <c r="K408" i="1"/>
  <c r="H408" i="1"/>
  <c r="L407" i="1"/>
  <c r="K407" i="1"/>
  <c r="H407" i="1"/>
  <c r="L406" i="1"/>
  <c r="K406" i="1"/>
  <c r="H406" i="1"/>
  <c r="L405" i="1"/>
  <c r="K405" i="1"/>
  <c r="H405" i="1"/>
  <c r="L404" i="1"/>
  <c r="K404" i="1"/>
  <c r="H404" i="1"/>
  <c r="L403" i="1"/>
  <c r="K403" i="1"/>
  <c r="H403" i="1"/>
  <c r="L402" i="1"/>
  <c r="K402" i="1"/>
  <c r="H402" i="1"/>
  <c r="L401" i="1"/>
  <c r="K401" i="1"/>
  <c r="H401" i="1"/>
  <c r="L400" i="1"/>
  <c r="K400" i="1"/>
  <c r="H400" i="1"/>
  <c r="L399" i="1"/>
  <c r="K399" i="1"/>
  <c r="H399" i="1"/>
  <c r="L398" i="1"/>
  <c r="K398" i="1"/>
  <c r="H398" i="1"/>
  <c r="L397" i="1"/>
  <c r="K397" i="1"/>
  <c r="H397" i="1"/>
  <c r="L396" i="1"/>
  <c r="K396" i="1"/>
  <c r="H396" i="1"/>
  <c r="L395" i="1"/>
  <c r="K395" i="1"/>
  <c r="H395" i="1"/>
  <c r="L394" i="1"/>
  <c r="K394" i="1"/>
  <c r="H394" i="1"/>
  <c r="L393" i="1"/>
  <c r="K393" i="1"/>
  <c r="H393" i="1"/>
  <c r="L392" i="1"/>
  <c r="K392" i="1"/>
  <c r="H392" i="1"/>
  <c r="L391" i="1"/>
  <c r="K391" i="1"/>
  <c r="H391" i="1"/>
  <c r="L390" i="1"/>
  <c r="K390" i="1"/>
  <c r="H390" i="1"/>
  <c r="L389" i="1"/>
  <c r="K389" i="1"/>
  <c r="H389" i="1"/>
  <c r="L388" i="1"/>
  <c r="K388" i="1"/>
  <c r="H388" i="1"/>
  <c r="L387" i="1"/>
  <c r="K387" i="1"/>
  <c r="H387" i="1"/>
  <c r="L386" i="1"/>
  <c r="K386" i="1"/>
  <c r="H386" i="1"/>
  <c r="L385" i="1"/>
  <c r="K385" i="1"/>
  <c r="H385" i="1"/>
  <c r="L384" i="1"/>
  <c r="K384" i="1"/>
  <c r="H384" i="1"/>
  <c r="L383" i="1"/>
  <c r="K383" i="1"/>
  <c r="H383" i="1"/>
  <c r="L382" i="1"/>
  <c r="K382" i="1"/>
  <c r="H382" i="1"/>
  <c r="L381" i="1"/>
  <c r="K381" i="1"/>
  <c r="H381" i="1"/>
  <c r="L380" i="1"/>
  <c r="K380" i="1"/>
  <c r="H380" i="1"/>
  <c r="L379" i="1"/>
  <c r="K379" i="1"/>
  <c r="H379" i="1"/>
  <c r="L378" i="1"/>
  <c r="K378" i="1"/>
  <c r="H378" i="1"/>
  <c r="L377" i="1"/>
  <c r="K377" i="1"/>
  <c r="H377" i="1"/>
  <c r="L376" i="1"/>
  <c r="K376" i="1"/>
  <c r="H376" i="1"/>
  <c r="L375" i="1"/>
  <c r="K375" i="1"/>
  <c r="H375" i="1"/>
  <c r="L374" i="1"/>
  <c r="K374" i="1"/>
  <c r="H374" i="1"/>
  <c r="L373" i="1"/>
  <c r="K373" i="1"/>
  <c r="H373" i="1"/>
  <c r="L372" i="1"/>
  <c r="K372" i="1"/>
  <c r="H372" i="1"/>
  <c r="L371" i="1"/>
  <c r="K371" i="1"/>
  <c r="H371" i="1"/>
  <c r="L370" i="1"/>
  <c r="K370" i="1"/>
  <c r="H370" i="1"/>
  <c r="L369" i="1"/>
  <c r="K369" i="1"/>
  <c r="H369" i="1"/>
  <c r="L368" i="1"/>
  <c r="K368" i="1"/>
  <c r="H368" i="1"/>
  <c r="L367" i="1"/>
  <c r="K367" i="1"/>
  <c r="H367" i="1"/>
  <c r="L366" i="1"/>
  <c r="K366" i="1"/>
  <c r="H366" i="1"/>
  <c r="L365" i="1"/>
  <c r="K365" i="1"/>
  <c r="H365" i="1"/>
  <c r="L364" i="1"/>
  <c r="K364" i="1"/>
  <c r="H364" i="1"/>
  <c r="L363" i="1"/>
  <c r="K363" i="1"/>
  <c r="H363" i="1"/>
  <c r="L362" i="1"/>
  <c r="K362" i="1"/>
  <c r="H362" i="1"/>
  <c r="L361" i="1"/>
  <c r="K361" i="1"/>
  <c r="H361" i="1"/>
  <c r="L360" i="1"/>
  <c r="K360" i="1"/>
  <c r="H360" i="1"/>
  <c r="L359" i="1"/>
  <c r="K359" i="1"/>
  <c r="H359" i="1"/>
  <c r="L358" i="1"/>
  <c r="K358" i="1"/>
  <c r="H358" i="1"/>
  <c r="L357" i="1"/>
  <c r="K357" i="1"/>
  <c r="H357" i="1"/>
  <c r="L356" i="1"/>
  <c r="K356" i="1"/>
  <c r="H356" i="1"/>
  <c r="L355" i="1"/>
  <c r="K355" i="1"/>
  <c r="H355" i="1"/>
  <c r="L354" i="1"/>
  <c r="K354" i="1"/>
  <c r="H354" i="1"/>
  <c r="L353" i="1"/>
  <c r="K353" i="1"/>
  <c r="H353" i="1"/>
  <c r="L352" i="1"/>
  <c r="K352" i="1"/>
  <c r="H352" i="1"/>
  <c r="L351" i="1"/>
  <c r="K351" i="1"/>
  <c r="H351" i="1"/>
  <c r="L350" i="1"/>
  <c r="K350" i="1"/>
  <c r="H350" i="1"/>
  <c r="L349" i="1"/>
  <c r="K349" i="1"/>
  <c r="H349" i="1"/>
  <c r="L348" i="1"/>
  <c r="K348" i="1"/>
  <c r="H348" i="1"/>
  <c r="L347" i="1"/>
  <c r="K347" i="1"/>
  <c r="H347" i="1"/>
  <c r="L346" i="1"/>
  <c r="K346" i="1"/>
  <c r="H346" i="1"/>
  <c r="L345" i="1"/>
  <c r="K345" i="1"/>
  <c r="H345" i="1"/>
  <c r="L344" i="1"/>
  <c r="K344" i="1"/>
  <c r="H344" i="1"/>
  <c r="L343" i="1"/>
  <c r="K343" i="1"/>
  <c r="H343" i="1"/>
  <c r="L342" i="1"/>
  <c r="K342" i="1"/>
  <c r="H342" i="1"/>
  <c r="L341" i="1"/>
  <c r="K341" i="1"/>
  <c r="H341" i="1"/>
  <c r="L340" i="1"/>
  <c r="K340" i="1"/>
  <c r="H340" i="1"/>
  <c r="L339" i="1"/>
  <c r="K339" i="1"/>
  <c r="H339" i="1"/>
  <c r="L338" i="1"/>
  <c r="K338" i="1"/>
  <c r="H338" i="1"/>
  <c r="L337" i="1"/>
  <c r="K337" i="1"/>
  <c r="H337" i="1"/>
  <c r="L336" i="1"/>
  <c r="K336" i="1"/>
  <c r="H336" i="1"/>
  <c r="L335" i="1"/>
  <c r="K335" i="1"/>
  <c r="H335" i="1"/>
  <c r="L334" i="1"/>
  <c r="K334" i="1"/>
  <c r="H334" i="1"/>
  <c r="L333" i="1"/>
  <c r="K333" i="1"/>
  <c r="H333" i="1"/>
  <c r="L332" i="1"/>
  <c r="K332" i="1"/>
  <c r="H332" i="1"/>
  <c r="L331" i="1"/>
  <c r="K331" i="1"/>
  <c r="H331" i="1"/>
  <c r="L330" i="1"/>
  <c r="K330" i="1"/>
  <c r="H330" i="1"/>
  <c r="L329" i="1"/>
  <c r="K329" i="1"/>
  <c r="H329" i="1"/>
  <c r="L328" i="1"/>
  <c r="K328" i="1"/>
  <c r="H328" i="1"/>
  <c r="L327" i="1"/>
  <c r="K327" i="1"/>
  <c r="H327" i="1"/>
  <c r="L326" i="1"/>
  <c r="K326" i="1"/>
  <c r="H326" i="1"/>
  <c r="L325" i="1"/>
  <c r="K325" i="1"/>
  <c r="H325" i="1"/>
  <c r="L324" i="1"/>
  <c r="K324" i="1"/>
  <c r="H324" i="1"/>
  <c r="L323" i="1"/>
  <c r="K323" i="1"/>
  <c r="H323" i="1"/>
  <c r="L322" i="1"/>
  <c r="K322" i="1"/>
  <c r="H322" i="1"/>
  <c r="L321" i="1"/>
  <c r="K321" i="1"/>
  <c r="H321" i="1"/>
  <c r="L320" i="1"/>
  <c r="K320" i="1"/>
  <c r="H320" i="1"/>
  <c r="L319" i="1"/>
  <c r="K319" i="1"/>
  <c r="H319" i="1"/>
  <c r="L318" i="1"/>
  <c r="K318" i="1"/>
  <c r="H318" i="1"/>
  <c r="L317" i="1"/>
  <c r="K317" i="1"/>
  <c r="H317" i="1"/>
  <c r="L316" i="1"/>
  <c r="K316" i="1"/>
  <c r="H316" i="1"/>
  <c r="L315" i="1"/>
  <c r="K315" i="1"/>
  <c r="H315" i="1"/>
  <c r="L314" i="1"/>
  <c r="K314" i="1"/>
  <c r="H314" i="1"/>
  <c r="L313" i="1"/>
  <c r="K313" i="1"/>
  <c r="H313" i="1"/>
  <c r="L312" i="1"/>
  <c r="K312" i="1"/>
  <c r="H312" i="1"/>
  <c r="L311" i="1"/>
  <c r="K311" i="1"/>
  <c r="H311" i="1"/>
  <c r="L310" i="1"/>
  <c r="K310" i="1"/>
  <c r="H310" i="1"/>
  <c r="L309" i="1"/>
  <c r="K309" i="1"/>
  <c r="H309" i="1"/>
  <c r="L308" i="1"/>
  <c r="K308" i="1"/>
  <c r="H308" i="1"/>
  <c r="L307" i="1"/>
  <c r="K307" i="1"/>
  <c r="H307" i="1"/>
  <c r="L306" i="1"/>
  <c r="K306" i="1"/>
  <c r="H306" i="1"/>
  <c r="L305" i="1"/>
  <c r="K305" i="1"/>
  <c r="H305" i="1"/>
  <c r="L304" i="1"/>
  <c r="K304" i="1"/>
  <c r="H304" i="1"/>
  <c r="L303" i="1"/>
  <c r="K303" i="1"/>
  <c r="H303" i="1"/>
  <c r="L302" i="1"/>
  <c r="K302" i="1"/>
  <c r="H302" i="1"/>
  <c r="L301" i="1"/>
  <c r="K301" i="1"/>
  <c r="H301" i="1"/>
  <c r="L300" i="1"/>
  <c r="K300" i="1"/>
  <c r="H300" i="1"/>
  <c r="L299" i="1"/>
  <c r="K299" i="1"/>
  <c r="H299" i="1"/>
  <c r="L298" i="1"/>
  <c r="K298" i="1"/>
  <c r="H298" i="1"/>
  <c r="L297" i="1"/>
  <c r="K297" i="1"/>
  <c r="H297" i="1"/>
  <c r="L296" i="1"/>
  <c r="K296" i="1"/>
  <c r="H296" i="1"/>
  <c r="L295" i="1"/>
  <c r="K295" i="1"/>
  <c r="H295" i="1"/>
  <c r="L294" i="1"/>
  <c r="K294" i="1"/>
  <c r="H294" i="1"/>
  <c r="L293" i="1"/>
  <c r="K293" i="1"/>
  <c r="H293" i="1"/>
  <c r="L292" i="1"/>
  <c r="K292" i="1"/>
  <c r="H292" i="1"/>
  <c r="L291" i="1"/>
  <c r="K291" i="1"/>
  <c r="H291" i="1"/>
  <c r="L290" i="1"/>
  <c r="K290" i="1"/>
  <c r="H290" i="1"/>
  <c r="L289" i="1"/>
  <c r="K289" i="1"/>
  <c r="H289" i="1"/>
  <c r="L288" i="1"/>
  <c r="K288" i="1"/>
  <c r="H288" i="1"/>
  <c r="L287" i="1"/>
  <c r="K287" i="1"/>
  <c r="H287" i="1"/>
  <c r="L286" i="1"/>
  <c r="K286" i="1"/>
  <c r="H286" i="1"/>
  <c r="L285" i="1"/>
  <c r="K285" i="1"/>
  <c r="H285" i="1"/>
  <c r="L284" i="1"/>
  <c r="K284" i="1"/>
  <c r="H284" i="1"/>
  <c r="L283" i="1"/>
  <c r="K283" i="1"/>
  <c r="H283" i="1"/>
  <c r="L282" i="1"/>
  <c r="K282" i="1"/>
  <c r="H282" i="1"/>
  <c r="L281" i="1"/>
  <c r="K281" i="1"/>
  <c r="H281" i="1"/>
  <c r="L280" i="1"/>
  <c r="K280" i="1"/>
  <c r="H280" i="1"/>
  <c r="L279" i="1"/>
  <c r="K279" i="1"/>
  <c r="H279" i="1"/>
  <c r="L278" i="1"/>
  <c r="K278" i="1"/>
  <c r="H278" i="1"/>
  <c r="L277" i="1"/>
  <c r="K277" i="1"/>
  <c r="H277" i="1"/>
  <c r="L276" i="1"/>
  <c r="K276" i="1"/>
  <c r="H276" i="1"/>
  <c r="L275" i="1"/>
  <c r="K275" i="1"/>
  <c r="H275" i="1"/>
  <c r="L274" i="1"/>
  <c r="K274" i="1"/>
  <c r="H274" i="1"/>
  <c r="L273" i="1"/>
  <c r="K273" i="1"/>
  <c r="H273" i="1"/>
  <c r="L272" i="1"/>
  <c r="K272" i="1"/>
  <c r="H272" i="1"/>
  <c r="L271" i="1"/>
  <c r="K271" i="1"/>
  <c r="H271" i="1"/>
  <c r="L270" i="1"/>
  <c r="K270" i="1"/>
  <c r="H270" i="1"/>
  <c r="L269" i="1"/>
  <c r="K269" i="1"/>
  <c r="H269" i="1"/>
  <c r="L268" i="1"/>
  <c r="K268" i="1"/>
  <c r="H268" i="1"/>
  <c r="L267" i="1"/>
  <c r="K267" i="1"/>
  <c r="H267" i="1"/>
  <c r="L266" i="1"/>
  <c r="K266" i="1"/>
  <c r="H266" i="1"/>
  <c r="L265" i="1"/>
  <c r="K265" i="1"/>
  <c r="H265" i="1"/>
  <c r="L264" i="1"/>
  <c r="K264" i="1"/>
  <c r="H264" i="1"/>
  <c r="L263" i="1"/>
  <c r="K263" i="1"/>
  <c r="H263" i="1"/>
  <c r="L262" i="1"/>
  <c r="K262" i="1"/>
  <c r="H262" i="1"/>
  <c r="L261" i="1"/>
  <c r="K261" i="1"/>
  <c r="H261" i="1"/>
  <c r="L260" i="1"/>
  <c r="K260" i="1"/>
  <c r="H260" i="1"/>
  <c r="L259" i="1"/>
  <c r="K259" i="1"/>
  <c r="H259" i="1"/>
  <c r="L258" i="1"/>
  <c r="K258" i="1"/>
  <c r="H258" i="1"/>
  <c r="L257" i="1"/>
  <c r="K257" i="1"/>
  <c r="H257" i="1"/>
  <c r="L256" i="1"/>
  <c r="K256" i="1"/>
  <c r="H256" i="1"/>
  <c r="L255" i="1"/>
  <c r="K255" i="1"/>
  <c r="H255" i="1"/>
  <c r="L254" i="1"/>
  <c r="K254" i="1"/>
  <c r="H254" i="1"/>
  <c r="L253" i="1"/>
  <c r="K253" i="1"/>
  <c r="H253" i="1"/>
  <c r="L252" i="1"/>
  <c r="K252" i="1"/>
  <c r="H252" i="1"/>
  <c r="L251" i="1"/>
  <c r="K251" i="1"/>
  <c r="H251" i="1"/>
  <c r="L250" i="1"/>
  <c r="K250" i="1"/>
  <c r="H250" i="1"/>
  <c r="L249" i="1"/>
  <c r="K249" i="1"/>
  <c r="H249" i="1"/>
  <c r="L248" i="1"/>
  <c r="K248" i="1"/>
  <c r="H248" i="1"/>
  <c r="L247" i="1"/>
  <c r="K247" i="1"/>
  <c r="H247" i="1"/>
  <c r="L246" i="1"/>
  <c r="K246" i="1"/>
  <c r="H246" i="1"/>
  <c r="L245" i="1"/>
  <c r="K245" i="1"/>
  <c r="H245" i="1"/>
  <c r="L244" i="1"/>
  <c r="K244" i="1"/>
  <c r="H244" i="1"/>
  <c r="L243" i="1"/>
  <c r="K243" i="1"/>
  <c r="H243" i="1"/>
  <c r="L242" i="1"/>
  <c r="K242" i="1"/>
  <c r="H242" i="1"/>
  <c r="L241" i="1"/>
  <c r="K241" i="1"/>
  <c r="H241" i="1"/>
  <c r="L240" i="1"/>
  <c r="K240" i="1"/>
  <c r="H240" i="1"/>
  <c r="L239" i="1"/>
  <c r="K239" i="1"/>
  <c r="H239" i="1"/>
  <c r="L238" i="1"/>
  <c r="K238" i="1"/>
  <c r="H238" i="1"/>
  <c r="L237" i="1"/>
  <c r="K237" i="1"/>
  <c r="H237" i="1"/>
  <c r="L236" i="1"/>
  <c r="K236" i="1"/>
  <c r="H236" i="1"/>
  <c r="L235" i="1"/>
  <c r="K235" i="1"/>
  <c r="H235" i="1"/>
  <c r="L234" i="1"/>
  <c r="K234" i="1"/>
  <c r="H234" i="1"/>
  <c r="L233" i="1"/>
  <c r="K233" i="1"/>
  <c r="H233" i="1"/>
  <c r="L232" i="1"/>
  <c r="K232" i="1"/>
  <c r="H232" i="1"/>
  <c r="L231" i="1"/>
  <c r="K231" i="1"/>
  <c r="H231" i="1"/>
  <c r="L230" i="1"/>
  <c r="K230" i="1"/>
  <c r="H230" i="1"/>
  <c r="L229" i="1"/>
  <c r="K229" i="1"/>
  <c r="H229" i="1"/>
  <c r="L228" i="1"/>
  <c r="K228" i="1"/>
  <c r="H228" i="1"/>
  <c r="L227" i="1"/>
  <c r="K227" i="1"/>
  <c r="H227" i="1"/>
  <c r="L226" i="1"/>
  <c r="K226" i="1"/>
  <c r="H226" i="1"/>
  <c r="L225" i="1"/>
  <c r="K225" i="1"/>
  <c r="H225" i="1"/>
  <c r="L224" i="1"/>
  <c r="K224" i="1"/>
  <c r="H224" i="1"/>
  <c r="L223" i="1"/>
  <c r="K223" i="1"/>
  <c r="H223" i="1"/>
  <c r="L222" i="1"/>
  <c r="K222" i="1"/>
  <c r="H222" i="1"/>
  <c r="L221" i="1"/>
  <c r="K221" i="1"/>
  <c r="H221" i="1"/>
  <c r="L220" i="1"/>
  <c r="K220" i="1"/>
  <c r="H220" i="1"/>
  <c r="L219" i="1"/>
  <c r="K219" i="1"/>
  <c r="H219" i="1"/>
  <c r="L218" i="1"/>
  <c r="K218" i="1"/>
  <c r="H218" i="1"/>
  <c r="L217" i="1"/>
  <c r="K217" i="1"/>
  <c r="H217" i="1"/>
  <c r="L216" i="1"/>
  <c r="K216" i="1"/>
  <c r="H216" i="1"/>
  <c r="L215" i="1"/>
  <c r="K215" i="1"/>
  <c r="H215" i="1"/>
  <c r="L214" i="1"/>
  <c r="K214" i="1"/>
  <c r="H214" i="1"/>
  <c r="L213" i="1"/>
  <c r="K213" i="1"/>
  <c r="H213" i="1"/>
  <c r="L212" i="1"/>
  <c r="K212" i="1"/>
  <c r="H212" i="1"/>
  <c r="L211" i="1"/>
  <c r="K211" i="1"/>
  <c r="H211" i="1"/>
  <c r="L210" i="1"/>
  <c r="K210" i="1"/>
  <c r="H210" i="1"/>
  <c r="L209" i="1"/>
  <c r="K209" i="1"/>
  <c r="H209" i="1"/>
  <c r="L208" i="1"/>
  <c r="K208" i="1"/>
  <c r="H208" i="1"/>
  <c r="L207" i="1"/>
  <c r="K207" i="1"/>
  <c r="H207" i="1"/>
  <c r="L206" i="1"/>
  <c r="K206" i="1"/>
  <c r="H206" i="1"/>
  <c r="L205" i="1"/>
  <c r="K205" i="1"/>
  <c r="H205" i="1"/>
  <c r="L204" i="1"/>
  <c r="K204" i="1"/>
  <c r="H204" i="1"/>
  <c r="L203" i="1"/>
  <c r="K203" i="1"/>
  <c r="H203" i="1"/>
  <c r="L202" i="1"/>
  <c r="K202" i="1"/>
  <c r="H202" i="1"/>
  <c r="L201" i="1"/>
  <c r="K201" i="1"/>
  <c r="H201" i="1"/>
  <c r="L200" i="1"/>
  <c r="K200" i="1"/>
  <c r="H200" i="1"/>
  <c r="L199" i="1"/>
  <c r="K199" i="1"/>
  <c r="H199" i="1"/>
  <c r="L198" i="1"/>
  <c r="K198" i="1"/>
  <c r="H198" i="1"/>
  <c r="L197" i="1"/>
  <c r="K197" i="1"/>
  <c r="H197" i="1"/>
  <c r="L196" i="1"/>
  <c r="K196" i="1"/>
  <c r="H196" i="1"/>
  <c r="L195" i="1"/>
  <c r="K195" i="1"/>
  <c r="H195" i="1"/>
  <c r="L194" i="1"/>
  <c r="K194" i="1"/>
  <c r="H194" i="1"/>
  <c r="L193" i="1"/>
  <c r="K193" i="1"/>
  <c r="H193" i="1"/>
  <c r="L192" i="1"/>
  <c r="K192" i="1"/>
  <c r="H192" i="1"/>
  <c r="L191" i="1"/>
  <c r="K191" i="1"/>
  <c r="H191" i="1"/>
  <c r="L190" i="1"/>
  <c r="K190" i="1"/>
  <c r="H190" i="1"/>
  <c r="L189" i="1"/>
  <c r="K189" i="1"/>
  <c r="H189" i="1"/>
  <c r="L188" i="1"/>
  <c r="K188" i="1"/>
  <c r="H188" i="1"/>
  <c r="L187" i="1"/>
  <c r="K187" i="1"/>
  <c r="H187" i="1"/>
  <c r="L186" i="1"/>
  <c r="K186" i="1"/>
  <c r="H186" i="1"/>
  <c r="L185" i="1"/>
  <c r="K185" i="1"/>
  <c r="H185" i="1"/>
  <c r="L184" i="1"/>
  <c r="K184" i="1"/>
  <c r="H184" i="1"/>
  <c r="L183" i="1"/>
  <c r="K183" i="1"/>
  <c r="H183" i="1"/>
  <c r="L182" i="1"/>
  <c r="K182" i="1"/>
  <c r="H182" i="1"/>
  <c r="L181" i="1"/>
  <c r="K181" i="1"/>
  <c r="H181" i="1"/>
  <c r="L180" i="1"/>
  <c r="K180" i="1"/>
  <c r="H180" i="1"/>
  <c r="L179" i="1"/>
  <c r="K179" i="1"/>
  <c r="H179" i="1"/>
  <c r="L178" i="1"/>
  <c r="K178" i="1"/>
  <c r="H178" i="1"/>
  <c r="L177" i="1"/>
  <c r="K177" i="1"/>
  <c r="H177" i="1"/>
  <c r="L176" i="1"/>
  <c r="K176" i="1"/>
  <c r="H176" i="1"/>
  <c r="L175" i="1"/>
  <c r="K175" i="1"/>
  <c r="H175" i="1"/>
  <c r="L174" i="1"/>
  <c r="K174" i="1"/>
  <c r="H174" i="1"/>
  <c r="L173" i="1"/>
  <c r="K173" i="1"/>
  <c r="H173" i="1"/>
  <c r="L172" i="1"/>
  <c r="K172" i="1"/>
  <c r="H172" i="1"/>
  <c r="L171" i="1"/>
  <c r="K171" i="1"/>
  <c r="H171" i="1"/>
  <c r="L170" i="1"/>
  <c r="K170" i="1"/>
  <c r="H170" i="1"/>
  <c r="L169" i="1"/>
  <c r="K169" i="1"/>
  <c r="H169" i="1"/>
  <c r="L168" i="1"/>
  <c r="K168" i="1"/>
  <c r="H168" i="1"/>
  <c r="L167" i="1"/>
  <c r="K167" i="1"/>
  <c r="H167" i="1"/>
  <c r="L166" i="1"/>
  <c r="K166" i="1"/>
  <c r="H166" i="1"/>
  <c r="L165" i="1"/>
  <c r="K165" i="1"/>
  <c r="H165" i="1"/>
  <c r="L164" i="1"/>
  <c r="K164" i="1"/>
  <c r="H164" i="1"/>
  <c r="L163" i="1"/>
  <c r="K163" i="1"/>
  <c r="H163" i="1"/>
  <c r="L162" i="1"/>
  <c r="K162" i="1"/>
  <c r="H162" i="1"/>
  <c r="L161" i="1"/>
  <c r="K161" i="1"/>
  <c r="H161" i="1"/>
  <c r="L160" i="1"/>
  <c r="K160" i="1"/>
  <c r="H160" i="1"/>
  <c r="L159" i="1"/>
  <c r="K159" i="1"/>
  <c r="H159" i="1"/>
  <c r="L158" i="1"/>
  <c r="K158" i="1"/>
  <c r="H158" i="1"/>
  <c r="L157" i="1"/>
  <c r="K157" i="1"/>
  <c r="H157" i="1"/>
  <c r="L151" i="1"/>
  <c r="K151" i="1"/>
  <c r="H151" i="1"/>
  <c r="L150" i="1"/>
  <c r="K150" i="1"/>
  <c r="H150" i="1"/>
  <c r="L149" i="1"/>
  <c r="K149" i="1"/>
  <c r="H149" i="1"/>
  <c r="L148" i="1"/>
  <c r="K148" i="1"/>
  <c r="H148" i="1"/>
  <c r="L142" i="1"/>
  <c r="K142" i="1"/>
  <c r="H142" i="1"/>
  <c r="L141" i="1"/>
  <c r="K141" i="1"/>
  <c r="H141" i="1"/>
  <c r="L140" i="1"/>
  <c r="K140" i="1"/>
  <c r="H140" i="1"/>
  <c r="L139" i="1"/>
  <c r="K139" i="1"/>
  <c r="H139" i="1"/>
  <c r="L138" i="1"/>
  <c r="K138" i="1"/>
  <c r="H138" i="1"/>
  <c r="L137" i="1"/>
  <c r="K137" i="1"/>
  <c r="H137" i="1"/>
  <c r="L136" i="1"/>
  <c r="K136" i="1"/>
  <c r="H136" i="1"/>
  <c r="L135" i="1"/>
  <c r="K135" i="1"/>
  <c r="H135" i="1"/>
  <c r="L134" i="1"/>
  <c r="K134" i="1"/>
  <c r="H134" i="1"/>
  <c r="L133" i="1"/>
  <c r="K133" i="1"/>
  <c r="H133" i="1"/>
  <c r="L132" i="1"/>
  <c r="K132" i="1"/>
  <c r="H132" i="1"/>
  <c r="L131" i="1"/>
  <c r="K131" i="1"/>
  <c r="H131" i="1"/>
  <c r="L125" i="1"/>
  <c r="K125" i="1"/>
  <c r="H125" i="1"/>
  <c r="L124" i="1"/>
  <c r="K124" i="1"/>
  <c r="H124" i="1"/>
  <c r="L123" i="1"/>
  <c r="K123" i="1"/>
  <c r="H123" i="1"/>
  <c r="L122" i="1"/>
  <c r="K122" i="1"/>
  <c r="H122" i="1"/>
  <c r="L121" i="1"/>
  <c r="K121" i="1"/>
  <c r="H121" i="1"/>
  <c r="L120" i="1"/>
  <c r="K120" i="1"/>
  <c r="H120" i="1"/>
  <c r="L119" i="1"/>
  <c r="K119" i="1"/>
  <c r="H119" i="1"/>
  <c r="L118" i="1"/>
  <c r="K118" i="1"/>
  <c r="H118" i="1"/>
  <c r="L117" i="1"/>
  <c r="K117" i="1"/>
  <c r="H117" i="1"/>
  <c r="L116" i="1"/>
  <c r="K116" i="1"/>
  <c r="H116" i="1"/>
  <c r="L115" i="1"/>
  <c r="K115" i="1"/>
  <c r="H115" i="1"/>
  <c r="L114" i="1"/>
  <c r="K114" i="1"/>
  <c r="H114" i="1"/>
  <c r="L113" i="1"/>
  <c r="K113" i="1"/>
  <c r="H113" i="1"/>
  <c r="L112" i="1"/>
  <c r="K112" i="1"/>
  <c r="H112" i="1"/>
  <c r="L111" i="1"/>
  <c r="K111" i="1"/>
  <c r="H111" i="1"/>
  <c r="L110" i="1"/>
  <c r="K110" i="1"/>
  <c r="H110" i="1"/>
  <c r="L109" i="1"/>
  <c r="K109" i="1"/>
  <c r="H109" i="1"/>
  <c r="L103" i="1"/>
  <c r="K103" i="1"/>
  <c r="H103" i="1"/>
  <c r="L102" i="1"/>
  <c r="K102" i="1"/>
  <c r="H102" i="1"/>
  <c r="L101" i="1"/>
  <c r="K101" i="1"/>
  <c r="H101" i="1"/>
  <c r="L100" i="1"/>
  <c r="K100" i="1"/>
  <c r="H100" i="1"/>
  <c r="L99" i="1"/>
  <c r="K99" i="1"/>
  <c r="H99" i="1"/>
  <c r="L98" i="1"/>
  <c r="K98" i="1"/>
  <c r="H98" i="1"/>
  <c r="L97" i="1"/>
  <c r="K97" i="1"/>
  <c r="H97" i="1"/>
  <c r="L96" i="1"/>
  <c r="K96" i="1"/>
  <c r="H96" i="1"/>
  <c r="L95" i="1"/>
  <c r="K95" i="1"/>
  <c r="H95" i="1"/>
  <c r="L94" i="1"/>
  <c r="K94" i="1"/>
  <c r="H94" i="1"/>
  <c r="L88" i="1"/>
  <c r="K88" i="1"/>
  <c r="H88" i="1"/>
  <c r="L87" i="1"/>
  <c r="K87" i="1"/>
  <c r="H87" i="1"/>
  <c r="L86" i="1"/>
  <c r="K86" i="1"/>
  <c r="H86" i="1"/>
  <c r="L85" i="1"/>
  <c r="K85" i="1"/>
  <c r="H85" i="1"/>
  <c r="L84" i="1"/>
  <c r="K84" i="1"/>
  <c r="H84" i="1"/>
  <c r="L83" i="1"/>
  <c r="K83" i="1"/>
  <c r="H83" i="1"/>
  <c r="L82" i="1"/>
  <c r="K82" i="1"/>
  <c r="H82" i="1"/>
  <c r="L81" i="1"/>
  <c r="K81" i="1"/>
  <c r="H81" i="1"/>
  <c r="L80" i="1"/>
  <c r="K80" i="1"/>
  <c r="H80" i="1"/>
  <c r="L79" i="1"/>
  <c r="K79" i="1"/>
  <c r="H79" i="1"/>
  <c r="L78" i="1"/>
  <c r="K78" i="1"/>
  <c r="H78" i="1"/>
  <c r="L77" i="1"/>
  <c r="K77" i="1"/>
  <c r="H77" i="1"/>
  <c r="L76" i="1"/>
  <c r="K76" i="1"/>
  <c r="H76" i="1"/>
  <c r="M68" i="1"/>
  <c r="L68" i="1"/>
  <c r="I68" i="1"/>
  <c r="M67" i="1"/>
  <c r="L67" i="1"/>
  <c r="I67" i="1"/>
  <c r="M66" i="1"/>
  <c r="L66" i="1"/>
  <c r="I66" i="1"/>
  <c r="M65" i="1"/>
  <c r="L65" i="1"/>
  <c r="I65" i="1"/>
  <c r="M64" i="1"/>
  <c r="L64" i="1"/>
  <c r="I64" i="1"/>
  <c r="M63" i="1"/>
  <c r="L63" i="1"/>
  <c r="I63" i="1"/>
  <c r="M62" i="1"/>
  <c r="L62" i="1"/>
  <c r="I62" i="1"/>
  <c r="M61" i="1"/>
  <c r="L61" i="1"/>
  <c r="I61" i="1"/>
  <c r="M60" i="1"/>
  <c r="L60" i="1"/>
  <c r="I60" i="1"/>
  <c r="M59" i="1"/>
  <c r="L59" i="1"/>
  <c r="I59" i="1"/>
  <c r="M58" i="1"/>
  <c r="L58" i="1"/>
  <c r="I58" i="1"/>
  <c r="M57" i="1"/>
  <c r="L57" i="1"/>
  <c r="I57" i="1"/>
  <c r="M56" i="1"/>
  <c r="L56" i="1"/>
  <c r="I56" i="1"/>
  <c r="M55" i="1"/>
  <c r="L55" i="1"/>
  <c r="I55" i="1"/>
  <c r="M54" i="1"/>
  <c r="L54" i="1"/>
  <c r="I54" i="1"/>
  <c r="M53" i="1"/>
  <c r="L53" i="1"/>
  <c r="I53" i="1"/>
  <c r="M52" i="1"/>
  <c r="L52" i="1"/>
  <c r="I52" i="1"/>
  <c r="M51" i="1"/>
  <c r="L51" i="1"/>
  <c r="I51" i="1"/>
  <c r="M50" i="1"/>
  <c r="L50" i="1"/>
  <c r="I50" i="1"/>
  <c r="M49" i="1"/>
  <c r="L49" i="1"/>
  <c r="I49" i="1"/>
  <c r="M48" i="1"/>
  <c r="L48" i="1"/>
  <c r="I48" i="1"/>
  <c r="M47" i="1"/>
  <c r="L47" i="1"/>
  <c r="I47" i="1"/>
  <c r="M46" i="1"/>
  <c r="L46" i="1"/>
  <c r="I46" i="1"/>
  <c r="M45" i="1"/>
  <c r="L45" i="1"/>
  <c r="I45" i="1"/>
  <c r="M44" i="1"/>
  <c r="L44" i="1"/>
  <c r="I44" i="1"/>
  <c r="M43" i="1"/>
  <c r="L43" i="1"/>
  <c r="I43" i="1"/>
  <c r="M42" i="1"/>
  <c r="L42" i="1"/>
  <c r="I42" i="1"/>
  <c r="M41" i="1"/>
  <c r="L41" i="1"/>
  <c r="I41" i="1"/>
  <c r="M40" i="1"/>
  <c r="L40" i="1"/>
  <c r="I40" i="1"/>
  <c r="M39" i="1"/>
  <c r="L39" i="1"/>
  <c r="I39" i="1"/>
  <c r="M38" i="1"/>
  <c r="L38" i="1"/>
  <c r="I38" i="1"/>
  <c r="M37" i="1"/>
  <c r="L37" i="1"/>
  <c r="I37" i="1"/>
  <c r="M36" i="1"/>
  <c r="L36" i="1"/>
  <c r="I36" i="1"/>
  <c r="M35" i="1"/>
  <c r="L35" i="1"/>
  <c r="I35" i="1"/>
  <c r="M34" i="1"/>
  <c r="L34" i="1"/>
  <c r="I34" i="1"/>
  <c r="M33" i="1"/>
  <c r="L33" i="1"/>
  <c r="I33" i="1"/>
  <c r="M32" i="1"/>
  <c r="L32" i="1"/>
  <c r="I32" i="1"/>
  <c r="M31" i="1"/>
  <c r="L31" i="1"/>
  <c r="I31" i="1"/>
  <c r="M30" i="1"/>
  <c r="L30" i="1"/>
  <c r="I30" i="1"/>
  <c r="M29" i="1"/>
  <c r="L29" i="1"/>
  <c r="I29" i="1"/>
  <c r="M28" i="1"/>
  <c r="L28" i="1"/>
  <c r="I28" i="1"/>
  <c r="M27" i="1"/>
  <c r="L27" i="1"/>
  <c r="I27" i="1"/>
  <c r="M26" i="1"/>
  <c r="L26" i="1"/>
  <c r="I26" i="1"/>
  <c r="M25" i="1"/>
  <c r="L25" i="1"/>
  <c r="I25" i="1"/>
  <c r="M24" i="1"/>
  <c r="L24" i="1"/>
  <c r="I24" i="1"/>
  <c r="M23" i="1"/>
  <c r="L23" i="1"/>
  <c r="I23" i="1"/>
  <c r="M22" i="1"/>
  <c r="L22" i="1"/>
  <c r="I22" i="1"/>
  <c r="M21" i="1"/>
  <c r="L21" i="1"/>
  <c r="I21" i="1"/>
  <c r="M20" i="1"/>
  <c r="L20" i="1"/>
  <c r="I20" i="1"/>
  <c r="M19" i="1"/>
  <c r="L19" i="1"/>
  <c r="I19" i="1"/>
  <c r="M18" i="1"/>
  <c r="L18" i="1"/>
  <c r="I18" i="1"/>
  <c r="M17" i="1"/>
  <c r="L17" i="1"/>
  <c r="I17" i="1"/>
  <c r="M16" i="1"/>
  <c r="L16" i="1"/>
  <c r="I16" i="1"/>
  <c r="M15" i="1"/>
  <c r="L15" i="1"/>
  <c r="I15" i="1"/>
  <c r="M14" i="1"/>
  <c r="L14" i="1"/>
  <c r="I14" i="1"/>
  <c r="M13" i="1"/>
  <c r="L13" i="1"/>
  <c r="I13" i="1"/>
  <c r="M12" i="1"/>
  <c r="L12" i="1"/>
  <c r="I12" i="1"/>
  <c r="M11" i="1"/>
  <c r="L11" i="1"/>
  <c r="I11" i="1"/>
  <c r="M10" i="1"/>
  <c r="L10" i="1"/>
  <c r="I10" i="1"/>
  <c r="M9" i="1"/>
  <c r="L9" i="1"/>
  <c r="I9" i="1"/>
  <c r="M8" i="1"/>
  <c r="L8" i="1"/>
  <c r="I8" i="1"/>
</calcChain>
</file>

<file path=xl/sharedStrings.xml><?xml version="1.0" encoding="utf-8"?>
<sst xmlns="http://schemas.openxmlformats.org/spreadsheetml/2006/main" count="4821" uniqueCount="513">
  <si>
    <t>Informe de trayectos</t>
  </si>
  <si>
    <t>Periodo: 21 de febrero de 2025 0:00 - 21 de febrero de 2025 23:59</t>
  </si>
  <si>
    <t>Informe generado</t>
  </si>
  <si>
    <t>a: 22 de septiembre de 2025 14:44</t>
  </si>
  <si>
    <t>Resumen del informe</t>
  </si>
  <si>
    <t>Nombre de objeto</t>
  </si>
  <si>
    <t>Hora de inicio de trabajo</t>
  </si>
  <si>
    <t>Ubicación de inicio de trabajo</t>
  </si>
  <si>
    <t>Hora de fin de trabajo</t>
  </si>
  <si>
    <t>Ubicación de fin de trabajo</t>
  </si>
  <si>
    <t>Kilometraje recorrido</t>
  </si>
  <si>
    <t>Kilometraje al inicio</t>
  </si>
  <si>
    <t>Kilometraje al final</t>
  </si>
  <si>
    <t>Duración de inactividad</t>
  </si>
  <si>
    <t>Velocidad máxima</t>
  </si>
  <si>
    <t>Velocidad media</t>
  </si>
  <si>
    <t>Duración del trabajo</t>
  </si>
  <si>
    <t>Duración de parada</t>
  </si>
  <si>
    <t>Ate, Lima Metropolitana, Lima, 15498, Perú</t>
  </si>
  <si>
    <t>78 km/h</t>
  </si>
  <si>
    <t>18 km/h</t>
  </si>
  <si>
    <t>Avenida Los Incas, Ate, Lima Metropolitana, Lima, 15483, Perú</t>
  </si>
  <si>
    <t>Los Huancas, Ate, Lima Metropolitana, Lima, 15483, Perú</t>
  </si>
  <si>
    <t>84 km/h</t>
  </si>
  <si>
    <t>Ate, Lima Metropolitana, Lima, 15483, Perú</t>
  </si>
  <si>
    <t>72 km/h</t>
  </si>
  <si>
    <t>13 km/h</t>
  </si>
  <si>
    <t>Calle Manantiales de Vida, Ate, Lima Metropolitana, Lima, 15487, Perú</t>
  </si>
  <si>
    <t>16 km/h</t>
  </si>
  <si>
    <t>31 km/h</t>
  </si>
  <si>
    <t>4 km/h</t>
  </si>
  <si>
    <t>Avenida Nicolás de Ayllón, Ate, Lima Metropolitana, Lima, 15008, Perú</t>
  </si>
  <si>
    <t>Calle 2, Ate, Lima Metropolitana, Lima, 15487, Perú</t>
  </si>
  <si>
    <t>20 km/h</t>
  </si>
  <si>
    <t>Carretera Central, Chaclacayo, Lima Metropolitana, Lima, 15476, Perú</t>
  </si>
  <si>
    <t>74 km/h</t>
  </si>
  <si>
    <t>Calle los Alamos, Chosica, Lima Metropolitana, Lima, 15468, Perú</t>
  </si>
  <si>
    <t>Avenida Las Retamas, Ricardo Palma, Huarochirí, Lima, 15468, Perú</t>
  </si>
  <si>
    <t>97 km/h</t>
  </si>
  <si>
    <t>Calle Las Gardenias, Ricardo Palma, Huarochirí, Lima, 15468, Perú</t>
  </si>
  <si>
    <t>77 km/h</t>
  </si>
  <si>
    <t>15 km/h</t>
  </si>
  <si>
    <t>Capitan Gamarra, Ricardo Palma, Huarochirí, Lima, 15468, Perú, (Ruta4507nueva era 23-10-23)</t>
  </si>
  <si>
    <t>85 km/h</t>
  </si>
  <si>
    <t>Avenida Lima Norte, Santa Eulalia, Lima Metropolitana, Lima, 15468, Perú</t>
  </si>
  <si>
    <t>82 km/h</t>
  </si>
  <si>
    <t>Avenida José Carlos Mariátegui, Ricardo Palma, Huarochirí, Lima, 15468, Perú</t>
  </si>
  <si>
    <t>1 km/h</t>
  </si>
  <si>
    <t>0 km/h</t>
  </si>
  <si>
    <t>Carretera Central, 200, Chaclacayo, Lima Metropolitana, Lima, 15476, Perú</t>
  </si>
  <si>
    <t>87 km/h</t>
  </si>
  <si>
    <t>Avenida José Carlos Mariátegui, Ate, Lima Metropolitana, Lima, 15487, Perú</t>
  </si>
  <si>
    <t>17 km/h</t>
  </si>
  <si>
    <t>Calle Cerro de Pasco, Ate, Lima Metropolitana, Lima, 15498, Perú</t>
  </si>
  <si>
    <t>50 km/h</t>
  </si>
  <si>
    <t>12 km/h</t>
  </si>
  <si>
    <t>79 km/h</t>
  </si>
  <si>
    <t>14 km/h</t>
  </si>
  <si>
    <t>Avenida Bernard de Balaguer, Lurigancho, Lima Metropolitana, Lima, 15464, Perú</t>
  </si>
  <si>
    <t>8 km/h</t>
  </si>
  <si>
    <t>10 km/h</t>
  </si>
  <si>
    <t>Calle 1, Ate, Lima Metropolitana, Lima, 15483, Perú</t>
  </si>
  <si>
    <t>86 km/h</t>
  </si>
  <si>
    <t>Avenida Nicolás de Ayllón, Ate, Lima Metropolitana, Lima, 15002, Perú, (Ruta4507nueva era 23-10-23, RUTA DESVIO TEM.  4507)</t>
  </si>
  <si>
    <t>Avenida La Paz, G2, Santa Eulalia, Huarochirí, Lima, 15500, Perú</t>
  </si>
  <si>
    <t>57 km/h</t>
  </si>
  <si>
    <t>25 km/h</t>
  </si>
  <si>
    <t>Calle Leoncio Prado, Santa Eulalia, Huarochirí, Lima, 15468, Perú</t>
  </si>
  <si>
    <t>83 km/h</t>
  </si>
  <si>
    <t>Calle Estocolmo, Ate, Lima Metropolitana, Lima, 15498, Perú</t>
  </si>
  <si>
    <t>Avenida Simón Bolívar, Santa Eulalia, Huarochirí, Lima, 15468, Perú</t>
  </si>
  <si>
    <t>71 km/h</t>
  </si>
  <si>
    <t>Calle Las Tunas, Santa Anita, Lima Metropolitana, Lima, 15007, Perú</t>
  </si>
  <si>
    <t>80 km/h</t>
  </si>
  <si>
    <t>Calle Los Topacios, Lurigancho, Lima Metropolitana, Lima, 15472, Perú</t>
  </si>
  <si>
    <t>Carretera Central, Ate, Lima Metropolitana, Lima, 15487, Perú, (Ruta4507nueva era 23-10-23)</t>
  </si>
  <si>
    <t>55 km/h</t>
  </si>
  <si>
    <t>19 km/h</t>
  </si>
  <si>
    <t>Avenida Alfonso Cobián, Chaclacayo, Lima Metropolitana, Lima, 15476, Perú</t>
  </si>
  <si>
    <t>Avenida Metropolitana, Santa Anita, Lima Metropolitana, Lima, 15009, Perú, (RUTA DESVIO TEM.  4507)</t>
  </si>
  <si>
    <t>92 km/h</t>
  </si>
  <si>
    <t>Ate, Lima Metropolitana, Lima, 15474, Perú</t>
  </si>
  <si>
    <t>Jirón Argentina, Chosica, Lima Metropolitana, Lima, 15468, Perú</t>
  </si>
  <si>
    <t>Avenida Lima Sur, Chosica, Lima Metropolitana, Lima, 15468, Perú</t>
  </si>
  <si>
    <t>Calle Los Álamos, Ate, Lima Metropolitana, Lima, 15483, Perú</t>
  </si>
  <si>
    <t>Avenida Enrique Guzmán y Valle, Chosica, Lima Metropolitana, Lima, 15468, Perú</t>
  </si>
  <si>
    <t>Carretera Central, Ate, Lima Metropolitana, Lima, 15474, Perú</t>
  </si>
  <si>
    <t>32 km/h</t>
  </si>
  <si>
    <t>7 km/h</t>
  </si>
  <si>
    <t>Santa Eulalia, Huarochirí, Lima, 15468, Perú</t>
  </si>
  <si>
    <t>93 km/h</t>
  </si>
  <si>
    <t>28 km/h</t>
  </si>
  <si>
    <t>Avenida Nicolás de Ayllón, Ate, Lima Metropolitana, Lima, 15487, Perú, (Ruta4507nueva era 23-10-23)</t>
  </si>
  <si>
    <t>76 km/h</t>
  </si>
  <si>
    <t>Ate, Lima Metropolitana, Lima, 15487, Perú</t>
  </si>
  <si>
    <t>Corcona, Huarochirí, Lima, Perú</t>
  </si>
  <si>
    <t>56 km/h</t>
  </si>
  <si>
    <t>Lurigancho, Lima Metropolitana, Lima, 15468, Perú</t>
  </si>
  <si>
    <t>Plaza Francisco Bolognesi, Lima, Lima Metropolitana, Lima, 15083, Perú, (Ruta4507nueva era 23-10-23)</t>
  </si>
  <si>
    <t>Prolongación Javier Prado Este, Ate, Lima Metropolitana, Lima, 15498, Perú, (RUTA DESVIO TEM.  4507)</t>
  </si>
  <si>
    <t>Avenida Micaela Bastidas, 561, Santa Eulalia, Huarochirí, Lima, 15468, Perú</t>
  </si>
  <si>
    <t>Avenida Nicolás de Ayllón, Ate, Lima Metropolitana, Lima, 15008, Perú, (Ruta4507nueva era 23-10-23)</t>
  </si>
  <si>
    <t>108 km/h</t>
  </si>
  <si>
    <t>Micaela Bastidas, Ate, Lima Metropolitana, Lima, 15498, Perú</t>
  </si>
  <si>
    <t>99 km/h</t>
  </si>
  <si>
    <t>Avenida Lima Norte, Chosica, Lima Metropolitana, Lima, 15468, Perú</t>
  </si>
  <si>
    <t>Jorge Basadre, Ate, Lima Metropolitana, Lima, 15008, Perú</t>
  </si>
  <si>
    <t>Avenida Bernardino Rivadavia, Ate, Lima Metropolitana, Lima, 15498, Perú</t>
  </si>
  <si>
    <t>88 km/h</t>
  </si>
  <si>
    <t>90 km/h</t>
  </si>
  <si>
    <t>-5513 km/h</t>
  </si>
  <si>
    <t>Avenida Minería, Santa Anita, Lima Metropolitana, Lima, 15008, Perú, (Ruta4507nueva era 23-10-23, RUTA DESVIO TEM.  4507)</t>
  </si>
  <si>
    <t>91 km/h</t>
  </si>
  <si>
    <t>Avenida José Santos Chocano, Ricardo Palma, Huarochirí, Lima, 15468, Perú</t>
  </si>
  <si>
    <t>Avenida Lima Norte, Chosica, Lima Metropolitana, Lima, 15468, Perú, (Ruta4507nueva era 23-10-23)</t>
  </si>
  <si>
    <t>94 km/h</t>
  </si>
  <si>
    <t>Totales:</t>
  </si>
  <si>
    <t/>
  </si>
  <si>
    <t>* Los datos de combustible se calculan de acuerdo con el consumo medio de combustible del vehículo especificado en su configuración</t>
  </si>
  <si>
    <t>Avenida Nicolás de Ayllón, Ate, Lima Metropolitana, Lima, 15498, Perú, (Ruta4507nueva era 23-10-23)</t>
  </si>
  <si>
    <t>44 km/h</t>
  </si>
  <si>
    <t>5 km/h</t>
  </si>
  <si>
    <t>2 km/h</t>
  </si>
  <si>
    <t>68 km/h</t>
  </si>
  <si>
    <t>23 km/h</t>
  </si>
  <si>
    <t>9 km/h</t>
  </si>
  <si>
    <t>Jose Carlos Mariátegui, Ricardo Palma, Lima Metropolitana, Lima, 15468, Perú, (PARADERO RICARDO PALMA)</t>
  </si>
  <si>
    <t>24 km/h</t>
  </si>
  <si>
    <t>11 km/h</t>
  </si>
  <si>
    <t>Avenida Río Perene, Ate, Lima Metropolitana, Lima, 15498, Perú</t>
  </si>
  <si>
    <t>75 km/h</t>
  </si>
  <si>
    <t>64 km/h</t>
  </si>
  <si>
    <t>Marcos Puente Llanos, Ate, Lima Metropolitana, Lima, 15498, Perú</t>
  </si>
  <si>
    <t>Calle Berlín, Ate, Lima Metropolitana, Lima, 15498, Perú</t>
  </si>
  <si>
    <t>6 km/h</t>
  </si>
  <si>
    <t>3 km/h</t>
  </si>
  <si>
    <t>21 km/h</t>
  </si>
  <si>
    <t>Carretera Central, Chaclacayo, Lima Metropolitana, Lima, 15476, Perú, (Ruta4507nueva era 23-10-23)</t>
  </si>
  <si>
    <t>60 km/h</t>
  </si>
  <si>
    <t>Avenida Almirante Miguel Grau, 300, La Victoria, Lima Metropolitana, Lima, 15001, Perú, (Ruta4507nueva era 23-10-23)</t>
  </si>
  <si>
    <t>Avenida Simón Bolívar, Santa Eulalia, Huarochirí, Lima, 15468, Perú, (Ruta4507nueva era 23-10-23)</t>
  </si>
  <si>
    <t>36 km/h</t>
  </si>
  <si>
    <t>Avenida Bernardino Rivadavia, Ate, Lima Metropolitana, Lima, 15498, Perú, (RUTA DESVIO TEM.  4507)</t>
  </si>
  <si>
    <t>22 km/h</t>
  </si>
  <si>
    <t>Avenida Iquitos, Lima, Lima Metropolitana, Lima, 15001, Perú, (Ruta4507nueva era 23-10-23)</t>
  </si>
  <si>
    <t>Jirón Junín, El Agustino, Lima Metropolitana, Lima, 15011, Perú</t>
  </si>
  <si>
    <t>59 km/h</t>
  </si>
  <si>
    <t>49 km/h</t>
  </si>
  <si>
    <t>66 km/h</t>
  </si>
  <si>
    <t>Ricardo Palma, Huarochirí, Lima, 15468, Perú, (Ruta4507nueva era 23-10-23)</t>
  </si>
  <si>
    <t>27 km/h</t>
  </si>
  <si>
    <t>Ricardo Palma, Huarochirí, Lima, 15468, Perú, (CURVA RICARDO PALMA, Ruta4507nueva era 23-10-23)</t>
  </si>
  <si>
    <t>Pasaje Gould, Lima, Lima Metropolitana, Lima, 15082, Perú</t>
  </si>
  <si>
    <t>Avenida Óscar Raimundo Benavides, Lima, Lima Metropolitana, Lima, 15082, Perú</t>
  </si>
  <si>
    <t>39 km/h</t>
  </si>
  <si>
    <t>Avenida Almirante Miguel Grau, 1356, Lima, Lima Metropolitana, Lima, 15011, Perú, (Ruta4507nueva era 23-10-23)</t>
  </si>
  <si>
    <t>58 km/h</t>
  </si>
  <si>
    <t>Vía Expresa Almirante Miguel Grau, Lima, Lima Metropolitana, Lima, 15011, Perú, (Ruta4507nueva era 23-10-23)</t>
  </si>
  <si>
    <t>Avenida Nicolás de Ayllón, La Victoria, Lima Metropolitana, Lima, 15019, Perú, (Ruta4507nueva era 23-10-23)</t>
  </si>
  <si>
    <t>Avenida México, 2354, La Victoria, Lima Metropolitana, Lima, 15019, Perú</t>
  </si>
  <si>
    <t>Avenida México, 2306, La Victoria, Lima Metropolitana, Lima, 15019, Perú</t>
  </si>
  <si>
    <t>Avenida México, 2267, La Victoria, Lima Metropolitana, Lima, 15019, Perú</t>
  </si>
  <si>
    <t>46 km/h</t>
  </si>
  <si>
    <t>61 km/h</t>
  </si>
  <si>
    <t>Avenida José Carlos Mariátegui, Ricardo Palma, Huarochirí, Lima, 15468, Perú, (Ruta4507nueva era 23-10-23)</t>
  </si>
  <si>
    <t>73 km/h</t>
  </si>
  <si>
    <t>Jirón Molino del Gato, Lima, Lima Metropolitana, Lima, 15082, Perú</t>
  </si>
  <si>
    <t>69 km/h</t>
  </si>
  <si>
    <t>26 km/h</t>
  </si>
  <si>
    <t>Carretera Central, Chaclacayo, Lima Metropolitana, Lima, 15474, Perú</t>
  </si>
  <si>
    <t>Carretera Central, Chaclacayo, Lima Metropolitana, Lima, 15474, Perú, (Ruta4507nueva era 23-10-23)</t>
  </si>
  <si>
    <t>29 km/h</t>
  </si>
  <si>
    <t>Avenida Nicolás de Ayllón, Santa Anita, Lima Metropolitana, Lima, 15008, Perú, (Ruta4507nueva era 23-10-23, RUTA DESVIO TEM.  4507)</t>
  </si>
  <si>
    <t>Avenida Nicolás de Ayllón, Santa Anita, Lima Metropolitana, Lima, 15008, Perú</t>
  </si>
  <si>
    <t>Avenida Santiago de Chuco, Santa Anita, Lima Metropolitana, Lima, 15008, Perú, (RUTA DESVIO TEM.  4507)</t>
  </si>
  <si>
    <t>41 km/h</t>
  </si>
  <si>
    <t>Avenida Huancaray, Santa Anita, Lima Metropolitana, Lima, 15007, Perú, (S04 AV. Metropolitana / Colectora Industrial, RUTA DESVIO TEM.  4507)</t>
  </si>
  <si>
    <t>Avenida Metropolitana, Ate, Lima Metropolitana, Lima, 15498, Perú, (RUTA DESVIO TEM.  4507)</t>
  </si>
  <si>
    <t>62 km/h</t>
  </si>
  <si>
    <t>Avenida Metropolitana, Ate, Lima Metropolitana, Lima, 15498, Perú</t>
  </si>
  <si>
    <t>Avenida Bernardino Rivadavia, F1, Ate, Lima Metropolitana, Lima, 15498, Perú</t>
  </si>
  <si>
    <t>51 km/h</t>
  </si>
  <si>
    <t>33 km/h</t>
  </si>
  <si>
    <t>67 km/h</t>
  </si>
  <si>
    <t>53 km/h</t>
  </si>
  <si>
    <t>Carretera Central, Lurigancho, Lima Metropolitana, Lima, 15483, Perú, (Ruta4507nueva era 23-10-23)</t>
  </si>
  <si>
    <t>Calle 3, Ate, Lima Metropolitana, Lima, 15487, Perú</t>
  </si>
  <si>
    <t>Avenida Gloria Grande, Ate, Lima Metropolitana, Lima, 15483, Perú</t>
  </si>
  <si>
    <t>Carretera Central, Lurigancho, Lima Metropolitana, Lima, 15483, Perú</t>
  </si>
  <si>
    <t>Avenida Jaime Zubieta Calderón, Ate, Lima Metropolitana, Lima, 15483, Perú</t>
  </si>
  <si>
    <t>Avenida Jaime Zubieta Calderon, Ate, Lima Metropolitana, Lima, 15483, Perú</t>
  </si>
  <si>
    <t>34 km/h</t>
  </si>
  <si>
    <t>Carretera Central, Ate, Lima Metropolitana, Lima, 15474, Perú, (Horacio Zeballos)</t>
  </si>
  <si>
    <t>Avenida José Carlos Mariátegui, Ate, Lima Metropolitana, Lima, 15474, Perú, (Horacio Zeballos)</t>
  </si>
  <si>
    <t>Carretera Central, Ate, Lima Metropolitana, Lima, 15474, Perú, (Horacio Zeballos, Ruta4507nueva era 23-10-23)</t>
  </si>
  <si>
    <t>Avenida Andrés Avelino Cáceres, Ate, Lima Metropolitana, Lima, 15474, Perú, (Ruta4507nueva era 23-10-23)</t>
  </si>
  <si>
    <t>47 km/h</t>
  </si>
  <si>
    <t>Carretera Central, Ate, Lima Metropolitana, Lima, 15474, Perú, (Ruta4507nueva era 23-10-23)</t>
  </si>
  <si>
    <t>Chaclacayo, Lima Metropolitana, Lima, 15474, Perú, (Ruta4507nueva era 23-10-23)</t>
  </si>
  <si>
    <t>Carretera Central, Chaclacayo, Lima Metropolitana, Lima, 15474, Perú, (S07ÑAÑA, Ruta4507nueva era 23-10-23)</t>
  </si>
  <si>
    <t>54 km/h</t>
  </si>
  <si>
    <t>35 km/h</t>
  </si>
  <si>
    <t>Carretera Central, Chaclacayo, Lima Metropolitana, Lima, 15464, Perú, (Ruta4507nueva era 23-10-23)</t>
  </si>
  <si>
    <t>Avenida Nicolás Ayllón, 432, Chaclacayo, Lima Metropolitana, Lima, 15472, Perú, (Ruta4507nueva era 23-10-23)</t>
  </si>
  <si>
    <t>42 km/h</t>
  </si>
  <si>
    <t>30 km/h</t>
  </si>
  <si>
    <t>Avenida Nicolás Ayllón, 477, Chaclacayo, Lima Metropolitana, Lima, 15472, Perú, (Ruta4507nueva era 23-10-23)</t>
  </si>
  <si>
    <t>Avenida Nicolás Ayllón, Chaclacayo, Lima Metropolitana, Lima, 15472, Perú, (Ruta4507nueva era 23-10-23)</t>
  </si>
  <si>
    <t>Avenida Nicolás Ayllón, Km. 24, Chaclacayo, Lima Metropolitana, Lima, 15472, Perú, (S08 CHACLACAYO/PARQUE, Ruta4507nueva era 23-10-23)</t>
  </si>
  <si>
    <t>Avenida Nicolás Ayllón, 900, Chaclacayo, Lima Metropolitana, Lima, 15472, Perú, (Ruta4507nueva era 23-10-23)</t>
  </si>
  <si>
    <t>Avenida Lima Sur, Chosica, Lima Metropolitana, Lima, 15468, Perú, (S09 CHOSICA/ PEDREGAL, Ruta4507nueva era 23-10-23)</t>
  </si>
  <si>
    <t>Jirón Chucuito, 187, Chosica, Lima Metropolitana, Lima, 15468, Perú, (Ruta4507nueva era 23-10-23)</t>
  </si>
  <si>
    <t>43 km/h</t>
  </si>
  <si>
    <t>Avenida Lima Sur, 765, Chosica, Lima Metropolitana, Lima, 15468, Perú, (Ruta4507nueva era 23-10-23)</t>
  </si>
  <si>
    <t>Avenida Lima Sur, Chosica, Lima Metropolitana, Lima, 15468, Perú, (Ruta4507nueva era 23-10-23)</t>
  </si>
  <si>
    <t>Avenida Lima Sur, 275, Chosica, Lima Metropolitana, Lima, 15468, Perú, (Ruta4507nueva era 23-10-23)</t>
  </si>
  <si>
    <t>Calle 20 de Enero, Santa Eulalia, Huarochirí, Lima, 15468, Perú, (Ruta4507nueva era 23-10-23)</t>
  </si>
  <si>
    <t>Jirón Los Próceres, Santa Eulalia, Huarochirí, Lima, 15468, Perú, (Ruta4507nueva era 23-10-23)</t>
  </si>
  <si>
    <t>Avenida Lima Norte, 474, Chosica, Lima Metropolitana, Lima, 15468, Perú, (Ruta4507nueva era 23-10-23)</t>
  </si>
  <si>
    <t>Chosica, Lima Metropolitana, Lima, 15468, Perú</t>
  </si>
  <si>
    <t>Avenida Lima Norte, 599, Chosica, Lima Metropolitana, Lima, 15468, Perú, (Ruta4507nueva era 23-10-23)</t>
  </si>
  <si>
    <t>Avenida Lima Norte, 178, Chosica, Lima Metropolitana, Lima, 15468, Perú, (Ruta4507nueva era 23-10-23)</t>
  </si>
  <si>
    <t>Jirón Trujillo Sur, 378, Chosica, Lima Metropolitana, Lima, 15468, Perú, (Ruta4507nueva era 23-10-23)</t>
  </si>
  <si>
    <t>Jirón Trujillo Sur, 496, Chosica, Lima Metropolitana, Lima, 15468, Perú, (Ruta4507nueva era 23-10-23)</t>
  </si>
  <si>
    <t>Jirón Tacna, 430, Chosica, Lima Metropolitana, Lima, 15468, Perú, (Ruta4507nueva era 23-10-23)</t>
  </si>
  <si>
    <t>Jirón Trujillo Sur, Chosica, Lima Metropolitana, Lima, 15468, Perú</t>
  </si>
  <si>
    <t>Jirón Iquitos, Chosica, Lima Metropolitana, Lima, 15468, Perú, (Ruta4507nueva era 23-10-23)</t>
  </si>
  <si>
    <t>Avenida Lima Sur, 824, Chosica, Lima Metropolitana, Lima, 15468, Perú, (Ruta4507nueva era 23-10-23)</t>
  </si>
  <si>
    <t>52 km/h</t>
  </si>
  <si>
    <t>Avenida Las Flores, Lurigancho, Lima Metropolitana, Lima, 15468, Perú, (Ruta4507nueva era 23-10-23)</t>
  </si>
  <si>
    <t>40 km/h</t>
  </si>
  <si>
    <t>45 km/h</t>
  </si>
  <si>
    <t>63 km/h</t>
  </si>
  <si>
    <t>48 km/h</t>
  </si>
  <si>
    <t>65 km/h</t>
  </si>
  <si>
    <t>38 km/h</t>
  </si>
  <si>
    <t>Carretera Central, Ate, Lima Metropolitana, Lima, 15483, Perú, (Ruta4507nueva era 23-10-23)</t>
  </si>
  <si>
    <t>Carretera Central, Ate, Lima Metropolitana, Lima, 15487, Perú, (S06 SANTA CLARA, Ruta4507nueva era 23-10-23)</t>
  </si>
  <si>
    <t>70 km/h</t>
  </si>
  <si>
    <t>Avenida Nicolás de Ayllón, 816-818, Ate, Lima Metropolitana, Lima, 15487, Perú, (Ruta4507nueva era 23-10-23)</t>
  </si>
  <si>
    <t>Avenida Nicolás de Ayllón, Ate, Lima Metropolitana, Lima, 15498, Perú, (Ruta4507nueva era 23-10-23, RUTA DESVIO TEM.  4507)</t>
  </si>
  <si>
    <t>Avenida Central, Ate, Lima Metropolitana, Lima, 15498, Perú, (Ruta4507nueva era 23-10-23)</t>
  </si>
  <si>
    <t>Avenida Nicolás de Ayllón, 5818, Ate, Lima Metropolitana, Lima, 15498, Perú, (Ruta4507nueva era 23-10-23)</t>
  </si>
  <si>
    <t>Victor Raul Haya de la Torre, Ate, Lima Metropolitana, Lima, 15498, Perú, (Ruta4507nueva era 23-10-23, RUTA DESVIO TEM.  4507)</t>
  </si>
  <si>
    <t>Victor Raul Haya de la Torre, Ate, Lima Metropolitana, Lima, 15498, Perú</t>
  </si>
  <si>
    <t>Victor Raul Haya de la Torre, Ate, Lima Metropolitana, Lima, 15498, Perú, (Ruta4507nueva era 23-10-23)</t>
  </si>
  <si>
    <t>Avenida Separadora Industrial, Ate, Lima Metropolitana, Lima, 15498, Perú, (Ruta4507nueva era 23-10-23)</t>
  </si>
  <si>
    <t>37 km/h</t>
  </si>
  <si>
    <t>Avenida Nicolás de Ayllón, Santa Anita, Lima Metropolitana, Lima, 15498, Perú, (Ruta4507nueva era 23-10-23)</t>
  </si>
  <si>
    <t>Avenida Nicolás de Ayllón, Santa Anita, Lima Metropolitana, Lima, 15009, Perú, (Ruta4507nueva era 23-10-23)</t>
  </si>
  <si>
    <t>Avenida Nicolás de Ayllón, 1308, Ate, Lima Metropolitana, Lima, 15009, Perú, (Ruta4507nueva era 23-10-23)</t>
  </si>
  <si>
    <t>Avenida Nicolás de Ayllón, Santa Anita, Lima Metropolitana, Lima, 15008, Perú, (Ruta4507nueva era 23-10-23)</t>
  </si>
  <si>
    <t>Avenida Nicolás de Ayllón, 111, Santa Anita, Lima Metropolitana, Lima, 15008, Perú, (Ruta4507nueva era 23-10-23)</t>
  </si>
  <si>
    <t>Avenida Nicolás de Ayllón, El Agustino, Lima Metropolitana, Lima, 15008, Perú, (Ruta4507nueva era 23-10-23, RUTA DESVIO TEM.  4507)</t>
  </si>
  <si>
    <t>Avenida Nicolás de Ayllón, El Agustino, Lima Metropolitana, Lima, 15008, Perú, (Ruta4507nueva era 23-10-23)</t>
  </si>
  <si>
    <t>Avenida Nicolás de Ayllón, 2941, El Agustino, Lima Metropolitana, Lima, 15002, Perú, (Ruta4507nueva era 23-10-23, RUTA DESVIO TEM.  4507)</t>
  </si>
  <si>
    <t>Avenida Nicolás de Ayllón, El Agustino, Lima Metropolitana, Lima, 15002, Perú, (Ruta4507nueva era 23-10-23, RUTA DESVIO TEM.  4507)</t>
  </si>
  <si>
    <t>Avenida Nicolás de Ayllón, Ate, Lima Metropolitana, Lima, 15022, Perú, (Ruta4507nueva era 23-10-23, RUTA DESVIO TEM.  4507)</t>
  </si>
  <si>
    <t>Avenida Andrés Avelino Cáceres, Ate, Lima Metropolitana, Lima, 15019, Perú</t>
  </si>
  <si>
    <t>Avenida 26 de Julio, Ate, Lima Metropolitana, Lima, 15019, Perú</t>
  </si>
  <si>
    <t>Calle Ollanta, Ate, Lima Metropolitana, Lima, 15019, Perú</t>
  </si>
  <si>
    <t>Calle Ollanta, San Luis, Lima Metropolitana, Lima, 15019, Perú</t>
  </si>
  <si>
    <t>Calle Angel Cepollini, San Luis, Lima Metropolitana, Lima, 15019, Perú</t>
  </si>
  <si>
    <t>Avenida Inca Garcilazo de la Vega, Lima, Lima Metropolitana, Lima, 15004, Perú</t>
  </si>
  <si>
    <t>Avenida José de la Riva Aguero, Lima, Lima Metropolitana, Lima, 15004, Perú</t>
  </si>
  <si>
    <t>Calle Andrés Avelino Cáceres, El Agustino, Lima Metropolitana, Lima, 15004, Perú</t>
  </si>
  <si>
    <t>Avenida Almirante Miguel Grau, 1832, Lima, Lima Metropolitana, Lima, 15011, Perú</t>
  </si>
  <si>
    <t>Avenida Almirante Miguel Grau, 1772, Lima, Lima Metropolitana, Lima, 15011, Perú</t>
  </si>
  <si>
    <t>Avenida Almirante Miguel Grau, 1715, Lima, Lima Metropolitana, Lima, 15011, Perú, (Ruta4507nueva era 23-10-23)</t>
  </si>
  <si>
    <t>Avenida Almirante Miguel Grau, 813, Lima, Lima Metropolitana, Lima, 15001, Perú, (Ruta4507nueva era 23-10-23)</t>
  </si>
  <si>
    <t>Avenida Almirante Miguel Grau, La Victoria, Lima Metropolitana, Lima, 15001, Perú, (Ruta4507nueva era 23-10-23)</t>
  </si>
  <si>
    <t>Avenida Paseo de la República, Lima, Lima Metropolitana, Lima, 15001, Perú</t>
  </si>
  <si>
    <t>Avenida Almirante Miguel Grau, 171, Lima, Lima Metropolitana, Lima, 15001, Perú, (Ruta4507nueva era 23-10-23)</t>
  </si>
  <si>
    <t>Avenida 28 de Julio, Lima, Lima Metropolitana, Lima, 15083, Perú</t>
  </si>
  <si>
    <t>Avenida 28 de Julio, 798, Lima, Lima Metropolitana, Lima, 15083, Perú</t>
  </si>
  <si>
    <t>Avenida 28 de Julio, 715, Jesús María, Lima Metropolitana, Lima, 15083, Perú</t>
  </si>
  <si>
    <t>Jirón Washington, Lima, Lima Metropolitana, Lima, 15083, Perú, (Ruta4507nueva era 23-10-23)</t>
  </si>
  <si>
    <t>Jirón Washington, 1509, Lima, Lima Metropolitana, Lima, 15083, Perú</t>
  </si>
  <si>
    <t>Jirón Washington, 1454, Lima, Lima Metropolitana, Lima, 15083, Perú</t>
  </si>
  <si>
    <t>Avenida Bolivia, Lima, Lima Metropolitana, Lima, 15083, Perú</t>
  </si>
  <si>
    <t>Jirón Washington, 1355, Lima, Lima Metropolitana, Lima, 15083, Perú</t>
  </si>
  <si>
    <t>Jirón Washington, 991, Lima, Lima Metropolitana, Lima, 15001, Perú</t>
  </si>
  <si>
    <t>Jirón Sánchez Pinillos, Breña, Lima Metropolitana, Lima, 15082, Perú</t>
  </si>
  <si>
    <t>Jirón Sánchez Pinillos, Breña, Lima Metropolitana, Lima, 15082, Perú, (Ruta4507nueva era 23-10-23)</t>
  </si>
  <si>
    <t>Jirón Cornelio Borda, Lima, Lima Metropolitana, Lima, 15082, Perú</t>
  </si>
  <si>
    <t>Jirón Huarochirí, 643, Lima, Lima Metropolitana, Lima, 15082, Perú</t>
  </si>
  <si>
    <t>Ciclovía Colonial, Lima, Lima Metropolitana, Lima, 15082, Perú, (Ruta4507nueva era 23-10-23)</t>
  </si>
  <si>
    <t>Avenida Óscar Raimundo Benavides, 150, Lima, Lima Metropolitana, Lima, 15082, Perú</t>
  </si>
  <si>
    <t>Avenida Óscar Raimundo Benavides, 150, Lima, Lima Metropolitana, Lima, 15082, Perú, (Ruta4507nueva era 23-10-23)</t>
  </si>
  <si>
    <t>Ciclovía Colonial, Lima, Lima Metropolitana, Lima, 15082, Perú</t>
  </si>
  <si>
    <t>Avenida Alfonso Ugarte, Lima, Lima Metropolitana, Lima, 15082, Perú, (Ruta4507nueva era 23-10-23)</t>
  </si>
  <si>
    <t>Avenida Alfonso Ugarte, 825, Lima, Lima Metropolitana, Lima, 15082, Perú, (Ruta4507nueva era 23-10-23)</t>
  </si>
  <si>
    <t>Avenida Alfonso Ugarte, 1006, Lima, Lima Metropolitana, Lima, 15082, Perú, (Ruta4507nueva era 23-10-23)</t>
  </si>
  <si>
    <t>Avenida Alfonso Ugarte, Breña, Lima Metropolitana, Lima, 15082, Perú, (S01Alfonso Ugarte/ Metro, Ruta4507nueva era 23-10-23)</t>
  </si>
  <si>
    <t>Avenida Alfonso Ugarte, 494, Breña, Lima Metropolitana, Lima, 15083, Perú, (Ruta4507nueva era 23-10-23)</t>
  </si>
  <si>
    <t>Jirón Gregorio Paredes, Lima, Lima Metropolitana, Lima, 15083, Perú</t>
  </si>
  <si>
    <t>Avenida Guzmán Blanco, 291, Lima, Lima Metropolitana, Lima, 15083, Perú</t>
  </si>
  <si>
    <t>Avenida Guzmán Blanco, 391, Lima, Lima Metropolitana, Lima, 15046, Perú</t>
  </si>
  <si>
    <t>Lima, Lima Metropolitana, Lima, 15083, Perú</t>
  </si>
  <si>
    <t>Avenida Guzmán Blanco, 445, Lima, Lima Metropolitana, Lima, 15083, Perú</t>
  </si>
  <si>
    <t>Avenida 28 de Julio, Jesús María, Lima Metropolitana, Lima, 15083, Perú</t>
  </si>
  <si>
    <t>Avenida República de Chile, Jesús María, Lima Metropolitana, Lima, 15083, Perú</t>
  </si>
  <si>
    <t>Avenida Garcilazo de la Vega, Lima, Lima Metropolitana, Lima, 15083, Perú</t>
  </si>
  <si>
    <t>Avenida Petit Thouars, 115, Lima, Lima Metropolitana, Lima, 15083, Perú</t>
  </si>
  <si>
    <t>Avenida 28 de Julio, 970, Jesús María, Lima Metropolitana, Lima, 15083, Perú</t>
  </si>
  <si>
    <t>Avenida 28 de Julio, 1056, Jesús María, Lima Metropolitana, Lima, 15083, Perú</t>
  </si>
  <si>
    <t>Avenida Paseo de la República, Lima, Lima Metropolitana, Lima, 15083, Perú</t>
  </si>
  <si>
    <t>Vía Expresa Almirante Miguel Grau, La Victoria, Lima Metropolitana, Lima, 15001, Perú, (S02 AV.GRAU/ JR ANDAHUAYLAS, Ruta4507nueva era 23-10-23)</t>
  </si>
  <si>
    <t>Vía Expresa Almirante Miguel Grau, La Victoria, Lima Metropolitana, Lima, 15011, Perú, (Ruta4507nueva era 23-10-23)</t>
  </si>
  <si>
    <t>Avenida Almirante Miguel Grau, La Victoria, Lima Metropolitana, Lima, 15011, Perú, (Ruta4507nueva era 23-10-23)</t>
  </si>
  <si>
    <t>Avenida Almirante Miguel Grau, Lima, Lima Metropolitana, Lima, 15011, Perú, (Ruta4507nueva era 23-10-23)</t>
  </si>
  <si>
    <t>Prolongación Avenida San Pablo, Lima, Lima Metropolitana, Lima, 15011, Perú</t>
  </si>
  <si>
    <t>Prolongación Avenida San Pablo, Lima, Lima Metropolitana, Lima, 15011, Perú, (Ruta4507nueva era 23-10-23)</t>
  </si>
  <si>
    <t>Avenida Nicolás Ayllón, Lima, Lima Metropolitana, Lima, 15011, Perú, (Ruta4507nueva era 23-10-23)</t>
  </si>
  <si>
    <t>Avenida Nicolás de Ayllón, Lima, Lima Metropolitana, Lima, 15011, Perú, (Ruta4507nueva era 23-10-23)</t>
  </si>
  <si>
    <t>Avenida Inca Garcilazo de la Vega, El Agustino, Lima Metropolitana, Lima, 15004, Perú, (Ruta4507nueva era 23-10-23)</t>
  </si>
  <si>
    <t>Avenida Nicolás de Ayllón, Lima, Lima Metropolitana, Lima, 15004, Perú, (Ruta4507nueva era 23-10-23)</t>
  </si>
  <si>
    <t>Avenida Circunvalación, La Victoria, Lima Metropolitana, Lima, 15019, Perú</t>
  </si>
  <si>
    <t>Avenida Nicolás Arriola, San Luis, Lima Metropolitana, Lima, 15019, Perú</t>
  </si>
  <si>
    <t>Auxiliar Avenida Nicolás Arriola, San Luis, Lima Metropolitana, Lima, 15019, Perú</t>
  </si>
  <si>
    <t>Avenida Nicolás Arriola, 2976, San Luis, Lima Metropolitana, Lima, 15019, Perú</t>
  </si>
  <si>
    <t>Auxiliar Avenida Nicolás Arriola, San Luis, Lima Metropolitana, Lima, 15019, Perú, (RUTA DESVIO TEM.  4507)</t>
  </si>
  <si>
    <t>Avenida Nicolás Arriola, 2976, San Luis, Lima Metropolitana, Lima, 15019, Perú, (RUTA DESVIO TEM.  4507)</t>
  </si>
  <si>
    <t>Avenida Nicolás Arriola, San Luis, Lima Metropolitana, Lima, 15019, Perú, (RUTA DESVIO TEM.  4507)</t>
  </si>
  <si>
    <t>Avenida Santa Ana, Ate, Lima Metropolitana, Lima, 15022, Perú, (Ruta4507nueva era 23-10-23, RUTA DESVIO TEM.  4507)</t>
  </si>
  <si>
    <t>Calle Santa Luisa, 2142, Ate, Lima Metropolitana, Lima, 15002, Perú, (Ruta4507nueva era 23-10-23, RUTA DESVIO TEM.  4507)</t>
  </si>
  <si>
    <t>Avenida Minería, Santa Anita, Lima Metropolitana, Lima, 15008, Perú</t>
  </si>
  <si>
    <t>Avenida La Molina, Ate, Lima Metropolitana, Lima, 15008, Perú, (Ruta4507nueva era 23-10-23)</t>
  </si>
  <si>
    <t>Avenida Nicolás de Ayllón, Ate, Lima Metropolitana, Lima, 15009, Perú, (Ruta4507nueva era 23-10-23)</t>
  </si>
  <si>
    <t>Avenida Nicolás de Ayllón, Km. 3.5, Santa Anita, Lima Metropolitana, Lima, 00051, Perú, (Ruta4507nueva era 23-10-23)</t>
  </si>
  <si>
    <t>Avenida Nicolás de Ayllón, Santa Anita, Lima Metropolitana, Lima, 00051, Perú, (Ruta4507nueva era 23-10-23)</t>
  </si>
  <si>
    <t>Víctor Raúl Haya de la Torre, Ate, Lima Metropolitana, Lima, 15498, Perú, (Ruta4507nueva era 23-10-23)</t>
  </si>
  <si>
    <t>Víctor Raúl Haya de la Torre, Ate, Lima Metropolitana, Lima, 15498, Perú</t>
  </si>
  <si>
    <t>Marcos Puente Llanos, Ate, Lima Metropolitana, Lima, 15498, Perú, (RUTA DESVIO TEM.  4507)</t>
  </si>
  <si>
    <t>Avenida Nicolás de Ayllón, Ate, Lima Metropolitana, Lima, 15498, Perú</t>
  </si>
  <si>
    <t>Avenida Nicolás de Ayllón, Ate, Lima Metropolitana, Lima, 15498, Perú, (S05Vitarte/ ALT. Hospital, Ruta4507nueva era 23-10-23)</t>
  </si>
  <si>
    <t>Ate, Lima Metropolitana, Lima, 15498, Perú, (Ruta4507nueva era 23-10-23)</t>
  </si>
  <si>
    <t>Avenida Nicolás de Ayllón, 6376, Ate, Lima Metropolitana, Lima, 15498, Perú, (Ruta4507nueva era 23-10-23, RUTA DESVIO TEM.  4507)</t>
  </si>
  <si>
    <t>Avenida Nicolás de Ayllón, 6376, Ate, Lima Metropolitana, Lima, 15498, Perú, (Ruta4507nueva era 23-10-23)</t>
  </si>
  <si>
    <t>Avenida Nicolás de Ayllón, 836, Ate, Lima Metropolitana, Lima, 15487, Perú, (Ruta4507nueva era 23-10-23)</t>
  </si>
  <si>
    <t>Avenida Nicolás de Ayllón, Ate, Lima Metropolitana, Lima, 15487, Perú</t>
  </si>
  <si>
    <t>Carretera Central, Chaclacayo, Lima Metropolitana, Lima, 15464, Perú</t>
  </si>
  <si>
    <t>Avenida Nicolás Ayllón, 161 C, Chaclacayo, Lima Metropolitana, Lima, 15464, Perú, (Ruta4507nueva era 23-10-23)</t>
  </si>
  <si>
    <t>Avenida Las Flores, Lurigancho, Lima Metropolitana, Lima, 15472, Perú, (Ruta4507nueva era 23-10-23)</t>
  </si>
  <si>
    <t>Avenida Lima Sur, 1471, Chosica, Lima Metropolitana, Lima, 15468, Perú, (Ruta4507nueva era 23-10-23)</t>
  </si>
  <si>
    <t>Avenida Lima Sur, 465, Chosica, Lima Metropolitana, Lima, 15468, Perú, (Ruta4507nueva era 23-10-23)</t>
  </si>
  <si>
    <t>Avenida Lima Sur, 465, Chosica, Lima Metropolitana, Lima, 15468, Perú</t>
  </si>
  <si>
    <t>Avenida Lima Norte, 180, Chosica, Lima Metropolitana, Lima, 15468, Perú, (Ruta4507nueva era 23-10-23)</t>
  </si>
  <si>
    <t>Avenida Lima Norte, 574, Santa Eulalia, Lima Metropolitana, Lima, 15468, Perú, (Ruta4507nueva era 23-10-23)</t>
  </si>
  <si>
    <t>Simón Bolívar, Ricardo Palma, Huarochirí, Lima, 15468, Perú, (Ruta4507nueva era 23-10-23)</t>
  </si>
  <si>
    <t>Simón Bolívar, Ricardo Palma, Huarochirí, Lima, 15468, Perú</t>
  </si>
  <si>
    <t>Avenida José Carlos Mariátegui, Ricardo Palma, Huarochirí, Lima, 15468, Perú, (CURVA RICARDO PALMA, Ruta4507nueva era 23-10-23)</t>
  </si>
  <si>
    <t>Avenida Lima Norte, Santa Eulalia, Huarochirí, Lima, 15468, Perú, (Ruta4507nueva era 23-10-23)</t>
  </si>
  <si>
    <t>Avenida Lima Norte, Santa Eulalia, Lima Metropolitana, Lima, 15468, Perú, (Ruta4507nueva era 23-10-23)</t>
  </si>
  <si>
    <t>Avenida Lima Norte, 246, Chosica, Lima Metropolitana, Lima, 15468, Perú, (Ruta4507nueva era 23-10-23)</t>
  </si>
  <si>
    <t>Jirón Trujillo Sur, Chosica, Lima Metropolitana, Lima, 15468, Perú, (Ruta4507nueva era 23-10-23)</t>
  </si>
  <si>
    <t>Jirón Tacna, Chosica, Lima Metropolitana, Lima, 15468, Perú, (Ruta4507nueva era 23-10-23)</t>
  </si>
  <si>
    <t>Jirón Tacna, Chosica, Lima Metropolitana, Lima, 15468, Perú</t>
  </si>
  <si>
    <t>Avenida Las Flores, Chosica, Lima Metropolitana, Lima, 15468, Perú, (Ruta4507nueva era 23-10-23)</t>
  </si>
  <si>
    <t>Calle Los Geranios, Chosica, Lima Metropolitana, Lima, 15468, Perú, (Ruta4507nueva era 23-10-23)</t>
  </si>
  <si>
    <t>Ate, Lima Metropolitana, Lima, 15474, Perú, (Ruta4507nueva era 23-10-23)</t>
  </si>
  <si>
    <t>Avenida Central, Ate, Lima Metropolitana, Lima, 15498, Perú, (Ruta4507nueva era 23-10-23, RUTA DESVIO TEM.  4507)</t>
  </si>
  <si>
    <t>Avenida Nicolás de Ayllón, 500, Ate, Lima Metropolitana, Lima, 15498, Perú, (Ruta4507nueva era 23-10-23)</t>
  </si>
  <si>
    <t>Avenida José Carlos Mariátegui, Ate, Lima Metropolitana, Lima, 15498, Perú, (S05Vitarte/ ALT. Hospital, Ruta4507nueva era 23-10-23)</t>
  </si>
  <si>
    <t>Avenida Huancaray, Santa Anita, Lima Metropolitana, Lima, 15009, Perú, (RUTA DESVIO TEM.  4507)</t>
  </si>
  <si>
    <t>Avenida Huancaray, Santa Anita, Lima Metropolitana, Lima, 15009, Perú, (S04 AV. Metropolitana / Colectora Industrial, RUTA DESVIO TEM.  4507)</t>
  </si>
  <si>
    <t>Avenida Los Eucaliptos, Santa Anita, Lima Metropolitana, Lima, 15008, Perú, (RUTA DESVIO TEM.  4507)</t>
  </si>
  <si>
    <t>Avenida Francisco Bolognesi, Santa Anita, Lima Metropolitana, Lima, 15008, Perú, (RUTA DESVIO TEM.  4507)</t>
  </si>
  <si>
    <t>Avenida 7 de Junio, Santa Anita, Lima Metropolitana, Lima, 15008, Perú, (RUTA DESVIO TEM.  4507)</t>
  </si>
  <si>
    <t>Avenida Minería, 385, Santa Anita, Lima Metropolitana, Lima, 15008, Perú, (RUTA DESVIO TEM.  4507)</t>
  </si>
  <si>
    <t>Avenida Minería, Santa Anita, Lima Metropolitana, Lima, 15008, Perú, (RUTA DESVIO TEM.  4507)</t>
  </si>
  <si>
    <t>Avenida Nicolás de Ayllón, Santa Anita, Lima Metropolitana, Lima, 15008, Perú, (RUTA DESVIO TEM.  4507)</t>
  </si>
  <si>
    <t>Avenida Nicolás de Ayllón, 2691, El Agustino, Lima Metropolitana, Lima, 15002, Perú, (Ruta4507nueva era 23-10-23, RUTA DESVIO TEM.  4507)</t>
  </si>
  <si>
    <t>Avenida Nicolás de Ayllón, 2691, El Agustino, Lima Metropolitana, Lima, 15002, Perú, (Ruta4507nueva era 23-10-23)</t>
  </si>
  <si>
    <t>Pasaje Tahuantinsuyo, San Luis, Lima Metropolitana, Lima, 15019, Perú</t>
  </si>
  <si>
    <t>Inca Garcilaso de la Vega, Lima, Lima Metropolitana, Lima, 15019, Perú</t>
  </si>
  <si>
    <t>Avenida Inca Garcilazo de la Vega, El Agustino, Lima Metropolitana, Lima, 15004, Perú</t>
  </si>
  <si>
    <t>Avenida José de la Riva Aguero, El Agustino, Lima Metropolitana, Lima, 15004, Perú</t>
  </si>
  <si>
    <t>Calle El Pino, El Agustino, Lima Metropolitana, Lima, 15004, Perú</t>
  </si>
  <si>
    <t>Avenida Nicolás Ayllón, 137, Lima, Lima Metropolitana, Lima, 15011, Perú, (Ruta4507nueva era 23-10-23)</t>
  </si>
  <si>
    <t>Avenida Almirante Miguel Grau, Lima, Lima Metropolitana, Lima, 15011, Perú</t>
  </si>
  <si>
    <t>Avenida Almirante Miguel Grau, 1294, Lima, Lima Metropolitana, Lima, 15011, Perú, (Ruta4507nueva era 23-10-23)</t>
  </si>
  <si>
    <t>Avenida Almirante Miguel Grau, 1299, Lima, Lima Metropolitana, Lima, 15011, Perú, (Ruta4507nueva era 23-10-23)</t>
  </si>
  <si>
    <t>Avenida Almirante Miguel Grau, 848, Lima, Lima Metropolitana, Lima, 15001, Perú, (Ruta4507nueva era 23-10-23)</t>
  </si>
  <si>
    <t>Vía Expresa Almirante Miguel Grau, La Victoria, Lima Metropolitana, Lima, 15001, Perú, (Ruta4507nueva era 23-10-23)</t>
  </si>
  <si>
    <t>Avenida Abancay, Lima, Lima Metropolitana, Lima, 15001, Perú, (Ruta4507nueva era 23-10-23)</t>
  </si>
  <si>
    <t>Jirón Manuel Cuadros, 493, Lima, Lima Metropolitana, Lima, 15001, Perú</t>
  </si>
  <si>
    <t>Avenida Almirante Miguel Grau, 149, Lima, Lima Metropolitana, Lima, 15001, Perú</t>
  </si>
  <si>
    <t>Avenida Almirante Miguel Grau, 149, Lima, Lima Metropolitana, Lima, 15001, Perú, (Ruta4507nueva era 23-10-23)</t>
  </si>
  <si>
    <t>Avenida Paseo de la República, Lima, Lima Metropolitana, Lima, 15083, Perú, (Ruta4507nueva era 23-10-23)</t>
  </si>
  <si>
    <t>Avenida 9 de Diciembre, Lima, Lima Metropolitana, Lima, 15083, Perú, (Ruta4507nueva era 23-10-23)</t>
  </si>
  <si>
    <t>Avenida Lucanas, 599, Lima, Lima Metropolitana, Lima, 15011, Perú, (Ruta4507nueva era 23-10-23)</t>
  </si>
  <si>
    <t>Auxiliar Avenida Circunvalación, La Victoria, Lima Metropolitana, Lima, 15019, Perú</t>
  </si>
  <si>
    <t>Avenida Nicolás de Ayllón, San Luis, Lima Metropolitana, Lima, 15022, Perú, (Ruta4507nueva era 23-10-23, RUTA DESVIO TEM.  4507)</t>
  </si>
  <si>
    <t>Avenida De Las Torres, San Luis, Lima Metropolitana, Lima, 15022, Perú, (Ruta4507nueva era 23-10-23, RUTA DESVIO TEM.  4507)</t>
  </si>
  <si>
    <t>Avenida Nicolás de Ayllón, Ate, Lima Metropolitana, Lima, 15002, Perú, (Ruta4507nueva era 23-10-23)</t>
  </si>
  <si>
    <t>Avenida Nicolás de Ayllón, Ate, Lima Metropolitana, Lima, 15002, Perú</t>
  </si>
  <si>
    <t>Avenida Nicolás de Ayllón, Ate, Lima Metropolitana, Lima, 15008, Perú, (Ruta4507nueva era 23-10-23, RUTA DESVIO TEM.  4507)</t>
  </si>
  <si>
    <t>Avenida Nicolás de Ayllón, 2950, Ate, Lima Metropolitana, Lima, 15008, Perú, (Ruta4507nueva era 23-10-23)</t>
  </si>
  <si>
    <t>Prolongación Javier Prado Este, Ate, Lima Metropolitana, Lima, 15498, Perú, (Ruta4507nueva era 23-10-23, RUTA DESVIO TEM.  4507)</t>
  </si>
  <si>
    <t>Carretera Central, 1030, Ate, Lima Metropolitana, Lima, 15487, Perú, (Ruta4507nueva era 23-10-23)</t>
  </si>
  <si>
    <t>Avenida Jaime Zubieta Calderón, Ate, Lima Metropolitana, Lima, 15483, Perú, (Ruta4507nueva era 23-10-23)</t>
  </si>
  <si>
    <t>Avenida Jaime Zubieta Calderon, Ate, Lima Metropolitana, Lima, 15483, Perú, (Ruta4507nueva era 23-10-23)</t>
  </si>
  <si>
    <t>Jose Carlos Mariátegui, Chosica, Lima Metropolitana, Lima, 15468, Perú, (PARADERO RICARDO PALMA)</t>
  </si>
  <si>
    <t>Avenida Almirante Miguel Grau, 243, Lima, Lima Metropolitana, Lima, 15001, Perú, (Ruta4507nueva era 23-10-23)</t>
  </si>
  <si>
    <t>Pasaje Gould, Lima, Lima Metropolitana, Lima, 15082, Perú, (PARADERO DESTINO ASCOPE)</t>
  </si>
  <si>
    <t>Avenida Almirante Miguel Grau, 179, Lima, Lima Metropolitana, Lima, 15001, Perú, (Ruta4507nueva era 23-10-23)</t>
  </si>
  <si>
    <t>Abraham Valdelomar, Ricardo Palma, Huarochirí, Lima, 15468, Perú</t>
  </si>
  <si>
    <t>81 km/h</t>
  </si>
  <si>
    <t>Calle Junín, Ate, Lima Metropolitana, Lima, 15487, Perú</t>
  </si>
  <si>
    <t>Avenida Separadora Industrial, Santa Anita, Lima Metropolitana, Lima, 15498, Perú</t>
  </si>
  <si>
    <t>Jirón Sánchez Pinillos, 189, Lima, Lima Metropolitana, Lima, 15082, Perú, (Ruta4507nueva era 23-10-23)</t>
  </si>
  <si>
    <t>Ricardo Palma, Huarochirí, Lima, 15468, Perú</t>
  </si>
  <si>
    <t>Avenida Almirante Miguel Grau, 1804, Lima, Lima Metropolitana, Lima, 15011, Perú</t>
  </si>
  <si>
    <t>Avenida Sebastián Lorente, 1162, Lima, Lima Metropolitana, Lima, 15011, Perú</t>
  </si>
  <si>
    <t>Avenida Los Incas, 205, Ate, Lima Metropolitana, Lima, 15483, Perú</t>
  </si>
  <si>
    <t>Avenida Andrés Avelino Cáceres, Ate, Lima Metropolitana, Lima, 15483, Perú</t>
  </si>
  <si>
    <t>Jirón Cornelio Borda, Breña, Lima Metropolitana, Lima, 15082, Perú</t>
  </si>
  <si>
    <t>Jirón Cornelio Borda, Breña, Lima Metropolitana, Lima, 15082, Perú, (Ruta4507nueva era 23-10-23)</t>
  </si>
  <si>
    <t>Avenida Nicolás Ayllón, Chaclacayo, Lima Metropolitana, Lima, 15472, Perú</t>
  </si>
  <si>
    <t>Calle Alhelíes, Chaclacayo, Lima Metropolitana, Lima, 15476, Perú</t>
  </si>
  <si>
    <t>Jirón Los Próceres, Santa Eulalia, Huarochirí, Lima, 15468, Perú</t>
  </si>
  <si>
    <t>Calle Salaverry, 280, Chosica, Lima Metropolitana, Lima, 15468, Perú, (Ruta4507nueva era 23-10-23)</t>
  </si>
  <si>
    <t>Avenida Colectora, Frnt. O1_5, Ate, Lima Metropolitana, Lima, 15483, Perú</t>
  </si>
  <si>
    <t>Avenida Santa Rosa, El Agustino, Lima Metropolitana, Lima, 15002, Perú, (Ruta4507nueva era 23-10-23, RUTA DESVIO TEM.  4507)</t>
  </si>
  <si>
    <t>Jirón Huarochirí, Lima, Lima Metropolitana, Lima, 15082, Perú</t>
  </si>
  <si>
    <t>Avenida República de Venezuela, Breña, Lima Metropolitana, Lima, 15082, Perú</t>
  </si>
  <si>
    <t>Calle Los Pinos, San Miguel, Lima Metropolitana, Lima, 15032, Perú</t>
  </si>
  <si>
    <t>Carretera Central, Ricardo Palma, Huarochirí, Lima, 15468, Perú</t>
  </si>
  <si>
    <t>Avenida Malecón Manco Cápac, Chaclacayo, Lima Metropolitana, Lima, 15472, Perú, (Ruta4507nueva era 23-10-23)</t>
  </si>
  <si>
    <t>Avenida Óscar Raimundo Benavides, 153, Lima, Lima Metropolitana, Lima, 15082, Perú</t>
  </si>
  <si>
    <t>Avenida Lima Norte, Santa Eulalia, Huarochirí, Lima, 15468, Perú</t>
  </si>
  <si>
    <t>Avenida 15 de Julio, Ate, Lima Metropolitana, Lima, 15483, Perú</t>
  </si>
  <si>
    <t>Avenida Almirante Miguel Grau, 171, Lima, Lima Metropolitana, Lima, 15001, Perú</t>
  </si>
  <si>
    <t>Avenida San Martín, Santa Eulalia, Huarochirí, Lima, 15468, Perú</t>
  </si>
  <si>
    <t>Calle Mariano Melgar, Chosica, Lima Metropolitana, Lima, 15468, Perú</t>
  </si>
  <si>
    <t>Avenida Pedro Ruiz Gallo, Ate, Lima Metropolitana, Lima, 15487, Perú</t>
  </si>
  <si>
    <t>Naplo, Lima Metropolitana, Lima, 15866, Perú</t>
  </si>
  <si>
    <t>Alexander Von Humboldt, Naplo, Lima Metropolitana, Lima, 15866, Perú</t>
  </si>
  <si>
    <t>Calle Cesar Vallejo, Ricardo Palma, Huarochirí, Lima, 15468, Perú</t>
  </si>
  <si>
    <t>Calle 20 de Enero, Santa Eulalia, Huarochirí, Lima, 15468, Perú</t>
  </si>
  <si>
    <t>Avenida Alexander Fleming, Ate, Lima Metropolitana, Lima, 15002, Perú</t>
  </si>
  <si>
    <t>Lima, Lima Metropolitana, Lima, 15082, Perú</t>
  </si>
  <si>
    <t>Alameda E, Chaclacayo, Lima Metropolitana, Lima, 15476, Perú</t>
  </si>
  <si>
    <t>Chaclacayo, Lima Metropolitana, Lima, 15476, Perú</t>
  </si>
  <si>
    <t>Jirón Coronel Miguel Baquero, 190, Lima, Lima Metropolitana, Lima, 15082, Perú</t>
  </si>
  <si>
    <t>Jirón Sánchez Pinillos, Lima, Lima Metropolitana, Lima, 15082, Perú</t>
  </si>
  <si>
    <t>Carretera Central, Lurigancho, Lima Metropolitana, Lima, 15472, Perú, (Ruta4507nueva era 23-10-23)</t>
  </si>
  <si>
    <t>Calle 8, Ate, Lima Metropolitana, Lima, 15483, Perú</t>
  </si>
  <si>
    <t>-96937 km/h</t>
  </si>
  <si>
    <t>107 km/h</t>
  </si>
  <si>
    <t>Vía de Evitamiento, Ate, Lima Metropolitana, Lima, 15008, Perú, (Ruta4507nueva era 23-10-23, RUTA DESVIO TEM.  4507)</t>
  </si>
  <si>
    <t>Avenida Los Cipreses, Santa Anita, Lima Metropolitana, Lima, 15008, Perú, (RUTA DESVIO TEM.  4507)</t>
  </si>
  <si>
    <t>Objeto 1</t>
  </si>
  <si>
    <t>Objeto 2</t>
  </si>
  <si>
    <t>Objeto 3</t>
  </si>
  <si>
    <t>Objeto 4</t>
  </si>
  <si>
    <t>Objeto 5</t>
  </si>
  <si>
    <t>Objeto 6</t>
  </si>
  <si>
    <t>Objeto 7</t>
  </si>
  <si>
    <t>Objeto 8</t>
  </si>
  <si>
    <t>Objeto 9</t>
  </si>
  <si>
    <t>Objeto 10</t>
  </si>
  <si>
    <t>Objeto 11</t>
  </si>
  <si>
    <t>Objeto 12</t>
  </si>
  <si>
    <t>Objeto 13</t>
  </si>
  <si>
    <t>Objeto 14</t>
  </si>
  <si>
    <t>Objeto 15</t>
  </si>
  <si>
    <t>Objeto 16</t>
  </si>
  <si>
    <t>Objeto 17</t>
  </si>
  <si>
    <t>Objeto 18</t>
  </si>
  <si>
    <t>Objeto 19</t>
  </si>
  <si>
    <t>Objeto 20</t>
  </si>
  <si>
    <t>Objeto 21</t>
  </si>
  <si>
    <t>Objeto 22</t>
  </si>
  <si>
    <t>Objeto 23</t>
  </si>
  <si>
    <t>Objeto 24</t>
  </si>
  <si>
    <t>Objeto 25</t>
  </si>
  <si>
    <t>Objeto 26</t>
  </si>
  <si>
    <t>Objeto 27</t>
  </si>
  <si>
    <t>Objeto 28</t>
  </si>
  <si>
    <t>Objeto 29</t>
  </si>
  <si>
    <t>Objeto 30</t>
  </si>
  <si>
    <t>Objeto 31</t>
  </si>
  <si>
    <t>Objeto 32</t>
  </si>
  <si>
    <t>Objeto 33</t>
  </si>
  <si>
    <t>Objeto 34</t>
  </si>
  <si>
    <t>Objeto 35</t>
  </si>
  <si>
    <t>Objeto 36</t>
  </si>
  <si>
    <t>Objeto 37</t>
  </si>
  <si>
    <t>Objeto 38</t>
  </si>
  <si>
    <t>Objeto 39</t>
  </si>
  <si>
    <t>Objeto 40</t>
  </si>
  <si>
    <t>Objeto 41</t>
  </si>
  <si>
    <t>Objeto 42</t>
  </si>
  <si>
    <t>Objeto 43</t>
  </si>
  <si>
    <t>Objeto 44</t>
  </si>
  <si>
    <t>Objeto 45</t>
  </si>
  <si>
    <t>Objeto 46</t>
  </si>
  <si>
    <t>Objeto 47</t>
  </si>
  <si>
    <t>Objeto 48</t>
  </si>
  <si>
    <t>Objeto 49</t>
  </si>
  <si>
    <t>Objeto 50</t>
  </si>
  <si>
    <t>Objeto 51</t>
  </si>
  <si>
    <t>Objeto 52</t>
  </si>
  <si>
    <t>Objeto 53</t>
  </si>
  <si>
    <t>Objeto 54</t>
  </si>
  <si>
    <t>Objeto 55</t>
  </si>
  <si>
    <t>Objeto 56</t>
  </si>
  <si>
    <t>Objeto 57</t>
  </si>
  <si>
    <t>Objeto 58</t>
  </si>
  <si>
    <t>Objeto 59</t>
  </si>
  <si>
    <t>Objeto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</si>
</sst>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:mm:ss"/>
    <numFmt numFmtId="165" formatCode="&quot;&quot;#,##0.0##&quot; km&quot;"/>
  </numFmts>
  <fonts count="5" x14ac:knownFonts="1">
    <font>
      <sz val="11"/>
      <color theme="1"/>
      <name val="Calibri"/>
      <family val="2"/>
      <scheme val="minor"/>
    </font>
    <font>
      <b/>
      <sz val="18"/>
      <name val="Calibri"/>
    </font>
    <font>
      <b/>
      <sz val="11"/>
      <name val="Calibri"/>
    </font>
    <font>
      <i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darkTrellis">
        <f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wrapText="1"/>
    </xf>
    <xf numFmtId="164" fontId="0" fillId="0" borderId="0" xfId="0" applyNumberFormat="1"/>
    <xf numFmtId="165" fontId="0" fillId="0" borderId="0" xfId="0" applyNumberFormat="1"/>
    <xf numFmtId="46" fontId="0" fillId="0" borderId="0" xfId="0" applyNumberFormat="1"/>
    <xf numFmtId="0" fontId="0" fillId="2" borderId="2" xfId="0" applyFill="1" applyBorder="1"/>
    <xf numFmtId="165" fontId="0" fillId="2" borderId="2" xfId="0" applyNumberFormat="1" applyFill="1" applyBorder="1"/>
    <xf numFmtId="46" fontId="0" fillId="2" borderId="2" xfId="0" applyNumberFormat="1" applyFill="1" applyBorder="1"/>
    <xf numFmtId="0" fontId="3" fillId="0" borderId="0" xfId="0" applyFont="1"/>
    <xf numFmtId="0" fontId="4" fillId="0" borderId="0" xfId="0" applyFont="1"/>
    <xf numFmtId="0" fontId="1" fillId="0" borderId="0" xfId="0" applyFont="1"/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M1300"/>
  <sheetViews>
    <sheetView tabSelected="1" workbookViewId="0">
      <selection sqref="A1:J1"/>
    </sheetView>
  </sheetViews>
  <sheetFormatPr baseColWidth="10" defaultColWidth="9.140625" defaultRowHeight="15" x14ac:dyDescent="0.25"/>
  <cols>
    <col min="1" max="30" width="19" customWidth="1"/>
  </cols>
  <sheetData>
    <row r="1" spans="1:13" ht="24" customHeight="1" x14ac:dyDescent="0.3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13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</row>
    <row r="3" spans="1:13" x14ac:dyDescent="0.25">
      <c r="A3" s="12" t="s">
        <v>2</v>
      </c>
      <c r="B3" s="12"/>
      <c r="C3" s="12"/>
      <c r="D3" s="12"/>
      <c r="E3" s="12"/>
      <c r="F3" s="12"/>
      <c r="G3" s="12"/>
      <c r="H3" s="12"/>
      <c r="I3" s="12"/>
      <c r="J3" s="12"/>
    </row>
    <row r="4" spans="1:13" x14ac:dyDescent="0.25">
      <c r="A4" s="12" t="s">
        <v>3</v>
      </c>
      <c r="B4" s="12"/>
      <c r="C4" s="12"/>
      <c r="D4" s="12"/>
      <c r="E4" s="12"/>
      <c r="F4" s="12"/>
      <c r="G4" s="12"/>
      <c r="H4" s="12"/>
      <c r="I4" s="12"/>
      <c r="J4" s="12"/>
    </row>
    <row r="5" spans="1:13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</row>
    <row r="6" spans="1:13" s="1" customFormat="1" x14ac:dyDescent="0.25">
      <c r="A6" s="13" t="s">
        <v>4</v>
      </c>
      <c r="B6" s="13"/>
      <c r="C6" s="13"/>
      <c r="D6" s="13"/>
      <c r="E6" s="13"/>
      <c r="F6" s="13"/>
      <c r="G6" s="13"/>
      <c r="H6" s="13"/>
      <c r="I6" s="13"/>
      <c r="J6" s="13"/>
    </row>
    <row r="7" spans="1:13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  <c r="K7" s="2" t="s">
        <v>15</v>
      </c>
      <c r="L7" s="2" t="s">
        <v>16</v>
      </c>
      <c r="M7" s="2" t="s">
        <v>17</v>
      </c>
    </row>
    <row r="8" spans="1:13" x14ac:dyDescent="0.25">
      <c r="A8" t="s">
        <v>453</v>
      </c>
      <c r="B8" s="3">
        <v>45709.242013888885</v>
      </c>
      <c r="C8" t="s">
        <v>18</v>
      </c>
      <c r="D8" s="3">
        <v>45709.931620370371</v>
      </c>
      <c r="E8" t="s">
        <v>18</v>
      </c>
      <c r="F8" s="4">
        <v>177.27500000000001</v>
      </c>
      <c r="G8" s="4">
        <v>515760.37699999998</v>
      </c>
      <c r="H8" s="4">
        <v>515937.652</v>
      </c>
      <c r="I8" s="5">
        <f>9912 / 86400</f>
        <v>0.11472222222222223</v>
      </c>
      <c r="J8" t="s">
        <v>19</v>
      </c>
      <c r="K8" t="s">
        <v>20</v>
      </c>
      <c r="L8" s="5">
        <f>35423 / 86400</f>
        <v>0.40998842592592594</v>
      </c>
      <c r="M8" s="5">
        <f>50967 / 86400</f>
        <v>0.58989583333333329</v>
      </c>
    </row>
    <row r="9" spans="1:13" x14ac:dyDescent="0.25">
      <c r="A9" t="s">
        <v>454</v>
      </c>
      <c r="B9" s="3">
        <v>45709.268553240741</v>
      </c>
      <c r="C9" t="s">
        <v>21</v>
      </c>
      <c r="D9" s="3">
        <v>45709.804907407408</v>
      </c>
      <c r="E9" t="s">
        <v>22</v>
      </c>
      <c r="F9" s="4">
        <v>196.96100000000001</v>
      </c>
      <c r="G9" s="4">
        <v>329760.57299999997</v>
      </c>
      <c r="H9" s="4">
        <v>329957.53399999999</v>
      </c>
      <c r="I9" s="5">
        <f>12598 / 86400</f>
        <v>0.14581018518518518</v>
      </c>
      <c r="J9" t="s">
        <v>23</v>
      </c>
      <c r="K9" t="s">
        <v>20</v>
      </c>
      <c r="L9" s="5">
        <f>39820 / 86400</f>
        <v>0.46087962962962964</v>
      </c>
      <c r="M9" s="5">
        <f>46577 / 86400</f>
        <v>0.53908564814814819</v>
      </c>
    </row>
    <row r="10" spans="1:13" x14ac:dyDescent="0.25">
      <c r="A10" t="s">
        <v>455</v>
      </c>
      <c r="B10" s="3">
        <v>45709.288356481484</v>
      </c>
      <c r="C10" t="s">
        <v>24</v>
      </c>
      <c r="D10" s="3">
        <v>45709.944270833337</v>
      </c>
      <c r="E10" t="s">
        <v>24</v>
      </c>
      <c r="F10" s="4">
        <v>128.625</v>
      </c>
      <c r="G10" s="4">
        <v>21675.628000000001</v>
      </c>
      <c r="H10" s="4">
        <v>21804.253000000001</v>
      </c>
      <c r="I10" s="5">
        <f>13013 / 86400</f>
        <v>0.15061342592592591</v>
      </c>
      <c r="J10" t="s">
        <v>25</v>
      </c>
      <c r="K10" t="s">
        <v>26</v>
      </c>
      <c r="L10" s="5">
        <f>35046 / 86400</f>
        <v>0.40562500000000001</v>
      </c>
      <c r="M10" s="5">
        <f>51343 / 86400</f>
        <v>0.59424768518518523</v>
      </c>
    </row>
    <row r="11" spans="1:13" x14ac:dyDescent="0.25">
      <c r="A11" t="s">
        <v>456</v>
      </c>
      <c r="B11" s="3">
        <v>45709.243148148147</v>
      </c>
      <c r="C11" t="s">
        <v>27</v>
      </c>
      <c r="D11" s="3">
        <v>45709.927754629629</v>
      </c>
      <c r="E11" t="s">
        <v>27</v>
      </c>
      <c r="F11" s="4">
        <v>219.148</v>
      </c>
      <c r="G11" s="4">
        <v>514661.17499999999</v>
      </c>
      <c r="H11" s="4">
        <v>514880.32299999997</v>
      </c>
      <c r="I11" s="5">
        <f>14936 / 86400</f>
        <v>0.17287037037037037</v>
      </c>
      <c r="J11" t="s">
        <v>19</v>
      </c>
      <c r="K11" t="s">
        <v>28</v>
      </c>
      <c r="L11" s="5">
        <f>48039 / 86400</f>
        <v>0.55600694444444443</v>
      </c>
      <c r="M11" s="5">
        <f>38354 / 86400</f>
        <v>0.44391203703703702</v>
      </c>
    </row>
    <row r="12" spans="1:13" x14ac:dyDescent="0.25">
      <c r="A12" t="s">
        <v>457</v>
      </c>
      <c r="B12" s="3">
        <v>45709.246145833335</v>
      </c>
      <c r="C12" t="s">
        <v>18</v>
      </c>
      <c r="D12" s="3">
        <v>45709.314386574071</v>
      </c>
      <c r="E12" t="s">
        <v>18</v>
      </c>
      <c r="F12" s="4">
        <v>1.556</v>
      </c>
      <c r="G12" s="4">
        <v>139898.285</v>
      </c>
      <c r="H12" s="4">
        <v>139899.84099999999</v>
      </c>
      <c r="I12" s="5">
        <f>816 / 86400</f>
        <v>9.4444444444444445E-3</v>
      </c>
      <c r="J12" t="s">
        <v>29</v>
      </c>
      <c r="K12" t="s">
        <v>30</v>
      </c>
      <c r="L12" s="5">
        <f>1258 / 86400</f>
        <v>1.4560185185185185E-2</v>
      </c>
      <c r="M12" s="5">
        <f>85139 / 86400</f>
        <v>0.98540509259259257</v>
      </c>
    </row>
    <row r="13" spans="1:13" x14ac:dyDescent="0.25">
      <c r="A13" t="s">
        <v>458</v>
      </c>
      <c r="B13" s="3">
        <v>45709.012199074074</v>
      </c>
      <c r="C13" t="s">
        <v>31</v>
      </c>
      <c r="D13" s="3">
        <v>45709.970868055556</v>
      </c>
      <c r="E13" t="s">
        <v>32</v>
      </c>
      <c r="F13" s="4">
        <v>222.69356971013545</v>
      </c>
      <c r="G13" s="4">
        <v>349530.24722831749</v>
      </c>
      <c r="H13" s="4">
        <v>349768.98300436221</v>
      </c>
      <c r="I13" s="5">
        <f>0 / 86400</f>
        <v>0</v>
      </c>
      <c r="J13" t="s">
        <v>23</v>
      </c>
      <c r="K13" t="s">
        <v>33</v>
      </c>
      <c r="L13" s="5">
        <f>39245 / 86400</f>
        <v>0.45422453703703702</v>
      </c>
      <c r="M13" s="5">
        <f>47154 / 86400</f>
        <v>0.54576388888888894</v>
      </c>
    </row>
    <row r="14" spans="1:13" x14ac:dyDescent="0.25">
      <c r="A14" t="s">
        <v>459</v>
      </c>
      <c r="B14" s="3">
        <v>45709.169004629628</v>
      </c>
      <c r="C14" t="s">
        <v>34</v>
      </c>
      <c r="D14" s="3">
        <v>45709.674131944441</v>
      </c>
      <c r="E14" t="s">
        <v>34</v>
      </c>
      <c r="F14" s="4">
        <v>176.42500000000001</v>
      </c>
      <c r="G14" s="4">
        <v>485175.06</v>
      </c>
      <c r="H14" s="4">
        <v>485351.48499999999</v>
      </c>
      <c r="I14" s="5">
        <f>13859 / 86400</f>
        <v>0.16040509259259259</v>
      </c>
      <c r="J14" t="s">
        <v>35</v>
      </c>
      <c r="K14" t="s">
        <v>28</v>
      </c>
      <c r="L14" s="5">
        <f>40588 / 86400</f>
        <v>0.46976851851851853</v>
      </c>
      <c r="M14" s="5">
        <f>45810 / 86400</f>
        <v>0.53020833333333328</v>
      </c>
    </row>
    <row r="15" spans="1:13" x14ac:dyDescent="0.25">
      <c r="A15" t="s">
        <v>460</v>
      </c>
      <c r="B15" s="3">
        <v>45709.130069444444</v>
      </c>
      <c r="C15" t="s">
        <v>36</v>
      </c>
      <c r="D15" s="3">
        <v>45709.831504629634</v>
      </c>
      <c r="E15" t="s">
        <v>37</v>
      </c>
      <c r="F15" s="4">
        <v>219.09800000000001</v>
      </c>
      <c r="G15" s="4">
        <v>509549.14399999997</v>
      </c>
      <c r="H15" s="4">
        <v>509768.24200000003</v>
      </c>
      <c r="I15" s="5">
        <f>18189 / 86400</f>
        <v>0.21052083333333332</v>
      </c>
      <c r="J15" t="s">
        <v>38</v>
      </c>
      <c r="K15" t="s">
        <v>28</v>
      </c>
      <c r="L15" s="5">
        <f>50734 / 86400</f>
        <v>0.58719907407407412</v>
      </c>
      <c r="M15" s="5">
        <f>35657 / 86400</f>
        <v>0.41269675925925925</v>
      </c>
    </row>
    <row r="16" spans="1:13" x14ac:dyDescent="0.25">
      <c r="A16" t="s">
        <v>461</v>
      </c>
      <c r="B16" s="3">
        <v>45709.234837962962</v>
      </c>
      <c r="C16" t="s">
        <v>39</v>
      </c>
      <c r="D16" s="3">
        <v>45709.960393518515</v>
      </c>
      <c r="E16" t="s">
        <v>39</v>
      </c>
      <c r="F16" s="4">
        <v>199.68899999999999</v>
      </c>
      <c r="G16" s="4">
        <v>408777.11900000001</v>
      </c>
      <c r="H16" s="4">
        <v>408976.82299999997</v>
      </c>
      <c r="I16" s="5">
        <f>17357 / 86400</f>
        <v>0.2008912037037037</v>
      </c>
      <c r="J16" t="s">
        <v>40</v>
      </c>
      <c r="K16" t="s">
        <v>41</v>
      </c>
      <c r="L16" s="5">
        <f>48874 / 86400</f>
        <v>0.56567129629629631</v>
      </c>
      <c r="M16" s="5">
        <f>37516 / 86400</f>
        <v>0.43421296296296297</v>
      </c>
    </row>
    <row r="17" spans="1:13" x14ac:dyDescent="0.25">
      <c r="A17" t="s">
        <v>462</v>
      </c>
      <c r="B17" s="3">
        <v>45709.265902777777</v>
      </c>
      <c r="C17" t="s">
        <v>42</v>
      </c>
      <c r="D17" s="3">
        <v>45709.567696759259</v>
      </c>
      <c r="E17" t="s">
        <v>42</v>
      </c>
      <c r="F17" s="4">
        <v>101.801</v>
      </c>
      <c r="G17" s="4">
        <v>438699.62199999997</v>
      </c>
      <c r="H17" s="4">
        <v>438801.42300000001</v>
      </c>
      <c r="I17" s="5">
        <f>7858 / 86400</f>
        <v>9.0949074074074071E-2</v>
      </c>
      <c r="J17" t="s">
        <v>43</v>
      </c>
      <c r="K17" t="s">
        <v>28</v>
      </c>
      <c r="L17" s="5">
        <f>22827 / 86400</f>
        <v>0.26420138888888889</v>
      </c>
      <c r="M17" s="5">
        <f>63570 / 86400</f>
        <v>0.73576388888888888</v>
      </c>
    </row>
    <row r="18" spans="1:13" x14ac:dyDescent="0.25">
      <c r="A18" t="s">
        <v>463</v>
      </c>
      <c r="B18" s="3">
        <v>45709.20689814815</v>
      </c>
      <c r="C18" t="s">
        <v>44</v>
      </c>
      <c r="D18" s="3">
        <v>45709.963240740741</v>
      </c>
      <c r="E18" t="s">
        <v>44</v>
      </c>
      <c r="F18" s="4">
        <v>276.38200000000001</v>
      </c>
      <c r="G18" s="4">
        <v>55906.563000000002</v>
      </c>
      <c r="H18" s="4">
        <v>56182.945</v>
      </c>
      <c r="I18" s="5">
        <f>19596 / 86400</f>
        <v>0.22680555555555557</v>
      </c>
      <c r="J18" t="s">
        <v>45</v>
      </c>
      <c r="K18" t="s">
        <v>28</v>
      </c>
      <c r="L18" s="5">
        <f>60336 / 86400</f>
        <v>0.69833333333333336</v>
      </c>
      <c r="M18" s="5">
        <f>26055 / 86400</f>
        <v>0.30156250000000001</v>
      </c>
    </row>
    <row r="19" spans="1:13" x14ac:dyDescent="0.25">
      <c r="A19" t="s">
        <v>464</v>
      </c>
      <c r="B19" s="3">
        <v>45709.223645833335</v>
      </c>
      <c r="C19" t="s">
        <v>46</v>
      </c>
      <c r="D19" s="3">
        <v>45709.733935185184</v>
      </c>
      <c r="E19" t="s">
        <v>46</v>
      </c>
      <c r="F19" s="4">
        <v>0</v>
      </c>
      <c r="G19" s="4">
        <v>217341.29699999999</v>
      </c>
      <c r="H19" s="4">
        <v>217341.29699999999</v>
      </c>
      <c r="I19" s="5">
        <f>200 / 86400</f>
        <v>2.3148148148148147E-3</v>
      </c>
      <c r="J19" t="s">
        <v>47</v>
      </c>
      <c r="K19" t="s">
        <v>48</v>
      </c>
      <c r="L19" s="5">
        <f>272 / 86400</f>
        <v>3.1481481481481482E-3</v>
      </c>
      <c r="M19" s="5">
        <f>86126 / 86400</f>
        <v>0.99682870370370369</v>
      </c>
    </row>
    <row r="20" spans="1:13" x14ac:dyDescent="0.25">
      <c r="A20" t="s">
        <v>465</v>
      </c>
      <c r="B20" s="3">
        <v>45709.259201388893</v>
      </c>
      <c r="C20" t="s">
        <v>49</v>
      </c>
      <c r="D20" s="3">
        <v>45709.878541666665</v>
      </c>
      <c r="E20" t="s">
        <v>49</v>
      </c>
      <c r="F20" s="4">
        <v>165.44799999994041</v>
      </c>
      <c r="G20" s="4">
        <v>526564.62699999998</v>
      </c>
      <c r="H20" s="4">
        <v>526730.07499999995</v>
      </c>
      <c r="I20" s="5">
        <f>17698 / 86400</f>
        <v>0.20483796296296297</v>
      </c>
      <c r="J20" t="s">
        <v>50</v>
      </c>
      <c r="K20" t="s">
        <v>26</v>
      </c>
      <c r="L20" s="5">
        <f>44343 / 86400</f>
        <v>0.51322916666666663</v>
      </c>
      <c r="M20" s="5">
        <f>42051 / 86400</f>
        <v>0.48670138888888886</v>
      </c>
    </row>
    <row r="21" spans="1:13" x14ac:dyDescent="0.25">
      <c r="A21" t="s">
        <v>466</v>
      </c>
      <c r="B21" s="3">
        <v>45709.201620370368</v>
      </c>
      <c r="C21" t="s">
        <v>51</v>
      </c>
      <c r="D21" s="3">
        <v>45709.94059027778</v>
      </c>
      <c r="E21" t="s">
        <v>51</v>
      </c>
      <c r="F21" s="4">
        <v>263.50200000000001</v>
      </c>
      <c r="G21" s="4">
        <v>346172.11</v>
      </c>
      <c r="H21" s="4">
        <v>346435.61200000002</v>
      </c>
      <c r="I21" s="5">
        <f>19933 / 86400</f>
        <v>0.23070601851851852</v>
      </c>
      <c r="J21" t="s">
        <v>43</v>
      </c>
      <c r="K21" t="s">
        <v>52</v>
      </c>
      <c r="L21" s="5">
        <f>57295 / 86400</f>
        <v>0.66313657407407411</v>
      </c>
      <c r="M21" s="5">
        <f>29100 / 86400</f>
        <v>0.33680555555555558</v>
      </c>
    </row>
    <row r="22" spans="1:13" x14ac:dyDescent="0.25">
      <c r="A22" t="s">
        <v>467</v>
      </c>
      <c r="B22" s="3">
        <v>45709.252303240741</v>
      </c>
      <c r="C22" t="s">
        <v>53</v>
      </c>
      <c r="D22" s="3">
        <v>45709.838946759264</v>
      </c>
      <c r="E22" t="s">
        <v>53</v>
      </c>
      <c r="F22" s="4">
        <v>18.882999999999999</v>
      </c>
      <c r="G22" s="4">
        <v>427004.86800000002</v>
      </c>
      <c r="H22" s="4">
        <v>427023.75099999999</v>
      </c>
      <c r="I22" s="5">
        <f>2546 / 86400</f>
        <v>2.9467592592592594E-2</v>
      </c>
      <c r="J22" t="s">
        <v>54</v>
      </c>
      <c r="K22" t="s">
        <v>55</v>
      </c>
      <c r="L22" s="5">
        <f>5852 / 86400</f>
        <v>6.7731481481481476E-2</v>
      </c>
      <c r="M22" s="5">
        <f>80540 / 86400</f>
        <v>0.93217592592592591</v>
      </c>
    </row>
    <row r="23" spans="1:13" x14ac:dyDescent="0.25">
      <c r="A23" t="s">
        <v>468</v>
      </c>
      <c r="B23" s="3">
        <v>45709.235254629632</v>
      </c>
      <c r="C23" t="s">
        <v>24</v>
      </c>
      <c r="D23" s="3">
        <v>45709.800069444449</v>
      </c>
      <c r="E23" t="s">
        <v>24</v>
      </c>
      <c r="F23" s="4">
        <v>181.04499999999999</v>
      </c>
      <c r="G23" s="4">
        <v>13931.616</v>
      </c>
      <c r="H23" s="4">
        <v>14112.661</v>
      </c>
      <c r="I23" s="5">
        <f>18180 / 86400</f>
        <v>0.21041666666666667</v>
      </c>
      <c r="J23" t="s">
        <v>56</v>
      </c>
      <c r="K23" t="s">
        <v>57</v>
      </c>
      <c r="L23" s="5">
        <f>45234 / 86400</f>
        <v>0.52354166666666668</v>
      </c>
      <c r="M23" s="5">
        <f>41156 / 86400</f>
        <v>0.4763425925925926</v>
      </c>
    </row>
    <row r="24" spans="1:13" x14ac:dyDescent="0.25">
      <c r="A24" t="s">
        <v>469</v>
      </c>
      <c r="B24" s="3">
        <v>45709.430474537032</v>
      </c>
      <c r="C24" t="s">
        <v>58</v>
      </c>
      <c r="D24" s="3">
        <v>45709.533634259264</v>
      </c>
      <c r="E24" t="s">
        <v>58</v>
      </c>
      <c r="F24" s="4">
        <v>8.5000000000000006E-2</v>
      </c>
      <c r="G24" s="4">
        <v>139780.45800000001</v>
      </c>
      <c r="H24" s="4">
        <v>139780.54300000001</v>
      </c>
      <c r="I24" s="5">
        <f>98 / 86400</f>
        <v>1.1342592592592593E-3</v>
      </c>
      <c r="J24" t="s">
        <v>59</v>
      </c>
      <c r="K24" t="s">
        <v>47</v>
      </c>
      <c r="L24" s="5">
        <f>207 / 86400</f>
        <v>2.3958333333333331E-3</v>
      </c>
      <c r="M24" s="5">
        <f>86190 / 86400</f>
        <v>0.9975694444444444</v>
      </c>
    </row>
    <row r="25" spans="1:13" x14ac:dyDescent="0.25">
      <c r="A25" t="s">
        <v>470</v>
      </c>
      <c r="B25" s="3">
        <v>45709.235324074078</v>
      </c>
      <c r="C25" t="s">
        <v>24</v>
      </c>
      <c r="D25" s="3">
        <v>45709.947256944448</v>
      </c>
      <c r="E25" t="s">
        <v>24</v>
      </c>
      <c r="F25" s="4">
        <v>154.44899999999998</v>
      </c>
      <c r="G25" s="4">
        <v>6669.6970000000001</v>
      </c>
      <c r="H25" s="4">
        <v>6824.1459999999997</v>
      </c>
      <c r="I25" s="5">
        <f>32101 / 86400</f>
        <v>0.37153935185185183</v>
      </c>
      <c r="J25" t="s">
        <v>19</v>
      </c>
      <c r="K25" t="s">
        <v>60</v>
      </c>
      <c r="L25" s="5">
        <f>55047 / 86400</f>
        <v>0.63711805555555556</v>
      </c>
      <c r="M25" s="5">
        <f>31347 / 86400</f>
        <v>0.36281249999999998</v>
      </c>
    </row>
    <row r="26" spans="1:13" x14ac:dyDescent="0.25">
      <c r="A26" t="s">
        <v>471</v>
      </c>
      <c r="B26" s="3">
        <v>45709.204467592594</v>
      </c>
      <c r="C26" t="s">
        <v>34</v>
      </c>
      <c r="D26" s="3">
        <v>45709.782106481478</v>
      </c>
      <c r="E26" t="s">
        <v>34</v>
      </c>
      <c r="F26" s="4">
        <v>189.34799999999998</v>
      </c>
      <c r="G26" s="4">
        <v>388187.38099999999</v>
      </c>
      <c r="H26" s="4">
        <v>388376.72899999999</v>
      </c>
      <c r="I26" s="5">
        <f>15693 / 86400</f>
        <v>0.18163194444444444</v>
      </c>
      <c r="J26" t="s">
        <v>35</v>
      </c>
      <c r="K26" t="s">
        <v>41</v>
      </c>
      <c r="L26" s="5">
        <f>44155 / 86400</f>
        <v>0.51105324074074077</v>
      </c>
      <c r="M26" s="5">
        <f>42239 / 86400</f>
        <v>0.48887731481481483</v>
      </c>
    </row>
    <row r="27" spans="1:13" x14ac:dyDescent="0.25">
      <c r="A27" t="s">
        <v>472</v>
      </c>
      <c r="B27" s="3">
        <v>45709.146874999999</v>
      </c>
      <c r="C27" t="s">
        <v>61</v>
      </c>
      <c r="D27" s="3">
        <v>45709.7340162037</v>
      </c>
      <c r="E27" t="s">
        <v>61</v>
      </c>
      <c r="F27" s="4">
        <v>212.26</v>
      </c>
      <c r="G27" s="4">
        <v>524997.58600000001</v>
      </c>
      <c r="H27" s="4">
        <v>525209.84600000002</v>
      </c>
      <c r="I27" s="5">
        <f>12097 / 86400</f>
        <v>0.14001157407407408</v>
      </c>
      <c r="J27" t="s">
        <v>62</v>
      </c>
      <c r="K27" t="s">
        <v>20</v>
      </c>
      <c r="L27" s="5">
        <f>42143 / 86400</f>
        <v>0.48776620370370372</v>
      </c>
      <c r="M27" s="5">
        <f>44252 / 86400</f>
        <v>0.51217592592592598</v>
      </c>
    </row>
    <row r="28" spans="1:13" x14ac:dyDescent="0.25">
      <c r="A28" t="s">
        <v>473</v>
      </c>
      <c r="B28" s="3">
        <v>45709</v>
      </c>
      <c r="C28" t="s">
        <v>63</v>
      </c>
      <c r="D28" s="3">
        <v>45709.069722222222</v>
      </c>
      <c r="E28" t="s">
        <v>64</v>
      </c>
      <c r="F28" s="4">
        <v>41.453000000000003</v>
      </c>
      <c r="G28" s="4">
        <v>413006.26199999999</v>
      </c>
      <c r="H28" s="4">
        <v>413047.71500000003</v>
      </c>
      <c r="I28" s="5">
        <f>820 / 86400</f>
        <v>9.4907407407407406E-3</v>
      </c>
      <c r="J28" t="s">
        <v>65</v>
      </c>
      <c r="K28" t="s">
        <v>66</v>
      </c>
      <c r="L28" s="5">
        <f>6024 / 86400</f>
        <v>6.9722222222222227E-2</v>
      </c>
      <c r="M28" s="5">
        <f>80375 / 86400</f>
        <v>0.93026620370370372</v>
      </c>
    </row>
    <row r="29" spans="1:13" x14ac:dyDescent="0.25">
      <c r="A29" t="s">
        <v>474</v>
      </c>
      <c r="B29" s="3">
        <v>45709.240613425922</v>
      </c>
      <c r="C29" t="s">
        <v>67</v>
      </c>
      <c r="D29" s="3">
        <v>45709.80773148148</v>
      </c>
      <c r="E29" t="s">
        <v>67</v>
      </c>
      <c r="F29" s="4">
        <v>205.33500000000001</v>
      </c>
      <c r="G29" s="4">
        <v>404141.951</v>
      </c>
      <c r="H29" s="4">
        <v>404347.28600000002</v>
      </c>
      <c r="I29" s="5">
        <f>14875 / 86400</f>
        <v>0.17216435185185186</v>
      </c>
      <c r="J29" t="s">
        <v>68</v>
      </c>
      <c r="K29" t="s">
        <v>28</v>
      </c>
      <c r="L29" s="5">
        <f>44973 / 86400</f>
        <v>0.52052083333333332</v>
      </c>
      <c r="M29" s="5">
        <f>41423 / 86400</f>
        <v>0.47943287037037036</v>
      </c>
    </row>
    <row r="30" spans="1:13" x14ac:dyDescent="0.25">
      <c r="A30" t="s">
        <v>475</v>
      </c>
      <c r="B30" s="3">
        <v>45709.277372685188</v>
      </c>
      <c r="C30" t="s">
        <v>69</v>
      </c>
      <c r="D30" s="3">
        <v>45709.373159722221</v>
      </c>
      <c r="E30" t="s">
        <v>70</v>
      </c>
      <c r="F30" s="4">
        <v>34.851999999999997</v>
      </c>
      <c r="G30" s="4">
        <v>408328.14899999998</v>
      </c>
      <c r="H30" s="4">
        <v>408363.00099999999</v>
      </c>
      <c r="I30" s="5">
        <f>2097 / 86400</f>
        <v>2.4270833333333332E-2</v>
      </c>
      <c r="J30" t="s">
        <v>71</v>
      </c>
      <c r="K30" t="s">
        <v>20</v>
      </c>
      <c r="L30" s="5">
        <f>6848 / 86400</f>
        <v>7.9259259259259265E-2</v>
      </c>
      <c r="M30" s="5">
        <f>37718 / 86400</f>
        <v>0.43655092592592593</v>
      </c>
    </row>
    <row r="31" spans="1:13" x14ac:dyDescent="0.25">
      <c r="A31" t="s">
        <v>476</v>
      </c>
      <c r="B31" s="3">
        <v>45709.292638888888</v>
      </c>
      <c r="C31" t="s">
        <v>72</v>
      </c>
      <c r="D31" s="3">
        <v>45709.715543981481</v>
      </c>
      <c r="E31" t="s">
        <v>72</v>
      </c>
      <c r="F31" s="4">
        <v>118.206</v>
      </c>
      <c r="G31" s="4">
        <v>348777.78</v>
      </c>
      <c r="H31" s="4">
        <v>348895.98599999998</v>
      </c>
      <c r="I31" s="5">
        <f>11477 / 86400</f>
        <v>0.13283564814814816</v>
      </c>
      <c r="J31" t="s">
        <v>73</v>
      </c>
      <c r="K31" t="s">
        <v>57</v>
      </c>
      <c r="L31" s="5">
        <f>30513 / 86400</f>
        <v>0.35315972222222225</v>
      </c>
      <c r="M31" s="5">
        <f>55884 / 86400</f>
        <v>0.64680555555555552</v>
      </c>
    </row>
    <row r="32" spans="1:13" x14ac:dyDescent="0.25">
      <c r="A32" t="s">
        <v>477</v>
      </c>
      <c r="B32" s="3">
        <v>45709.123078703706</v>
      </c>
      <c r="C32" t="s">
        <v>74</v>
      </c>
      <c r="D32" s="3">
        <v>45709.952002314814</v>
      </c>
      <c r="E32" t="s">
        <v>74</v>
      </c>
      <c r="F32" s="4">
        <v>344.66500000000002</v>
      </c>
      <c r="G32" s="4">
        <v>42503.646000000001</v>
      </c>
      <c r="H32" s="4">
        <v>42848.311000000002</v>
      </c>
      <c r="I32" s="5">
        <f>22476 / 86400</f>
        <v>0.26013888888888886</v>
      </c>
      <c r="J32" t="s">
        <v>38</v>
      </c>
      <c r="K32" t="s">
        <v>20</v>
      </c>
      <c r="L32" s="5">
        <f>68284 / 86400</f>
        <v>0.79032407407407412</v>
      </c>
      <c r="M32" s="5">
        <f>18113 / 86400</f>
        <v>0.2096412037037037</v>
      </c>
    </row>
    <row r="33" spans="1:13" x14ac:dyDescent="0.25">
      <c r="A33" t="s">
        <v>478</v>
      </c>
      <c r="B33" s="3">
        <v>45709</v>
      </c>
      <c r="C33" t="s">
        <v>75</v>
      </c>
      <c r="D33" s="3">
        <v>45709.674282407403</v>
      </c>
      <c r="E33" t="s">
        <v>34</v>
      </c>
      <c r="F33" s="4">
        <v>11.146000000000001</v>
      </c>
      <c r="G33" s="4">
        <v>48511.582000000002</v>
      </c>
      <c r="H33" s="4">
        <v>48522.728000000003</v>
      </c>
      <c r="I33" s="5">
        <f>598 / 86400</f>
        <v>6.9212962962962961E-3</v>
      </c>
      <c r="J33" t="s">
        <v>76</v>
      </c>
      <c r="K33" t="s">
        <v>77</v>
      </c>
      <c r="L33" s="5">
        <f>2075 / 86400</f>
        <v>2.4016203703703703E-2</v>
      </c>
      <c r="M33" s="5">
        <f>84320 / 86400</f>
        <v>0.97592592592592597</v>
      </c>
    </row>
    <row r="34" spans="1:13" x14ac:dyDescent="0.25">
      <c r="A34" t="s">
        <v>479</v>
      </c>
      <c r="B34" s="3">
        <v>45709.183541666665</v>
      </c>
      <c r="C34" t="s">
        <v>78</v>
      </c>
      <c r="D34" s="3">
        <v>45709.99998842593</v>
      </c>
      <c r="E34" t="s">
        <v>79</v>
      </c>
      <c r="F34" s="4">
        <v>289.55800000011919</v>
      </c>
      <c r="G34" s="4">
        <v>529832.38899999997</v>
      </c>
      <c r="H34" s="4">
        <v>530121.94700000004</v>
      </c>
      <c r="I34" s="5">
        <f>19285 / 86400</f>
        <v>0.22320601851851851</v>
      </c>
      <c r="J34" t="s">
        <v>80</v>
      </c>
      <c r="K34" t="s">
        <v>77</v>
      </c>
      <c r="L34" s="5">
        <f>56147 / 86400</f>
        <v>0.64984953703703707</v>
      </c>
      <c r="M34" s="5">
        <f>30246 / 86400</f>
        <v>0.35006944444444443</v>
      </c>
    </row>
    <row r="35" spans="1:13" x14ac:dyDescent="0.25">
      <c r="A35" t="s">
        <v>480</v>
      </c>
      <c r="B35" s="3">
        <v>45709.323576388888</v>
      </c>
      <c r="C35" t="s">
        <v>34</v>
      </c>
      <c r="D35" s="3">
        <v>45709.986620370371</v>
      </c>
      <c r="E35" t="s">
        <v>34</v>
      </c>
      <c r="F35" s="4">
        <v>95.167000000000002</v>
      </c>
      <c r="G35" s="4">
        <v>569455.98300000001</v>
      </c>
      <c r="H35" s="4">
        <v>569551.15</v>
      </c>
      <c r="I35" s="5">
        <f>6287 / 86400</f>
        <v>7.2766203703703708E-2</v>
      </c>
      <c r="J35" t="s">
        <v>35</v>
      </c>
      <c r="K35" t="s">
        <v>28</v>
      </c>
      <c r="L35" s="5">
        <f>20782 / 86400</f>
        <v>0.24053240740740742</v>
      </c>
      <c r="M35" s="5">
        <f>65607 / 86400</f>
        <v>0.75934027777777779</v>
      </c>
    </row>
    <row r="36" spans="1:13" x14ac:dyDescent="0.25">
      <c r="A36" t="s">
        <v>481</v>
      </c>
      <c r="B36" s="3">
        <v>45709.21465277778</v>
      </c>
      <c r="C36" t="s">
        <v>70</v>
      </c>
      <c r="D36" s="3">
        <v>45709.987141203703</v>
      </c>
      <c r="E36" t="s">
        <v>70</v>
      </c>
      <c r="F36" s="4">
        <v>207.12899999999999</v>
      </c>
      <c r="G36" s="4">
        <v>436200.10399999999</v>
      </c>
      <c r="H36" s="4">
        <v>436407.23300000001</v>
      </c>
      <c r="I36" s="5">
        <f>17939 / 86400</f>
        <v>0.20762731481481481</v>
      </c>
      <c r="J36" t="s">
        <v>25</v>
      </c>
      <c r="K36" t="s">
        <v>41</v>
      </c>
      <c r="L36" s="5">
        <f>50625 / 86400</f>
        <v>0.5859375</v>
      </c>
      <c r="M36" s="5">
        <f>35769 / 86400</f>
        <v>0.41399305555555554</v>
      </c>
    </row>
    <row r="37" spans="1:13" x14ac:dyDescent="0.25">
      <c r="A37" t="s">
        <v>482</v>
      </c>
      <c r="B37" s="3">
        <v>45709.203738425931</v>
      </c>
      <c r="C37" t="s">
        <v>46</v>
      </c>
      <c r="D37" s="3">
        <v>45709.839282407411</v>
      </c>
      <c r="E37" t="s">
        <v>46</v>
      </c>
      <c r="F37" s="4">
        <v>201.70699999999999</v>
      </c>
      <c r="G37" s="4">
        <v>517044.93800000002</v>
      </c>
      <c r="H37" s="4">
        <v>517247.20799999998</v>
      </c>
      <c r="I37" s="5">
        <f>17351 / 86400</f>
        <v>0.20082175925925927</v>
      </c>
      <c r="J37" t="s">
        <v>19</v>
      </c>
      <c r="K37" t="s">
        <v>41</v>
      </c>
      <c r="L37" s="5">
        <f>49177 / 86400</f>
        <v>0.56917824074074075</v>
      </c>
      <c r="M37" s="5">
        <f>37222 / 86400</f>
        <v>0.43081018518518521</v>
      </c>
    </row>
    <row r="38" spans="1:13" x14ac:dyDescent="0.25">
      <c r="A38" t="s">
        <v>483</v>
      </c>
      <c r="B38" s="3">
        <v>45709.219710648147</v>
      </c>
      <c r="C38" t="s">
        <v>81</v>
      </c>
      <c r="D38" s="3">
        <v>45709.801793981482</v>
      </c>
      <c r="E38" t="s">
        <v>81</v>
      </c>
      <c r="F38" s="4">
        <v>206.911</v>
      </c>
      <c r="G38" s="4">
        <v>506476.58399999997</v>
      </c>
      <c r="H38" s="4">
        <v>506683.495</v>
      </c>
      <c r="I38" s="5">
        <f>20341 / 86400</f>
        <v>0.23542824074074073</v>
      </c>
      <c r="J38" t="s">
        <v>73</v>
      </c>
      <c r="K38" t="s">
        <v>41</v>
      </c>
      <c r="L38" s="5">
        <f>50292 / 86400</f>
        <v>0.58208333333333329</v>
      </c>
      <c r="M38" s="5">
        <f>36107 / 86400</f>
        <v>0.41790509259259262</v>
      </c>
    </row>
    <row r="39" spans="1:13" x14ac:dyDescent="0.25">
      <c r="A39" t="s">
        <v>484</v>
      </c>
      <c r="B39" s="3">
        <v>45709.264560185184</v>
      </c>
      <c r="C39" t="s">
        <v>82</v>
      </c>
      <c r="D39" s="3">
        <v>45709.99998842593</v>
      </c>
      <c r="E39" t="s">
        <v>83</v>
      </c>
      <c r="F39" s="4">
        <v>225.05200000000002</v>
      </c>
      <c r="G39" s="4">
        <v>353129.02799999999</v>
      </c>
      <c r="H39" s="4">
        <v>353354.08</v>
      </c>
      <c r="I39" s="5">
        <f>25113 / 86400</f>
        <v>0.29065972222222225</v>
      </c>
      <c r="J39" t="s">
        <v>43</v>
      </c>
      <c r="K39" t="s">
        <v>26</v>
      </c>
      <c r="L39" s="5">
        <f>60072 / 86400</f>
        <v>0.69527777777777777</v>
      </c>
      <c r="M39" s="5">
        <f>26322 / 86400</f>
        <v>0.30465277777777777</v>
      </c>
    </row>
    <row r="40" spans="1:13" x14ac:dyDescent="0.25">
      <c r="A40" t="s">
        <v>485</v>
      </c>
      <c r="B40" s="3">
        <v>45709.214062500003</v>
      </c>
      <c r="C40" t="s">
        <v>84</v>
      </c>
      <c r="D40" s="3">
        <v>45709.781863425931</v>
      </c>
      <c r="E40" t="s">
        <v>84</v>
      </c>
      <c r="F40" s="4">
        <v>209.08799999999999</v>
      </c>
      <c r="G40" s="4">
        <v>412084.19099999999</v>
      </c>
      <c r="H40" s="4">
        <v>412293.27899999998</v>
      </c>
      <c r="I40" s="5">
        <f>14003 / 86400</f>
        <v>0.16207175925925926</v>
      </c>
      <c r="J40" t="s">
        <v>35</v>
      </c>
      <c r="K40" t="s">
        <v>52</v>
      </c>
      <c r="L40" s="5">
        <f>43903 / 86400</f>
        <v>0.50813657407407409</v>
      </c>
      <c r="M40" s="5">
        <f>42492 / 86400</f>
        <v>0.49180555555555555</v>
      </c>
    </row>
    <row r="41" spans="1:13" x14ac:dyDescent="0.25">
      <c r="A41" t="s">
        <v>486</v>
      </c>
      <c r="B41" s="3">
        <v>45709.336550925931</v>
      </c>
      <c r="C41" t="s">
        <v>82</v>
      </c>
      <c r="D41" s="3">
        <v>45709.814988425926</v>
      </c>
      <c r="E41" t="s">
        <v>85</v>
      </c>
      <c r="F41" s="4">
        <v>166.40600000000001</v>
      </c>
      <c r="G41" s="4">
        <v>475320.99099999998</v>
      </c>
      <c r="H41" s="4">
        <v>475487.397</v>
      </c>
      <c r="I41" s="5">
        <f>11573 / 86400</f>
        <v>0.13394675925925925</v>
      </c>
      <c r="J41" t="s">
        <v>73</v>
      </c>
      <c r="K41" t="s">
        <v>52</v>
      </c>
      <c r="L41" s="5">
        <f>36287 / 86400</f>
        <v>0.41998842592592595</v>
      </c>
      <c r="M41" s="5">
        <f>50109 / 86400</f>
        <v>0.57996527777777773</v>
      </c>
    </row>
    <row r="42" spans="1:13" x14ac:dyDescent="0.25">
      <c r="A42" t="s">
        <v>487</v>
      </c>
      <c r="B42" s="3">
        <v>45709.003634259258</v>
      </c>
      <c r="C42" t="s">
        <v>86</v>
      </c>
      <c r="D42" s="3">
        <v>45709.86996527778</v>
      </c>
      <c r="E42" t="s">
        <v>81</v>
      </c>
      <c r="F42" s="4">
        <v>8.7059999999999995</v>
      </c>
      <c r="G42" s="4">
        <v>415989.16700000002</v>
      </c>
      <c r="H42" s="4">
        <v>415997.87300000002</v>
      </c>
      <c r="I42" s="5">
        <f>2055 / 86400</f>
        <v>2.3784722222222221E-2</v>
      </c>
      <c r="J42" t="s">
        <v>87</v>
      </c>
      <c r="K42" t="s">
        <v>88</v>
      </c>
      <c r="L42" s="5">
        <f>4372 / 86400</f>
        <v>5.0601851851851849E-2</v>
      </c>
      <c r="M42" s="5">
        <f>82023 / 86400</f>
        <v>0.94934027777777774</v>
      </c>
    </row>
    <row r="43" spans="1:13" x14ac:dyDescent="0.25">
      <c r="A43" t="s">
        <v>488</v>
      </c>
      <c r="B43" s="3">
        <v>45709.174444444448</v>
      </c>
      <c r="C43" t="s">
        <v>24</v>
      </c>
      <c r="D43" s="3">
        <v>45709.997708333336</v>
      </c>
      <c r="E43" t="s">
        <v>24</v>
      </c>
      <c r="F43" s="4">
        <v>290.59899999999999</v>
      </c>
      <c r="G43" s="4">
        <v>329805.70500000002</v>
      </c>
      <c r="H43" s="4">
        <v>330096.304</v>
      </c>
      <c r="I43" s="5">
        <f>22277 / 86400</f>
        <v>0.25783564814814813</v>
      </c>
      <c r="J43" t="s">
        <v>50</v>
      </c>
      <c r="K43" t="s">
        <v>28</v>
      </c>
      <c r="L43" s="5">
        <f>64616 / 86400</f>
        <v>0.74787037037037041</v>
      </c>
      <c r="M43" s="5">
        <f>21779 / 86400</f>
        <v>0.25207175925925923</v>
      </c>
    </row>
    <row r="44" spans="1:13" x14ac:dyDescent="0.25">
      <c r="A44" t="s">
        <v>489</v>
      </c>
      <c r="B44" s="3">
        <v>45709.285185185188</v>
      </c>
      <c r="C44" t="s">
        <v>24</v>
      </c>
      <c r="D44" s="3">
        <v>45709.89770833333</v>
      </c>
      <c r="E44" t="s">
        <v>24</v>
      </c>
      <c r="F44" s="4">
        <v>159.31099999999998</v>
      </c>
      <c r="G44" s="4">
        <v>361431.35399999999</v>
      </c>
      <c r="H44" s="4">
        <v>361590.66499999998</v>
      </c>
      <c r="I44" s="5">
        <f>14879 / 86400</f>
        <v>0.17221064814814815</v>
      </c>
      <c r="J44" t="s">
        <v>73</v>
      </c>
      <c r="K44" t="s">
        <v>57</v>
      </c>
      <c r="L44" s="5">
        <f>39768 / 86400</f>
        <v>0.46027777777777779</v>
      </c>
      <c r="M44" s="5">
        <f>46629 / 86400</f>
        <v>0.53968749999999999</v>
      </c>
    </row>
    <row r="45" spans="1:13" x14ac:dyDescent="0.25">
      <c r="A45" t="s">
        <v>490</v>
      </c>
      <c r="B45" s="3">
        <v>45709.281724537039</v>
      </c>
      <c r="C45" t="s">
        <v>89</v>
      </c>
      <c r="D45" s="3">
        <v>45709.903263888889</v>
      </c>
      <c r="E45" t="s">
        <v>89</v>
      </c>
      <c r="F45" s="4">
        <v>202.09399999999999</v>
      </c>
      <c r="G45" s="4">
        <v>82410.774999999994</v>
      </c>
      <c r="H45" s="4">
        <v>82612.87</v>
      </c>
      <c r="I45" s="5">
        <f>16107 / 86400</f>
        <v>0.18642361111111111</v>
      </c>
      <c r="J45" t="s">
        <v>80</v>
      </c>
      <c r="K45" t="s">
        <v>28</v>
      </c>
      <c r="L45" s="5">
        <f>46391 / 86400</f>
        <v>0.53693287037037041</v>
      </c>
      <c r="M45" s="5">
        <f>40008 / 86400</f>
        <v>0.46305555555555555</v>
      </c>
    </row>
    <row r="46" spans="1:13" x14ac:dyDescent="0.25">
      <c r="A46" t="s">
        <v>491</v>
      </c>
      <c r="B46" s="3">
        <v>45709.205671296295</v>
      </c>
      <c r="C46" t="s">
        <v>37</v>
      </c>
      <c r="D46" s="3">
        <v>45709.928981481484</v>
      </c>
      <c r="E46" t="s">
        <v>37</v>
      </c>
      <c r="F46" s="4">
        <v>217.274</v>
      </c>
      <c r="G46" s="4">
        <v>471390.103</v>
      </c>
      <c r="H46" s="4">
        <v>471607.37699999998</v>
      </c>
      <c r="I46" s="5">
        <f>6014 / 86400</f>
        <v>6.9606481481481478E-2</v>
      </c>
      <c r="J46" t="s">
        <v>90</v>
      </c>
      <c r="K46" t="s">
        <v>91</v>
      </c>
      <c r="L46" s="5">
        <f>28094 / 86400</f>
        <v>0.32516203703703705</v>
      </c>
      <c r="M46" s="5">
        <f>58301 / 86400</f>
        <v>0.67478009259259264</v>
      </c>
    </row>
    <row r="47" spans="1:13" x14ac:dyDescent="0.25">
      <c r="A47" t="s">
        <v>492</v>
      </c>
      <c r="B47" s="3">
        <v>45709.213124999995</v>
      </c>
      <c r="C47" t="s">
        <v>92</v>
      </c>
      <c r="D47" s="3">
        <v>45709.99732638889</v>
      </c>
      <c r="E47" t="s">
        <v>92</v>
      </c>
      <c r="F47" s="4">
        <v>0</v>
      </c>
      <c r="G47" s="4">
        <v>428213.33600000001</v>
      </c>
      <c r="H47" s="4">
        <v>428213.33600000001</v>
      </c>
      <c r="I47" s="5">
        <f>60109 / 86400</f>
        <v>0.69570601851851854</v>
      </c>
      <c r="J47" t="s">
        <v>48</v>
      </c>
      <c r="K47" t="s">
        <v>48</v>
      </c>
      <c r="L47" s="5">
        <f>60237 / 86400</f>
        <v>0.69718749999999996</v>
      </c>
      <c r="M47" s="5">
        <f>26159 / 86400</f>
        <v>0.30276620370370372</v>
      </c>
    </row>
    <row r="48" spans="1:13" x14ac:dyDescent="0.25">
      <c r="A48" t="s">
        <v>493</v>
      </c>
      <c r="B48" s="3">
        <v>45709.181481481486</v>
      </c>
      <c r="C48" t="s">
        <v>24</v>
      </c>
      <c r="D48" s="3">
        <v>45709.813541666663</v>
      </c>
      <c r="E48" t="s">
        <v>24</v>
      </c>
      <c r="F48" s="4">
        <v>205.405</v>
      </c>
      <c r="G48" s="4">
        <v>576683.96</v>
      </c>
      <c r="H48" s="4">
        <v>576889.36499999999</v>
      </c>
      <c r="I48" s="5">
        <f>14589 / 86400</f>
        <v>0.16885416666666667</v>
      </c>
      <c r="J48" t="s">
        <v>93</v>
      </c>
      <c r="K48" t="s">
        <v>28</v>
      </c>
      <c r="L48" s="5">
        <f>47257 / 86400</f>
        <v>0.54695601851851849</v>
      </c>
      <c r="M48" s="5">
        <f>39138 / 86400</f>
        <v>0.45298611111111109</v>
      </c>
    </row>
    <row r="49" spans="1:13" x14ac:dyDescent="0.25">
      <c r="A49" t="s">
        <v>494</v>
      </c>
      <c r="B49" s="3">
        <v>45709.227361111116</v>
      </c>
      <c r="C49" t="s">
        <v>94</v>
      </c>
      <c r="D49" s="3">
        <v>45709.900324074071</v>
      </c>
      <c r="E49" t="s">
        <v>94</v>
      </c>
      <c r="F49" s="4">
        <v>209.51500000000001</v>
      </c>
      <c r="G49" s="4">
        <v>417740.87900000002</v>
      </c>
      <c r="H49" s="4">
        <v>417950.39399999997</v>
      </c>
      <c r="I49" s="5">
        <f>17956 / 86400</f>
        <v>0.20782407407407408</v>
      </c>
      <c r="J49" t="s">
        <v>19</v>
      </c>
      <c r="K49" t="s">
        <v>41</v>
      </c>
      <c r="L49" s="5">
        <f>50111 / 86400</f>
        <v>0.57998842592592592</v>
      </c>
      <c r="M49" s="5">
        <f>36282 / 86400</f>
        <v>0.41993055555555553</v>
      </c>
    </row>
    <row r="50" spans="1:13" x14ac:dyDescent="0.25">
      <c r="A50" t="s">
        <v>495</v>
      </c>
      <c r="B50" s="3">
        <v>45709.453703703708</v>
      </c>
      <c r="C50" t="s">
        <v>95</v>
      </c>
      <c r="D50" s="3">
        <v>45709.67868055556</v>
      </c>
      <c r="E50" t="s">
        <v>89</v>
      </c>
      <c r="F50" s="4">
        <v>9.2780000000000005</v>
      </c>
      <c r="G50" s="4">
        <v>401630.78700000001</v>
      </c>
      <c r="H50" s="4">
        <v>401640.065</v>
      </c>
      <c r="I50" s="5">
        <f>1751 / 86400</f>
        <v>2.0266203703703703E-2</v>
      </c>
      <c r="J50" t="s">
        <v>96</v>
      </c>
      <c r="K50" t="s">
        <v>55</v>
      </c>
      <c r="L50" s="5">
        <f>2878 / 86400</f>
        <v>3.3310185185185186E-2</v>
      </c>
      <c r="M50" s="5">
        <f>83517 / 86400</f>
        <v>0.96663194444444445</v>
      </c>
    </row>
    <row r="51" spans="1:13" x14ac:dyDescent="0.25">
      <c r="A51" t="s">
        <v>496</v>
      </c>
      <c r="B51" s="3">
        <v>45709.204016203701</v>
      </c>
      <c r="C51" t="s">
        <v>24</v>
      </c>
      <c r="D51" s="3">
        <v>45709.857361111106</v>
      </c>
      <c r="E51" t="s">
        <v>24</v>
      </c>
      <c r="F51" s="4">
        <v>225.238</v>
      </c>
      <c r="G51" s="4">
        <v>383453.59700000001</v>
      </c>
      <c r="H51" s="4">
        <v>383678.83500000002</v>
      </c>
      <c r="I51" s="5">
        <f>16647 / 86400</f>
        <v>0.19267361111111111</v>
      </c>
      <c r="J51" t="s">
        <v>19</v>
      </c>
      <c r="K51" t="s">
        <v>52</v>
      </c>
      <c r="L51" s="5">
        <f>48631 / 86400</f>
        <v>0.56285879629629632</v>
      </c>
      <c r="M51" s="5">
        <f>37766 / 86400</f>
        <v>0.43710648148148146</v>
      </c>
    </row>
    <row r="52" spans="1:13" x14ac:dyDescent="0.25">
      <c r="A52" t="s">
        <v>497</v>
      </c>
      <c r="B52" s="3">
        <v>45709.289085648154</v>
      </c>
      <c r="C52" t="s">
        <v>97</v>
      </c>
      <c r="D52" s="3">
        <v>45709.892812499995</v>
      </c>
      <c r="E52" t="s">
        <v>97</v>
      </c>
      <c r="F52" s="4">
        <v>198.10599999999999</v>
      </c>
      <c r="G52" s="4">
        <v>547491.40300000005</v>
      </c>
      <c r="H52" s="4">
        <v>547689.50899999996</v>
      </c>
      <c r="I52" s="5">
        <f>13691 / 86400</f>
        <v>0.15846064814814814</v>
      </c>
      <c r="J52" t="s">
        <v>71</v>
      </c>
      <c r="K52" t="s">
        <v>28</v>
      </c>
      <c r="L52" s="5">
        <f>43601 / 86400</f>
        <v>0.50464120370370369</v>
      </c>
      <c r="M52" s="5">
        <f>42794 / 86400</f>
        <v>0.49530092592592595</v>
      </c>
    </row>
    <row r="53" spans="1:13" x14ac:dyDescent="0.25">
      <c r="A53" t="s">
        <v>498</v>
      </c>
      <c r="B53" s="3">
        <v>45709.00990740741</v>
      </c>
      <c r="C53" t="s">
        <v>98</v>
      </c>
      <c r="D53" s="3">
        <v>45709.99998842593</v>
      </c>
      <c r="E53" t="s">
        <v>99</v>
      </c>
      <c r="F53" s="4">
        <v>260.87400000000002</v>
      </c>
      <c r="G53" s="4">
        <v>105827.511</v>
      </c>
      <c r="H53" s="4">
        <v>106088.38499999999</v>
      </c>
      <c r="I53" s="5">
        <f>18104 / 86400</f>
        <v>0.20953703703703705</v>
      </c>
      <c r="J53" t="s">
        <v>68</v>
      </c>
      <c r="K53" t="s">
        <v>20</v>
      </c>
      <c r="L53" s="5">
        <f>50828 / 86400</f>
        <v>0.588287037037037</v>
      </c>
      <c r="M53" s="5">
        <f>35571 / 86400</f>
        <v>0.41170138888888891</v>
      </c>
    </row>
    <row r="54" spans="1:13" x14ac:dyDescent="0.25">
      <c r="A54" t="s">
        <v>499</v>
      </c>
      <c r="B54" s="3">
        <v>45709.930555555555</v>
      </c>
      <c r="C54" t="s">
        <v>51</v>
      </c>
      <c r="D54" s="3">
        <v>45709.937418981484</v>
      </c>
      <c r="E54" t="s">
        <v>51</v>
      </c>
      <c r="F54" s="4">
        <v>0</v>
      </c>
      <c r="G54" s="4">
        <v>54578.572999999997</v>
      </c>
      <c r="H54" s="4">
        <v>54578.572999999997</v>
      </c>
      <c r="I54" s="5">
        <f>118 / 86400</f>
        <v>1.3657407407407407E-3</v>
      </c>
      <c r="J54" t="s">
        <v>48</v>
      </c>
      <c r="K54" t="s">
        <v>48</v>
      </c>
      <c r="L54" s="5">
        <f>145 / 86400</f>
        <v>1.6782407407407408E-3</v>
      </c>
      <c r="M54" s="5">
        <f>86254 / 86400</f>
        <v>0.99831018518518522</v>
      </c>
    </row>
    <row r="55" spans="1:13" x14ac:dyDescent="0.25">
      <c r="A55" t="s">
        <v>500</v>
      </c>
      <c r="B55" s="3">
        <v>45709.161689814813</v>
      </c>
      <c r="C55" t="s">
        <v>100</v>
      </c>
      <c r="D55" s="3">
        <v>45709.901701388888</v>
      </c>
      <c r="E55" t="s">
        <v>100</v>
      </c>
      <c r="F55" s="4">
        <v>306.24799999999999</v>
      </c>
      <c r="G55" s="4">
        <v>80793.269</v>
      </c>
      <c r="H55" s="4">
        <v>81099.517000000007</v>
      </c>
      <c r="I55" s="5">
        <f>19789 / 86400</f>
        <v>0.22903935185185184</v>
      </c>
      <c r="J55" t="s">
        <v>40</v>
      </c>
      <c r="K55" t="s">
        <v>20</v>
      </c>
      <c r="L55" s="5">
        <f>61355 / 86400</f>
        <v>0.71012731481481484</v>
      </c>
      <c r="M55" s="5">
        <f>25044 / 86400</f>
        <v>0.28986111111111112</v>
      </c>
    </row>
    <row r="56" spans="1:13" x14ac:dyDescent="0.25">
      <c r="A56" t="s">
        <v>501</v>
      </c>
      <c r="B56" s="3">
        <v>45709</v>
      </c>
      <c r="C56" t="s">
        <v>75</v>
      </c>
      <c r="D56" s="3">
        <v>45709.99998842593</v>
      </c>
      <c r="E56" t="s">
        <v>101</v>
      </c>
      <c r="F56" s="4">
        <v>170.512</v>
      </c>
      <c r="G56" s="4">
        <v>42632.332999999999</v>
      </c>
      <c r="H56" s="4">
        <v>42802.845000000001</v>
      </c>
      <c r="I56" s="5">
        <f>11113 / 86400</f>
        <v>0.12862268518518519</v>
      </c>
      <c r="J56" t="s">
        <v>102</v>
      </c>
      <c r="K56" t="s">
        <v>20</v>
      </c>
      <c r="L56" s="5">
        <f>34248 / 86400</f>
        <v>0.3963888888888889</v>
      </c>
      <c r="M56" s="5">
        <f>52151 / 86400</f>
        <v>0.60359953703703706</v>
      </c>
    </row>
    <row r="57" spans="1:13" x14ac:dyDescent="0.25">
      <c r="A57" t="s">
        <v>502</v>
      </c>
      <c r="B57" s="3">
        <v>45709.279074074075</v>
      </c>
      <c r="C57" t="s">
        <v>103</v>
      </c>
      <c r="D57" s="3">
        <v>45709.606412037036</v>
      </c>
      <c r="E57" t="s">
        <v>103</v>
      </c>
      <c r="F57" s="4">
        <v>106.476</v>
      </c>
      <c r="G57" s="4">
        <v>193475.49299999999</v>
      </c>
      <c r="H57" s="4">
        <v>193581.96900000001</v>
      </c>
      <c r="I57" s="5">
        <f>6919 / 86400</f>
        <v>8.0081018518518524E-2</v>
      </c>
      <c r="J57" t="s">
        <v>62</v>
      </c>
      <c r="K57" t="s">
        <v>52</v>
      </c>
      <c r="L57" s="5">
        <f>23132 / 86400</f>
        <v>0.26773148148148146</v>
      </c>
      <c r="M57" s="5">
        <f>63262 / 86400</f>
        <v>0.73219907407407403</v>
      </c>
    </row>
    <row r="58" spans="1:13" x14ac:dyDescent="0.25">
      <c r="A58" t="s">
        <v>503</v>
      </c>
      <c r="B58" s="3">
        <v>45709.245196759264</v>
      </c>
      <c r="C58" t="s">
        <v>89</v>
      </c>
      <c r="D58" s="3">
        <v>45709.851030092592</v>
      </c>
      <c r="E58" t="s">
        <v>89</v>
      </c>
      <c r="F58" s="4">
        <v>198.03700000000001</v>
      </c>
      <c r="G58" s="4">
        <v>524941.69200000004</v>
      </c>
      <c r="H58" s="4">
        <v>525139.72900000005</v>
      </c>
      <c r="I58" s="5">
        <f>17491 / 86400</f>
        <v>0.20244212962962962</v>
      </c>
      <c r="J58" t="s">
        <v>104</v>
      </c>
      <c r="K58" t="s">
        <v>41</v>
      </c>
      <c r="L58" s="5">
        <f>47071 / 86400</f>
        <v>0.54480324074074071</v>
      </c>
      <c r="M58" s="5">
        <f>39325 / 86400</f>
        <v>0.45515046296296297</v>
      </c>
    </row>
    <row r="59" spans="1:13" x14ac:dyDescent="0.25">
      <c r="A59" t="s">
        <v>504</v>
      </c>
      <c r="B59" s="3">
        <v>45709.271550925929</v>
      </c>
      <c r="C59" t="s">
        <v>105</v>
      </c>
      <c r="D59" s="3">
        <v>45709.841400462959</v>
      </c>
      <c r="E59" t="s">
        <v>105</v>
      </c>
      <c r="F59" s="4">
        <v>185.27500000000001</v>
      </c>
      <c r="G59" s="4">
        <v>24382.880000000001</v>
      </c>
      <c r="H59" s="4">
        <v>24568.154999999999</v>
      </c>
      <c r="I59" s="5">
        <f>14460 / 86400</f>
        <v>0.1673611111111111</v>
      </c>
      <c r="J59" t="s">
        <v>35</v>
      </c>
      <c r="K59" t="s">
        <v>41</v>
      </c>
      <c r="L59" s="5">
        <f>45361 / 86400</f>
        <v>0.52501157407407406</v>
      </c>
      <c r="M59" s="5">
        <f>41035 / 86400</f>
        <v>0.47494212962962962</v>
      </c>
    </row>
    <row r="60" spans="1:13" x14ac:dyDescent="0.25">
      <c r="A60" t="s">
        <v>505</v>
      </c>
      <c r="B60" s="3">
        <v>45709.21292824074</v>
      </c>
      <c r="C60" t="s">
        <v>34</v>
      </c>
      <c r="D60" s="3">
        <v>45709.745092592595</v>
      </c>
      <c r="E60" t="s">
        <v>34</v>
      </c>
      <c r="F60" s="4">
        <v>187.49100000000746</v>
      </c>
      <c r="G60" s="4">
        <v>65361.832000000002</v>
      </c>
      <c r="H60" s="4">
        <v>65549.323000000004</v>
      </c>
      <c r="I60" s="5">
        <f>15233 / 86400</f>
        <v>0.17630787037037038</v>
      </c>
      <c r="J60" t="s">
        <v>73</v>
      </c>
      <c r="K60" t="s">
        <v>28</v>
      </c>
      <c r="L60" s="5">
        <f>41260 / 86400</f>
        <v>0.4775462962962963</v>
      </c>
      <c r="M60" s="5">
        <f>45136 / 86400</f>
        <v>0.52240740740740743</v>
      </c>
    </row>
    <row r="61" spans="1:13" x14ac:dyDescent="0.25">
      <c r="A61" t="s">
        <v>506</v>
      </c>
      <c r="B61" s="3">
        <v>45709.275752314818</v>
      </c>
      <c r="C61" t="s">
        <v>70</v>
      </c>
      <c r="D61" s="3">
        <v>45709.773831018523</v>
      </c>
      <c r="E61" t="s">
        <v>69</v>
      </c>
      <c r="F61" s="4">
        <v>139.07900000000001</v>
      </c>
      <c r="G61" s="4">
        <v>5847.3609999999999</v>
      </c>
      <c r="H61" s="4">
        <v>5986.44</v>
      </c>
      <c r="I61" s="5">
        <f>15980 / 86400</f>
        <v>0.1849537037037037</v>
      </c>
      <c r="J61" t="s">
        <v>25</v>
      </c>
      <c r="K61" t="s">
        <v>26</v>
      </c>
      <c r="L61" s="5">
        <f>37141 / 86400</f>
        <v>0.42987268518518518</v>
      </c>
      <c r="M61" s="5">
        <f>49255 / 86400</f>
        <v>0.57008101851851856</v>
      </c>
    </row>
    <row r="62" spans="1:13" x14ac:dyDescent="0.25">
      <c r="A62" t="s">
        <v>507</v>
      </c>
      <c r="B62" s="3">
        <v>45709</v>
      </c>
      <c r="C62" t="s">
        <v>92</v>
      </c>
      <c r="D62" s="3">
        <v>45709.99998842593</v>
      </c>
      <c r="E62" t="s">
        <v>75</v>
      </c>
      <c r="F62" s="4">
        <v>232.24199999999999</v>
      </c>
      <c r="G62" s="4">
        <v>409521.04599999997</v>
      </c>
      <c r="H62" s="4">
        <v>409753.288</v>
      </c>
      <c r="I62" s="5">
        <f>12577 / 86400</f>
        <v>0.14556712962962962</v>
      </c>
      <c r="J62" t="s">
        <v>73</v>
      </c>
      <c r="K62" t="s">
        <v>33</v>
      </c>
      <c r="L62" s="5">
        <f>41735 / 86400</f>
        <v>0.48304398148148148</v>
      </c>
      <c r="M62" s="5">
        <f>44655 / 86400</f>
        <v>0.51684027777777775</v>
      </c>
    </row>
    <row r="63" spans="1:13" x14ac:dyDescent="0.25">
      <c r="A63" t="s">
        <v>508</v>
      </c>
      <c r="B63" s="3">
        <v>45709.010092592594</v>
      </c>
      <c r="C63" t="s">
        <v>106</v>
      </c>
      <c r="D63" s="3">
        <v>45709.99998842593</v>
      </c>
      <c r="E63" t="s">
        <v>107</v>
      </c>
      <c r="F63" s="4">
        <v>203.88900000000001</v>
      </c>
      <c r="G63" s="4">
        <v>552108.84100000001</v>
      </c>
      <c r="H63" s="4">
        <v>552312.73</v>
      </c>
      <c r="I63" s="5">
        <f>15658 / 86400</f>
        <v>0.18122685185185186</v>
      </c>
      <c r="J63" t="s">
        <v>108</v>
      </c>
      <c r="K63" t="s">
        <v>28</v>
      </c>
      <c r="L63" s="5">
        <f>45504 / 86400</f>
        <v>0.52666666666666662</v>
      </c>
      <c r="M63" s="5">
        <f>40894 / 86400</f>
        <v>0.47331018518518519</v>
      </c>
    </row>
    <row r="64" spans="1:13" x14ac:dyDescent="0.25">
      <c r="A64" t="s">
        <v>509</v>
      </c>
      <c r="B64" s="3">
        <v>45709.27652777778</v>
      </c>
      <c r="C64" t="s">
        <v>24</v>
      </c>
      <c r="D64" s="3">
        <v>45709.800370370373</v>
      </c>
      <c r="E64" t="s">
        <v>24</v>
      </c>
      <c r="F64" s="4">
        <v>-60427.040000000008</v>
      </c>
      <c r="G64" s="4">
        <v>61285.79</v>
      </c>
      <c r="H64" s="4">
        <v>858.75</v>
      </c>
      <c r="I64" s="5">
        <f>14189 / 86400</f>
        <v>0.16422453703703704</v>
      </c>
      <c r="J64" t="s">
        <v>109</v>
      </c>
      <c r="K64" t="s">
        <v>110</v>
      </c>
      <c r="L64" s="5">
        <f>39457 / 86400</f>
        <v>0.45667824074074076</v>
      </c>
      <c r="M64" s="5">
        <f>46936 / 86400</f>
        <v>0.54324074074074069</v>
      </c>
    </row>
    <row r="65" spans="1:13" x14ac:dyDescent="0.25">
      <c r="A65" t="s">
        <v>510</v>
      </c>
      <c r="B65" s="3">
        <v>45709</v>
      </c>
      <c r="C65" t="s">
        <v>75</v>
      </c>
      <c r="D65" s="3">
        <v>45709.99998842593</v>
      </c>
      <c r="E65" t="s">
        <v>111</v>
      </c>
      <c r="F65" s="4">
        <v>280.06299999999999</v>
      </c>
      <c r="G65" s="4">
        <v>61502.52</v>
      </c>
      <c r="H65" s="4">
        <v>61782.582999999999</v>
      </c>
      <c r="I65" s="5">
        <f>24883 / 86400</f>
        <v>0.2879976851851852</v>
      </c>
      <c r="J65" t="s">
        <v>112</v>
      </c>
      <c r="K65" t="s">
        <v>28</v>
      </c>
      <c r="L65" s="5">
        <f>63510 / 86400</f>
        <v>0.73506944444444444</v>
      </c>
      <c r="M65" s="5">
        <f>22878 / 86400</f>
        <v>0.26479166666666665</v>
      </c>
    </row>
    <row r="66" spans="1:13" x14ac:dyDescent="0.25">
      <c r="A66" t="s">
        <v>511</v>
      </c>
      <c r="B66" s="3">
        <v>45709.515868055554</v>
      </c>
      <c r="C66" t="s">
        <v>113</v>
      </c>
      <c r="D66" s="3">
        <v>45709.99998842593</v>
      </c>
      <c r="E66" t="s">
        <v>114</v>
      </c>
      <c r="F66" s="4">
        <v>206.40100000000001</v>
      </c>
      <c r="G66" s="4">
        <v>65451.398000000001</v>
      </c>
      <c r="H66" s="4">
        <v>65657.798999999999</v>
      </c>
      <c r="I66" s="5">
        <f>15365 / 86400</f>
        <v>0.17783564814814815</v>
      </c>
      <c r="J66" t="s">
        <v>109</v>
      </c>
      <c r="K66" t="s">
        <v>20</v>
      </c>
      <c r="L66" s="5">
        <f>41731 / 86400</f>
        <v>0.48299768518518521</v>
      </c>
      <c r="M66" s="5">
        <f>44668 / 86400</f>
        <v>0.5169907407407407</v>
      </c>
    </row>
    <row r="67" spans="1:13" x14ac:dyDescent="0.25">
      <c r="A67" t="s">
        <v>512</v>
      </c>
      <c r="B67" s="3">
        <v>45709.025555555556</v>
      </c>
      <c r="C67" t="s">
        <v>113</v>
      </c>
      <c r="D67" s="3">
        <v>45709.888749999998</v>
      </c>
      <c r="E67" t="s">
        <v>113</v>
      </c>
      <c r="F67" s="4">
        <v>186.791</v>
      </c>
      <c r="G67" s="4">
        <v>293321.23800000001</v>
      </c>
      <c r="H67" s="4">
        <v>293508.02899999998</v>
      </c>
      <c r="I67" s="5">
        <f>27101 / 86400</f>
        <v>0.31366898148148148</v>
      </c>
      <c r="J67" t="s">
        <v>115</v>
      </c>
      <c r="K67" t="s">
        <v>55</v>
      </c>
      <c r="L67" s="5">
        <f>54566 / 86400</f>
        <v>0.63155092592592588</v>
      </c>
      <c r="M67" s="5">
        <f>31832 / 86400</f>
        <v>0.36842592592592593</v>
      </c>
    </row>
    <row r="68" spans="1:13" x14ac:dyDescent="0.25">
      <c r="A68" s="6" t="s">
        <v>116</v>
      </c>
      <c r="B68" s="6" t="s">
        <v>117</v>
      </c>
      <c r="C68" s="6" t="s">
        <v>117</v>
      </c>
      <c r="D68" s="6" t="s">
        <v>117</v>
      </c>
      <c r="E68" s="6" t="s">
        <v>117</v>
      </c>
      <c r="F68" s="7">
        <v>-50576.787430289805</v>
      </c>
      <c r="G68" s="6" t="s">
        <v>117</v>
      </c>
      <c r="H68" s="6" t="s">
        <v>117</v>
      </c>
      <c r="I68" s="8">
        <f>845970 / 86400</f>
        <v>9.7913194444444436</v>
      </c>
      <c r="J68" s="6" t="s">
        <v>117</v>
      </c>
      <c r="K68" s="6" t="s">
        <v>117</v>
      </c>
      <c r="L68" s="8">
        <f>2305740 / 86400</f>
        <v>26.686805555555555</v>
      </c>
      <c r="M68" s="8">
        <f>2836142 / 86400</f>
        <v>32.825717592592589</v>
      </c>
    </row>
    <row r="69" spans="1:13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</row>
    <row r="70" spans="1:13" s="9" customFormat="1" x14ac:dyDescent="0.25">
      <c r="A70" s="14" t="s">
        <v>118</v>
      </c>
      <c r="B70" s="14"/>
      <c r="C70" s="14"/>
      <c r="D70" s="14"/>
      <c r="E70" s="14"/>
      <c r="F70" s="14"/>
      <c r="G70" s="14"/>
      <c r="H70" s="14"/>
      <c r="I70" s="14"/>
      <c r="J70" s="14"/>
    </row>
    <row r="71" spans="1:13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</row>
    <row r="72" spans="1:13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</row>
    <row r="73" spans="1:13" s="10" customFormat="1" ht="20.100000000000001" customHeight="1" x14ac:dyDescent="0.35">
      <c r="A73" s="15" t="s">
        <v>453</v>
      </c>
      <c r="B73" s="15"/>
      <c r="C73" s="15"/>
      <c r="D73" s="15"/>
      <c r="E73" s="15"/>
      <c r="F73" s="15"/>
      <c r="G73" s="15"/>
      <c r="H73" s="15"/>
      <c r="I73" s="15"/>
      <c r="J73" s="15"/>
    </row>
    <row r="74" spans="1:13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</row>
    <row r="75" spans="1:13" ht="30" x14ac:dyDescent="0.25">
      <c r="A75" s="2" t="s">
        <v>6</v>
      </c>
      <c r="B75" s="2" t="s">
        <v>7</v>
      </c>
      <c r="C75" s="2" t="s">
        <v>8</v>
      </c>
      <c r="D75" s="2" t="s">
        <v>9</v>
      </c>
      <c r="E75" s="2" t="s">
        <v>10</v>
      </c>
      <c r="F75" s="2" t="s">
        <v>11</v>
      </c>
      <c r="G75" s="2" t="s">
        <v>12</v>
      </c>
      <c r="H75" s="2" t="s">
        <v>13</v>
      </c>
      <c r="I75" s="2" t="s">
        <v>14</v>
      </c>
      <c r="J75" s="2" t="s">
        <v>15</v>
      </c>
      <c r="K75" s="2" t="s">
        <v>16</v>
      </c>
      <c r="L75" s="2" t="s">
        <v>17</v>
      </c>
    </row>
    <row r="76" spans="1:13" x14ac:dyDescent="0.25">
      <c r="A76" s="3">
        <v>45709.242013888885</v>
      </c>
      <c r="B76" t="s">
        <v>18</v>
      </c>
      <c r="C76" s="3">
        <v>45709.244328703702</v>
      </c>
      <c r="D76" t="s">
        <v>18</v>
      </c>
      <c r="E76" s="4">
        <v>2.4E-2</v>
      </c>
      <c r="F76" s="4">
        <v>515760.37699999998</v>
      </c>
      <c r="G76" s="4">
        <v>515760.40100000001</v>
      </c>
      <c r="H76" s="5">
        <f>139 / 86400</f>
        <v>1.6087962962962963E-3</v>
      </c>
      <c r="I76" t="s">
        <v>30</v>
      </c>
      <c r="J76" t="s">
        <v>48</v>
      </c>
      <c r="K76" s="5">
        <f>199 / 86400</f>
        <v>2.3032407407407407E-3</v>
      </c>
      <c r="L76" s="5">
        <f>23449 / 86400</f>
        <v>0.27140046296296294</v>
      </c>
    </row>
    <row r="77" spans="1:13" x14ac:dyDescent="0.25">
      <c r="A77" s="3">
        <v>45709.273715277777</v>
      </c>
      <c r="B77" t="s">
        <v>18</v>
      </c>
      <c r="C77" s="3">
        <v>45709.273761574077</v>
      </c>
      <c r="D77" t="s">
        <v>18</v>
      </c>
      <c r="E77" s="4">
        <v>0</v>
      </c>
      <c r="F77" s="4">
        <v>515760.40100000001</v>
      </c>
      <c r="G77" s="4">
        <v>515760.40100000001</v>
      </c>
      <c r="H77" s="5">
        <f>0 / 86400</f>
        <v>0</v>
      </c>
      <c r="I77" t="s">
        <v>48</v>
      </c>
      <c r="J77" t="s">
        <v>48</v>
      </c>
      <c r="K77" s="5">
        <f>4 / 86400</f>
        <v>4.6296296296296294E-5</v>
      </c>
      <c r="L77" s="5">
        <f>414 / 86400</f>
        <v>4.7916666666666663E-3</v>
      </c>
    </row>
    <row r="78" spans="1:13" x14ac:dyDescent="0.25">
      <c r="A78" s="3">
        <v>45709.278553240743</v>
      </c>
      <c r="B78" t="s">
        <v>18</v>
      </c>
      <c r="C78" s="3">
        <v>45709.293043981481</v>
      </c>
      <c r="D78" t="s">
        <v>119</v>
      </c>
      <c r="E78" s="4">
        <v>5.6639999999999997</v>
      </c>
      <c r="F78" s="4">
        <v>515760.40100000001</v>
      </c>
      <c r="G78" s="4">
        <v>515766.065</v>
      </c>
      <c r="H78" s="5">
        <f>319 / 86400</f>
        <v>3.6921296296296298E-3</v>
      </c>
      <c r="I78" t="s">
        <v>120</v>
      </c>
      <c r="J78" t="s">
        <v>28</v>
      </c>
      <c r="K78" s="5">
        <f>1252 / 86400</f>
        <v>1.4490740740740742E-2</v>
      </c>
      <c r="L78" s="5">
        <f>141 / 86400</f>
        <v>1.6319444444444445E-3</v>
      </c>
    </row>
    <row r="79" spans="1:13" x14ac:dyDescent="0.25">
      <c r="A79" s="3">
        <v>45709.294675925921</v>
      </c>
      <c r="B79" t="s">
        <v>119</v>
      </c>
      <c r="C79" s="3">
        <v>45709.294907407406</v>
      </c>
      <c r="D79" t="s">
        <v>119</v>
      </c>
      <c r="E79" s="4">
        <v>8.9999999999999993E-3</v>
      </c>
      <c r="F79" s="4">
        <v>515766.065</v>
      </c>
      <c r="G79" s="4">
        <v>515766.07400000002</v>
      </c>
      <c r="H79" s="5">
        <f>0 / 86400</f>
        <v>0</v>
      </c>
      <c r="I79" t="s">
        <v>121</v>
      </c>
      <c r="J79" t="s">
        <v>122</v>
      </c>
      <c r="K79" s="5">
        <f>19 / 86400</f>
        <v>2.199074074074074E-4</v>
      </c>
      <c r="L79" s="5">
        <f>91 / 86400</f>
        <v>1.0532407407407407E-3</v>
      </c>
    </row>
    <row r="80" spans="1:13" x14ac:dyDescent="0.25">
      <c r="A80" s="3">
        <v>45709.295960648145</v>
      </c>
      <c r="B80" t="s">
        <v>119</v>
      </c>
      <c r="C80" s="3">
        <v>45709.367048611108</v>
      </c>
      <c r="D80" t="s">
        <v>70</v>
      </c>
      <c r="E80" s="4">
        <v>33.737000000000002</v>
      </c>
      <c r="F80" s="4">
        <v>515766.07400000002</v>
      </c>
      <c r="G80" s="4">
        <v>515799.81099999999</v>
      </c>
      <c r="H80" s="5">
        <f>1559 / 86400</f>
        <v>1.804398148148148E-2</v>
      </c>
      <c r="I80" t="s">
        <v>123</v>
      </c>
      <c r="J80" t="s">
        <v>33</v>
      </c>
      <c r="K80" s="5">
        <f>6141 / 86400</f>
        <v>7.1076388888888883E-2</v>
      </c>
      <c r="L80" s="5">
        <f>546 / 86400</f>
        <v>6.3194444444444444E-3</v>
      </c>
    </row>
    <row r="81" spans="1:12" x14ac:dyDescent="0.25">
      <c r="A81" s="3">
        <v>45709.37336805556</v>
      </c>
      <c r="B81" t="s">
        <v>70</v>
      </c>
      <c r="C81" s="3">
        <v>45709.380069444444</v>
      </c>
      <c r="D81" t="s">
        <v>46</v>
      </c>
      <c r="E81" s="4">
        <v>1.48</v>
      </c>
      <c r="F81" s="4">
        <v>515799.81099999999</v>
      </c>
      <c r="G81" s="4">
        <v>515801.29100000003</v>
      </c>
      <c r="H81" s="5">
        <f>159 / 86400</f>
        <v>1.8402777777777777E-3</v>
      </c>
      <c r="I81" t="s">
        <v>124</v>
      </c>
      <c r="J81" t="s">
        <v>125</v>
      </c>
      <c r="K81" s="5">
        <f>578 / 86400</f>
        <v>6.6898148148148151E-3</v>
      </c>
      <c r="L81" s="5">
        <f>2936 / 86400</f>
        <v>3.3981481481481481E-2</v>
      </c>
    </row>
    <row r="82" spans="1:12" x14ac:dyDescent="0.25">
      <c r="A82" s="3">
        <v>45709.41405092593</v>
      </c>
      <c r="B82" t="s">
        <v>46</v>
      </c>
      <c r="C82" s="3">
        <v>45709.418865740736</v>
      </c>
      <c r="D82" t="s">
        <v>126</v>
      </c>
      <c r="E82" s="4">
        <v>1.226</v>
      </c>
      <c r="F82" s="4">
        <v>515801.29100000003</v>
      </c>
      <c r="G82" s="4">
        <v>515802.51699999999</v>
      </c>
      <c r="H82" s="5">
        <f>40 / 86400</f>
        <v>4.6296296296296298E-4</v>
      </c>
      <c r="I82" t="s">
        <v>127</v>
      </c>
      <c r="J82" t="s">
        <v>128</v>
      </c>
      <c r="K82" s="5">
        <f>415 / 86400</f>
        <v>4.8032407407407407E-3</v>
      </c>
      <c r="L82" s="5">
        <f>462 / 86400</f>
        <v>5.347222222222222E-3</v>
      </c>
    </row>
    <row r="83" spans="1:12" x14ac:dyDescent="0.25">
      <c r="A83" s="3">
        <v>45709.424212962964</v>
      </c>
      <c r="B83" t="s">
        <v>126</v>
      </c>
      <c r="C83" s="3">
        <v>45709.425000000003</v>
      </c>
      <c r="D83" t="s">
        <v>126</v>
      </c>
      <c r="E83" s="4">
        <v>0</v>
      </c>
      <c r="F83" s="4">
        <v>515802.51699999999</v>
      </c>
      <c r="G83" s="4">
        <v>515802.51699999999</v>
      </c>
      <c r="H83" s="5">
        <f>59 / 86400</f>
        <v>6.8287037037037036E-4</v>
      </c>
      <c r="I83" t="s">
        <v>48</v>
      </c>
      <c r="J83" t="s">
        <v>48</v>
      </c>
      <c r="K83" s="5">
        <f>68 / 86400</f>
        <v>7.8703703703703705E-4</v>
      </c>
      <c r="L83" s="5">
        <f>1190 / 86400</f>
        <v>1.3773148148148149E-2</v>
      </c>
    </row>
    <row r="84" spans="1:12" x14ac:dyDescent="0.25">
      <c r="A84" s="3">
        <v>45709.438773148147</v>
      </c>
      <c r="B84" t="s">
        <v>126</v>
      </c>
      <c r="C84" s="3">
        <v>45709.513113425928</v>
      </c>
      <c r="D84" t="s">
        <v>129</v>
      </c>
      <c r="E84" s="4">
        <v>35.457999999999998</v>
      </c>
      <c r="F84" s="4">
        <v>515802.51699999999</v>
      </c>
      <c r="G84" s="4">
        <v>515837.97499999998</v>
      </c>
      <c r="H84" s="5">
        <f>1700 / 86400</f>
        <v>1.9675925925925927E-2</v>
      </c>
      <c r="I84" t="s">
        <v>130</v>
      </c>
      <c r="J84" t="s">
        <v>33</v>
      </c>
      <c r="K84" s="5">
        <f>6422 / 86400</f>
        <v>7.4328703703703702E-2</v>
      </c>
      <c r="L84" s="5">
        <f>14988 / 86400</f>
        <v>0.17347222222222222</v>
      </c>
    </row>
    <row r="85" spans="1:12" x14ac:dyDescent="0.25">
      <c r="A85" s="3">
        <v>45709.686585648145</v>
      </c>
      <c r="B85" t="s">
        <v>129</v>
      </c>
      <c r="C85" s="3">
        <v>45709.776469907403</v>
      </c>
      <c r="D85" t="s">
        <v>70</v>
      </c>
      <c r="E85" s="4">
        <v>36.848999999999997</v>
      </c>
      <c r="F85" s="4">
        <v>515837.97499999998</v>
      </c>
      <c r="G85" s="4">
        <v>515874.82400000002</v>
      </c>
      <c r="H85" s="5">
        <f>2400 / 86400</f>
        <v>2.7777777777777776E-2</v>
      </c>
      <c r="I85" t="s">
        <v>131</v>
      </c>
      <c r="J85" t="s">
        <v>52</v>
      </c>
      <c r="K85" s="5">
        <f>7766 / 86400</f>
        <v>8.9884259259259261E-2</v>
      </c>
      <c r="L85" s="5">
        <f>270 / 86400</f>
        <v>3.1250000000000002E-3</v>
      </c>
    </row>
    <row r="86" spans="1:12" x14ac:dyDescent="0.25">
      <c r="A86" s="3">
        <v>45709.779594907406</v>
      </c>
      <c r="B86" t="s">
        <v>70</v>
      </c>
      <c r="C86" s="3">
        <v>45709.920740740738</v>
      </c>
      <c r="D86" t="s">
        <v>132</v>
      </c>
      <c r="E86" s="4">
        <v>62.253</v>
      </c>
      <c r="F86" s="4">
        <v>515874.82400000002</v>
      </c>
      <c r="G86" s="4">
        <v>515937.07699999999</v>
      </c>
      <c r="H86" s="5">
        <f>3378 / 86400</f>
        <v>3.9097222222222221E-2</v>
      </c>
      <c r="I86" t="s">
        <v>19</v>
      </c>
      <c r="J86" t="s">
        <v>20</v>
      </c>
      <c r="K86" s="5">
        <f>12194 / 86400</f>
        <v>0.14113425925925926</v>
      </c>
      <c r="L86" s="5">
        <f>403 / 86400</f>
        <v>4.6643518518518518E-3</v>
      </c>
    </row>
    <row r="87" spans="1:12" x14ac:dyDescent="0.25">
      <c r="A87" s="3">
        <v>45709.925405092596</v>
      </c>
      <c r="B87" t="s">
        <v>132</v>
      </c>
      <c r="C87" s="3">
        <v>45709.925844907411</v>
      </c>
      <c r="D87" t="s">
        <v>133</v>
      </c>
      <c r="E87" s="4">
        <v>0.03</v>
      </c>
      <c r="F87" s="4">
        <v>515937.07699999999</v>
      </c>
      <c r="G87" s="4">
        <v>515937.10700000002</v>
      </c>
      <c r="H87" s="5">
        <f>19 / 86400</f>
        <v>2.199074074074074E-4</v>
      </c>
      <c r="I87" t="s">
        <v>134</v>
      </c>
      <c r="J87" t="s">
        <v>135</v>
      </c>
      <c r="K87" s="5">
        <f>37 / 86400</f>
        <v>4.2824074074074075E-4</v>
      </c>
      <c r="L87" s="5">
        <f>170 / 86400</f>
        <v>1.9675925925925924E-3</v>
      </c>
    </row>
    <row r="88" spans="1:12" x14ac:dyDescent="0.25">
      <c r="A88" s="3">
        <v>45709.927812499998</v>
      </c>
      <c r="B88" t="s">
        <v>133</v>
      </c>
      <c r="C88" s="3">
        <v>45709.931620370371</v>
      </c>
      <c r="D88" t="s">
        <v>18</v>
      </c>
      <c r="E88" s="4">
        <v>0.54500000000000004</v>
      </c>
      <c r="F88" s="4">
        <v>515937.10700000002</v>
      </c>
      <c r="G88" s="4">
        <v>515937.652</v>
      </c>
      <c r="H88" s="5">
        <f>140 / 86400</f>
        <v>1.6203703703703703E-3</v>
      </c>
      <c r="I88" t="s">
        <v>136</v>
      </c>
      <c r="J88" t="s">
        <v>134</v>
      </c>
      <c r="K88" s="5">
        <f>328 / 86400</f>
        <v>3.7962962962962963E-3</v>
      </c>
      <c r="L88" s="5">
        <f>5907 / 86400</f>
        <v>6.8368055555555557E-2</v>
      </c>
    </row>
    <row r="89" spans="1:12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</row>
    <row r="90" spans="1:12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</row>
    <row r="91" spans="1:12" s="10" customFormat="1" ht="20.100000000000001" customHeight="1" x14ac:dyDescent="0.35">
      <c r="A91" s="15" t="s">
        <v>454</v>
      </c>
      <c r="B91" s="15"/>
      <c r="C91" s="15"/>
      <c r="D91" s="15"/>
      <c r="E91" s="15"/>
      <c r="F91" s="15"/>
      <c r="G91" s="15"/>
      <c r="H91" s="15"/>
      <c r="I91" s="15"/>
      <c r="J91" s="15"/>
    </row>
    <row r="92" spans="1:12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</row>
    <row r="93" spans="1:12" ht="30" x14ac:dyDescent="0.25">
      <c r="A93" s="2" t="s">
        <v>6</v>
      </c>
      <c r="B93" s="2" t="s">
        <v>7</v>
      </c>
      <c r="C93" s="2" t="s">
        <v>8</v>
      </c>
      <c r="D93" s="2" t="s">
        <v>9</v>
      </c>
      <c r="E93" s="2" t="s">
        <v>10</v>
      </c>
      <c r="F93" s="2" t="s">
        <v>11</v>
      </c>
      <c r="G93" s="2" t="s">
        <v>12</v>
      </c>
      <c r="H93" s="2" t="s">
        <v>13</v>
      </c>
      <c r="I93" s="2" t="s">
        <v>14</v>
      </c>
      <c r="J93" s="2" t="s">
        <v>15</v>
      </c>
      <c r="K93" s="2" t="s">
        <v>16</v>
      </c>
      <c r="L93" s="2" t="s">
        <v>17</v>
      </c>
    </row>
    <row r="94" spans="1:12" x14ac:dyDescent="0.25">
      <c r="A94" s="3">
        <v>45709.268553240741</v>
      </c>
      <c r="B94" t="s">
        <v>21</v>
      </c>
      <c r="C94" s="3">
        <v>45709.275949074072</v>
      </c>
      <c r="D94" t="s">
        <v>137</v>
      </c>
      <c r="E94" s="4">
        <v>3.7250000000000001</v>
      </c>
      <c r="F94" s="4">
        <v>329760.57299999997</v>
      </c>
      <c r="G94" s="4">
        <v>329764.29800000001</v>
      </c>
      <c r="H94" s="5">
        <f>159 / 86400</f>
        <v>1.8402777777777777E-3</v>
      </c>
      <c r="I94" t="s">
        <v>138</v>
      </c>
      <c r="J94" t="s">
        <v>136</v>
      </c>
      <c r="K94" s="5">
        <f>639 / 86400</f>
        <v>7.3958333333333333E-3</v>
      </c>
      <c r="L94" s="5">
        <f>26045 / 86400</f>
        <v>0.30144675925925923</v>
      </c>
    </row>
    <row r="95" spans="1:12" x14ac:dyDescent="0.25">
      <c r="A95" s="3">
        <v>45709.308842592596</v>
      </c>
      <c r="B95" t="s">
        <v>137</v>
      </c>
      <c r="C95" s="3">
        <v>45709.381689814814</v>
      </c>
      <c r="D95" t="s">
        <v>139</v>
      </c>
      <c r="E95" s="4">
        <v>30.524000000000001</v>
      </c>
      <c r="F95" s="4">
        <v>329764.29800000001</v>
      </c>
      <c r="G95" s="4">
        <v>329794.82199999999</v>
      </c>
      <c r="H95" s="5">
        <f>1681 / 86400</f>
        <v>1.9456018518518518E-2</v>
      </c>
      <c r="I95" t="s">
        <v>45</v>
      </c>
      <c r="J95" t="s">
        <v>52</v>
      </c>
      <c r="K95" s="5">
        <f>6294 / 86400</f>
        <v>7.2847222222222216E-2</v>
      </c>
      <c r="L95" s="5">
        <f>107 / 86400</f>
        <v>1.238425925925926E-3</v>
      </c>
    </row>
    <row r="96" spans="1:12" x14ac:dyDescent="0.25">
      <c r="A96" s="3">
        <v>45709.382928240739</v>
      </c>
      <c r="B96" t="s">
        <v>139</v>
      </c>
      <c r="C96" s="3">
        <v>45709.494502314818</v>
      </c>
      <c r="D96" t="s">
        <v>70</v>
      </c>
      <c r="E96" s="4">
        <v>48.295000000000002</v>
      </c>
      <c r="F96" s="4">
        <v>329794.82199999999</v>
      </c>
      <c r="G96" s="4">
        <v>329843.11700000003</v>
      </c>
      <c r="H96" s="5">
        <f>3080 / 86400</f>
        <v>3.5648148148148151E-2</v>
      </c>
      <c r="I96" t="s">
        <v>19</v>
      </c>
      <c r="J96" t="s">
        <v>20</v>
      </c>
      <c r="K96" s="5">
        <f>9640 / 86400</f>
        <v>0.11157407407407408</v>
      </c>
      <c r="L96" s="5">
        <f>366 / 86400</f>
        <v>4.2361111111111115E-3</v>
      </c>
    </row>
    <row r="97" spans="1:12" x14ac:dyDescent="0.25">
      <c r="A97" s="3">
        <v>45709.498738425929</v>
      </c>
      <c r="B97" t="s">
        <v>70</v>
      </c>
      <c r="C97" s="3">
        <v>45709.499664351853</v>
      </c>
      <c r="D97" t="s">
        <v>140</v>
      </c>
      <c r="E97" s="4">
        <v>0.124</v>
      </c>
      <c r="F97" s="4">
        <v>329843.11700000003</v>
      </c>
      <c r="G97" s="4">
        <v>329843.24099999998</v>
      </c>
      <c r="H97" s="5">
        <f>0 / 86400</f>
        <v>0</v>
      </c>
      <c r="I97" t="s">
        <v>59</v>
      </c>
      <c r="J97" t="s">
        <v>134</v>
      </c>
      <c r="K97" s="5">
        <f>80 / 86400</f>
        <v>9.2592592592592596E-4</v>
      </c>
      <c r="L97" s="5">
        <f>1969 / 86400</f>
        <v>2.2789351851851852E-2</v>
      </c>
    </row>
    <row r="98" spans="1:12" x14ac:dyDescent="0.25">
      <c r="A98" s="3">
        <v>45709.522453703699</v>
      </c>
      <c r="B98" t="s">
        <v>140</v>
      </c>
      <c r="C98" s="3">
        <v>45709.525474537033</v>
      </c>
      <c r="D98" t="s">
        <v>126</v>
      </c>
      <c r="E98" s="4">
        <v>1.24</v>
      </c>
      <c r="F98" s="4">
        <v>329843.24099999998</v>
      </c>
      <c r="G98" s="4">
        <v>329844.48100000003</v>
      </c>
      <c r="H98" s="5">
        <f>19 / 86400</f>
        <v>2.199074074074074E-4</v>
      </c>
      <c r="I98" t="s">
        <v>141</v>
      </c>
      <c r="J98" t="s">
        <v>52</v>
      </c>
      <c r="K98" s="5">
        <f>261 / 86400</f>
        <v>3.0208333333333333E-3</v>
      </c>
      <c r="L98" s="5">
        <f>773 / 86400</f>
        <v>8.9467592592592585E-3</v>
      </c>
    </row>
    <row r="99" spans="1:12" x14ac:dyDescent="0.25">
      <c r="A99" s="3">
        <v>45709.534421296295</v>
      </c>
      <c r="B99" t="s">
        <v>126</v>
      </c>
      <c r="C99" s="3">
        <v>45709.597650462965</v>
      </c>
      <c r="D99" t="s">
        <v>142</v>
      </c>
      <c r="E99" s="4">
        <v>33.238</v>
      </c>
      <c r="F99" s="4">
        <v>329844.48100000003</v>
      </c>
      <c r="G99" s="4">
        <v>329877.71899999998</v>
      </c>
      <c r="H99" s="5">
        <f>1540 / 86400</f>
        <v>1.7824074074074076E-2</v>
      </c>
      <c r="I99" t="s">
        <v>23</v>
      </c>
      <c r="J99" t="s">
        <v>143</v>
      </c>
      <c r="K99" s="5">
        <f>5462 / 86400</f>
        <v>6.3217592592592589E-2</v>
      </c>
      <c r="L99" s="5">
        <f>48 / 86400</f>
        <v>5.5555555555555556E-4</v>
      </c>
    </row>
    <row r="100" spans="1:12" x14ac:dyDescent="0.25">
      <c r="A100" s="3">
        <v>45709.59820601852</v>
      </c>
      <c r="B100" t="s">
        <v>142</v>
      </c>
      <c r="C100" s="3">
        <v>45709.647141203706</v>
      </c>
      <c r="D100" t="s">
        <v>139</v>
      </c>
      <c r="E100" s="4">
        <v>15.843</v>
      </c>
      <c r="F100" s="4">
        <v>329877.71899999998</v>
      </c>
      <c r="G100" s="4">
        <v>329893.56199999998</v>
      </c>
      <c r="H100" s="5">
        <f>1619 / 86400</f>
        <v>1.8738425925925926E-2</v>
      </c>
      <c r="I100" t="s">
        <v>40</v>
      </c>
      <c r="J100" t="s">
        <v>26</v>
      </c>
      <c r="K100" s="5">
        <f>4228 / 86400</f>
        <v>4.8935185185185186E-2</v>
      </c>
      <c r="L100" s="5">
        <f>91 / 86400</f>
        <v>1.0532407407407407E-3</v>
      </c>
    </row>
    <row r="101" spans="1:12" x14ac:dyDescent="0.25">
      <c r="A101" s="3">
        <v>45709.648194444446</v>
      </c>
      <c r="B101" t="s">
        <v>144</v>
      </c>
      <c r="C101" s="3">
        <v>45709.665277777778</v>
      </c>
      <c r="D101" t="s">
        <v>145</v>
      </c>
      <c r="E101" s="4">
        <v>2.931</v>
      </c>
      <c r="F101" s="4">
        <v>329893.56199999998</v>
      </c>
      <c r="G101" s="4">
        <v>329896.49300000002</v>
      </c>
      <c r="H101" s="5">
        <f>920 / 86400</f>
        <v>1.0648148148148148E-2</v>
      </c>
      <c r="I101" t="s">
        <v>146</v>
      </c>
      <c r="J101" t="s">
        <v>88</v>
      </c>
      <c r="K101" s="5">
        <f>1475 / 86400</f>
        <v>1.7071759259259259E-2</v>
      </c>
      <c r="L101" s="5">
        <f>46 / 86400</f>
        <v>5.3240740740740744E-4</v>
      </c>
    </row>
    <row r="102" spans="1:12" x14ac:dyDescent="0.25">
      <c r="A102" s="3">
        <v>45709.665810185186</v>
      </c>
      <c r="B102" t="s">
        <v>145</v>
      </c>
      <c r="C102" s="3">
        <v>45709.796018518522</v>
      </c>
      <c r="D102" t="s">
        <v>86</v>
      </c>
      <c r="E102" s="4">
        <v>59.618000000000002</v>
      </c>
      <c r="F102" s="4">
        <v>329896.49300000002</v>
      </c>
      <c r="G102" s="4">
        <v>329956.11099999998</v>
      </c>
      <c r="H102" s="5">
        <f>3400 / 86400</f>
        <v>3.9351851851851853E-2</v>
      </c>
      <c r="I102" t="s">
        <v>56</v>
      </c>
      <c r="J102" t="s">
        <v>77</v>
      </c>
      <c r="K102" s="5">
        <f>11250 / 86400</f>
        <v>0.13020833333333334</v>
      </c>
      <c r="L102" s="5">
        <f>277 / 86400</f>
        <v>3.2060185185185186E-3</v>
      </c>
    </row>
    <row r="103" spans="1:12" x14ac:dyDescent="0.25">
      <c r="A103" s="3">
        <v>45709.799224537041</v>
      </c>
      <c r="B103" t="s">
        <v>86</v>
      </c>
      <c r="C103" s="3">
        <v>45709.804907407408</v>
      </c>
      <c r="D103" t="s">
        <v>22</v>
      </c>
      <c r="E103" s="4">
        <v>1.423</v>
      </c>
      <c r="F103" s="4">
        <v>329956.11099999998</v>
      </c>
      <c r="G103" s="4">
        <v>329957.53399999999</v>
      </c>
      <c r="H103" s="5">
        <f>180 / 86400</f>
        <v>2.0833333333333333E-3</v>
      </c>
      <c r="I103" t="s">
        <v>147</v>
      </c>
      <c r="J103" t="s">
        <v>60</v>
      </c>
      <c r="K103" s="5">
        <f>491 / 86400</f>
        <v>5.6828703703703702E-3</v>
      </c>
      <c r="L103" s="5">
        <f>16855 / 86400</f>
        <v>0.19508101851851853</v>
      </c>
    </row>
    <row r="104" spans="1:12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</row>
    <row r="105" spans="1:12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</row>
    <row r="106" spans="1:12" s="10" customFormat="1" ht="20.100000000000001" customHeight="1" x14ac:dyDescent="0.35">
      <c r="A106" s="15" t="s">
        <v>455</v>
      </c>
      <c r="B106" s="15"/>
      <c r="C106" s="15"/>
      <c r="D106" s="15"/>
      <c r="E106" s="15"/>
      <c r="F106" s="15"/>
      <c r="G106" s="15"/>
      <c r="H106" s="15"/>
      <c r="I106" s="15"/>
      <c r="J106" s="15"/>
    </row>
    <row r="107" spans="1:12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</row>
    <row r="108" spans="1:12" ht="30" x14ac:dyDescent="0.25">
      <c r="A108" s="2" t="s">
        <v>6</v>
      </c>
      <c r="B108" s="2" t="s">
        <v>7</v>
      </c>
      <c r="C108" s="2" t="s">
        <v>8</v>
      </c>
      <c r="D108" s="2" t="s">
        <v>9</v>
      </c>
      <c r="E108" s="2" t="s">
        <v>10</v>
      </c>
      <c r="F108" s="2" t="s">
        <v>11</v>
      </c>
      <c r="G108" s="2" t="s">
        <v>12</v>
      </c>
      <c r="H108" s="2" t="s">
        <v>13</v>
      </c>
      <c r="I108" s="2" t="s">
        <v>14</v>
      </c>
      <c r="J108" s="2" t="s">
        <v>15</v>
      </c>
      <c r="K108" s="2" t="s">
        <v>16</v>
      </c>
      <c r="L108" s="2" t="s">
        <v>17</v>
      </c>
    </row>
    <row r="109" spans="1:12" x14ac:dyDescent="0.25">
      <c r="A109" s="3">
        <v>45709.288356481484</v>
      </c>
      <c r="B109" t="s">
        <v>24</v>
      </c>
      <c r="C109" s="3">
        <v>45709.348900462966</v>
      </c>
      <c r="D109" t="s">
        <v>140</v>
      </c>
      <c r="E109" s="4">
        <v>29.556000000000001</v>
      </c>
      <c r="F109" s="4">
        <v>21675.628000000001</v>
      </c>
      <c r="G109" s="4">
        <v>21705.184000000001</v>
      </c>
      <c r="H109" s="5">
        <f>1139 / 86400</f>
        <v>1.3182870370370371E-2</v>
      </c>
      <c r="I109" t="s">
        <v>148</v>
      </c>
      <c r="J109" t="s">
        <v>33</v>
      </c>
      <c r="K109" s="5">
        <f>5230 / 86400</f>
        <v>6.053240740740741E-2</v>
      </c>
      <c r="L109" s="5">
        <f>25516 / 86400</f>
        <v>0.29532407407407407</v>
      </c>
    </row>
    <row r="110" spans="1:12" x14ac:dyDescent="0.25">
      <c r="A110" s="3">
        <v>45709.355868055558</v>
      </c>
      <c r="B110" t="s">
        <v>70</v>
      </c>
      <c r="C110" s="3">
        <v>45709.36309027778</v>
      </c>
      <c r="D110" t="s">
        <v>149</v>
      </c>
      <c r="E110" s="4">
        <v>0.81799999999999995</v>
      </c>
      <c r="F110" s="4">
        <v>21705.184000000001</v>
      </c>
      <c r="G110" s="4">
        <v>21706.002</v>
      </c>
      <c r="H110" s="5">
        <f>379 / 86400</f>
        <v>4.386574074074074E-3</v>
      </c>
      <c r="I110" t="s">
        <v>150</v>
      </c>
      <c r="J110" t="s">
        <v>121</v>
      </c>
      <c r="K110" s="5">
        <f>624 / 86400</f>
        <v>7.2222222222222219E-3</v>
      </c>
      <c r="L110" s="5">
        <f>26 / 86400</f>
        <v>3.0092592592592595E-4</v>
      </c>
    </row>
    <row r="111" spans="1:12" x14ac:dyDescent="0.25">
      <c r="A111" s="3">
        <v>45709.363391203704</v>
      </c>
      <c r="B111" t="s">
        <v>149</v>
      </c>
      <c r="C111" s="3">
        <v>45709.363819444443</v>
      </c>
      <c r="D111" t="s">
        <v>151</v>
      </c>
      <c r="E111" s="4">
        <v>2.8000000000000001E-2</v>
      </c>
      <c r="F111" s="4">
        <v>21706.002</v>
      </c>
      <c r="G111" s="4">
        <v>21706.03</v>
      </c>
      <c r="H111" s="5">
        <f>0 / 86400</f>
        <v>0</v>
      </c>
      <c r="I111" t="s">
        <v>88</v>
      </c>
      <c r="J111" t="s">
        <v>135</v>
      </c>
      <c r="K111" s="5">
        <f>37 / 86400</f>
        <v>4.2824074074074075E-4</v>
      </c>
      <c r="L111" s="5">
        <f>315 / 86400</f>
        <v>3.6458333333333334E-3</v>
      </c>
    </row>
    <row r="112" spans="1:12" x14ac:dyDescent="0.25">
      <c r="A112" s="3">
        <v>45709.367465277777</v>
      </c>
      <c r="B112" t="s">
        <v>151</v>
      </c>
      <c r="C112" s="3">
        <v>45709.36818287037</v>
      </c>
      <c r="D112" t="s">
        <v>151</v>
      </c>
      <c r="E112" s="4">
        <v>2.5000000000000001E-2</v>
      </c>
      <c r="F112" s="4">
        <v>21706.03</v>
      </c>
      <c r="G112" s="4">
        <v>21706.055</v>
      </c>
      <c r="H112" s="5">
        <f>40 / 86400</f>
        <v>4.6296296296296298E-4</v>
      </c>
      <c r="I112" t="s">
        <v>122</v>
      </c>
      <c r="J112" t="s">
        <v>47</v>
      </c>
      <c r="K112" s="5">
        <f>62 / 86400</f>
        <v>7.1759259259259259E-4</v>
      </c>
      <c r="L112" s="5">
        <f>307 / 86400</f>
        <v>3.5532407407407409E-3</v>
      </c>
    </row>
    <row r="113" spans="1:12" x14ac:dyDescent="0.25">
      <c r="A113" s="3">
        <v>45709.371736111112</v>
      </c>
      <c r="B113" t="s">
        <v>151</v>
      </c>
      <c r="C113" s="3">
        <v>45709.51053240741</v>
      </c>
      <c r="D113" t="s">
        <v>152</v>
      </c>
      <c r="E113" s="4">
        <v>50.051000000000002</v>
      </c>
      <c r="F113" s="4">
        <v>21706.055</v>
      </c>
      <c r="G113" s="4">
        <v>21756.106</v>
      </c>
      <c r="H113" s="5">
        <f>4558 / 86400</f>
        <v>5.275462962962963E-2</v>
      </c>
      <c r="I113" t="s">
        <v>25</v>
      </c>
      <c r="J113" t="s">
        <v>41</v>
      </c>
      <c r="K113" s="5">
        <f>11991 / 86400</f>
        <v>0.13878472222222221</v>
      </c>
      <c r="L113" s="5">
        <f>4384 / 86400</f>
        <v>5.0740740740740739E-2</v>
      </c>
    </row>
    <row r="114" spans="1:12" x14ac:dyDescent="0.25">
      <c r="A114" s="3">
        <v>45709.561273148152</v>
      </c>
      <c r="B114" t="s">
        <v>152</v>
      </c>
      <c r="C114" s="3">
        <v>45709.567997685182</v>
      </c>
      <c r="D114" t="s">
        <v>153</v>
      </c>
      <c r="E114" s="4">
        <v>1.3220000000000001</v>
      </c>
      <c r="F114" s="4">
        <v>21756.106</v>
      </c>
      <c r="G114" s="4">
        <v>21757.428</v>
      </c>
      <c r="H114" s="5">
        <f>319 / 86400</f>
        <v>3.6921296296296298E-3</v>
      </c>
      <c r="I114" t="s">
        <v>154</v>
      </c>
      <c r="J114" t="s">
        <v>59</v>
      </c>
      <c r="K114" s="5">
        <f>581 / 86400</f>
        <v>6.7245370370370367E-3</v>
      </c>
      <c r="L114" s="5">
        <f>241 / 86400</f>
        <v>2.7893518518518519E-3</v>
      </c>
    </row>
    <row r="115" spans="1:12" x14ac:dyDescent="0.25">
      <c r="A115" s="3">
        <v>45709.570787037039</v>
      </c>
      <c r="B115" t="s">
        <v>153</v>
      </c>
      <c r="C115" s="3">
        <v>45709.60019675926</v>
      </c>
      <c r="D115" t="s">
        <v>155</v>
      </c>
      <c r="E115" s="4">
        <v>6.8869999999999996</v>
      </c>
      <c r="F115" s="4">
        <v>21757.428</v>
      </c>
      <c r="G115" s="4">
        <v>21764.314999999999</v>
      </c>
      <c r="H115" s="5">
        <f>1159 / 86400</f>
        <v>1.3414351851851853E-2</v>
      </c>
      <c r="I115" t="s">
        <v>156</v>
      </c>
      <c r="J115" t="s">
        <v>60</v>
      </c>
      <c r="K115" s="5">
        <f>2540 / 86400</f>
        <v>2.9398148148148149E-2</v>
      </c>
      <c r="L115" s="5">
        <f>28 / 86400</f>
        <v>3.2407407407407406E-4</v>
      </c>
    </row>
    <row r="116" spans="1:12" x14ac:dyDescent="0.25">
      <c r="A116" s="3">
        <v>45709.600520833337</v>
      </c>
      <c r="B116" t="s">
        <v>155</v>
      </c>
      <c r="C116" s="3">
        <v>45709.600972222222</v>
      </c>
      <c r="D116" t="s">
        <v>157</v>
      </c>
      <c r="E116" s="4">
        <v>2.1999999999999999E-2</v>
      </c>
      <c r="F116" s="4">
        <v>21764.314999999999</v>
      </c>
      <c r="G116" s="4">
        <v>21764.337</v>
      </c>
      <c r="H116" s="5">
        <f>20 / 86400</f>
        <v>2.3148148148148149E-4</v>
      </c>
      <c r="I116" t="s">
        <v>59</v>
      </c>
      <c r="J116" t="s">
        <v>122</v>
      </c>
      <c r="K116" s="5">
        <f>39 / 86400</f>
        <v>4.5138888888888887E-4</v>
      </c>
      <c r="L116" s="5">
        <f>72 / 86400</f>
        <v>8.3333333333333339E-4</v>
      </c>
    </row>
    <row r="117" spans="1:12" x14ac:dyDescent="0.25">
      <c r="A117" s="3">
        <v>45709.601805555554</v>
      </c>
      <c r="B117" t="s">
        <v>157</v>
      </c>
      <c r="C117" s="3">
        <v>45709.609606481477</v>
      </c>
      <c r="D117" t="s">
        <v>158</v>
      </c>
      <c r="E117" s="4">
        <v>2.1080000000000001</v>
      </c>
      <c r="F117" s="4">
        <v>21764.337</v>
      </c>
      <c r="G117" s="4">
        <v>21766.445</v>
      </c>
      <c r="H117" s="5">
        <f>179 / 86400</f>
        <v>2.0717592592592593E-3</v>
      </c>
      <c r="I117" t="s">
        <v>87</v>
      </c>
      <c r="J117" t="s">
        <v>128</v>
      </c>
      <c r="K117" s="5">
        <f>673 / 86400</f>
        <v>7.789351851851852E-3</v>
      </c>
      <c r="L117" s="5">
        <f>129 / 86400</f>
        <v>1.4930555555555556E-3</v>
      </c>
    </row>
    <row r="118" spans="1:12" x14ac:dyDescent="0.25">
      <c r="A118" s="3">
        <v>45709.61109953704</v>
      </c>
      <c r="B118" t="s">
        <v>158</v>
      </c>
      <c r="C118" s="3">
        <v>45709.612604166672</v>
      </c>
      <c r="D118" t="s">
        <v>159</v>
      </c>
      <c r="E118" s="4">
        <v>0.48799999999999999</v>
      </c>
      <c r="F118" s="4">
        <v>21766.445</v>
      </c>
      <c r="G118" s="4">
        <v>21766.933000000001</v>
      </c>
      <c r="H118" s="5">
        <f>0 / 86400</f>
        <v>0</v>
      </c>
      <c r="I118" t="s">
        <v>150</v>
      </c>
      <c r="J118" t="s">
        <v>57</v>
      </c>
      <c r="K118" s="5">
        <f>130 / 86400</f>
        <v>1.5046296296296296E-3</v>
      </c>
      <c r="L118" s="5">
        <f>74 / 86400</f>
        <v>8.564814814814815E-4</v>
      </c>
    </row>
    <row r="119" spans="1:12" x14ac:dyDescent="0.25">
      <c r="A119" s="3">
        <v>45709.61346064815</v>
      </c>
      <c r="B119" t="s">
        <v>159</v>
      </c>
      <c r="C119" s="3">
        <v>45709.614155092597</v>
      </c>
      <c r="D119" t="s">
        <v>160</v>
      </c>
      <c r="E119" s="4">
        <v>3.4000000000000002E-2</v>
      </c>
      <c r="F119" s="4">
        <v>21766.933000000001</v>
      </c>
      <c r="G119" s="4">
        <v>21766.967000000001</v>
      </c>
      <c r="H119" s="5">
        <f>19 / 86400</f>
        <v>2.199074074074074E-4</v>
      </c>
      <c r="I119" t="s">
        <v>60</v>
      </c>
      <c r="J119" t="s">
        <v>122</v>
      </c>
      <c r="K119" s="5">
        <f>60 / 86400</f>
        <v>6.9444444444444447E-4</v>
      </c>
      <c r="L119" s="5">
        <f>241 / 86400</f>
        <v>2.7893518518518519E-3</v>
      </c>
    </row>
    <row r="120" spans="1:12" x14ac:dyDescent="0.25">
      <c r="A120" s="3">
        <v>45709.616944444446</v>
      </c>
      <c r="B120" t="s">
        <v>160</v>
      </c>
      <c r="C120" s="3">
        <v>45709.61819444444</v>
      </c>
      <c r="D120" t="s">
        <v>161</v>
      </c>
      <c r="E120" s="4">
        <v>0.34399999999999997</v>
      </c>
      <c r="F120" s="4">
        <v>21766.967000000001</v>
      </c>
      <c r="G120" s="4">
        <v>21767.311000000002</v>
      </c>
      <c r="H120" s="5">
        <f>20 / 86400</f>
        <v>2.3148148148148149E-4</v>
      </c>
      <c r="I120" t="s">
        <v>77</v>
      </c>
      <c r="J120" t="s">
        <v>55</v>
      </c>
      <c r="K120" s="5">
        <f>107 / 86400</f>
        <v>1.238425925925926E-3</v>
      </c>
      <c r="L120" s="5">
        <f>62 / 86400</f>
        <v>7.1759259259259259E-4</v>
      </c>
    </row>
    <row r="121" spans="1:12" x14ac:dyDescent="0.25">
      <c r="A121" s="3">
        <v>45709.61891203704</v>
      </c>
      <c r="B121" t="s">
        <v>161</v>
      </c>
      <c r="C121" s="3">
        <v>45709.619479166664</v>
      </c>
      <c r="D121" t="s">
        <v>161</v>
      </c>
      <c r="E121" s="4">
        <v>3.7999999999999999E-2</v>
      </c>
      <c r="F121" s="4">
        <v>21767.311000000002</v>
      </c>
      <c r="G121" s="4">
        <v>21767.348999999998</v>
      </c>
      <c r="H121" s="5">
        <f>40 / 86400</f>
        <v>4.6296296296296298E-4</v>
      </c>
      <c r="I121" t="s">
        <v>88</v>
      </c>
      <c r="J121" t="s">
        <v>135</v>
      </c>
      <c r="K121" s="5">
        <f>48 / 86400</f>
        <v>5.5555555555555556E-4</v>
      </c>
      <c r="L121" s="5">
        <f>1194 / 86400</f>
        <v>1.3819444444444445E-2</v>
      </c>
    </row>
    <row r="122" spans="1:12" x14ac:dyDescent="0.25">
      <c r="A122" s="3">
        <v>45709.633298611108</v>
      </c>
      <c r="B122" t="s">
        <v>161</v>
      </c>
      <c r="C122" s="3">
        <v>45709.636145833334</v>
      </c>
      <c r="D122" t="s">
        <v>161</v>
      </c>
      <c r="E122" s="4">
        <v>0.76700000000000002</v>
      </c>
      <c r="F122" s="4">
        <v>21767.348999999998</v>
      </c>
      <c r="G122" s="4">
        <v>21768.116000000002</v>
      </c>
      <c r="H122" s="5">
        <f>119 / 86400</f>
        <v>1.3773148148148147E-3</v>
      </c>
      <c r="I122" t="s">
        <v>162</v>
      </c>
      <c r="J122" t="s">
        <v>128</v>
      </c>
      <c r="K122" s="5">
        <f>245 / 86400</f>
        <v>2.8356481481481483E-3</v>
      </c>
      <c r="L122" s="5">
        <f>6574 / 86400</f>
        <v>7.6087962962962968E-2</v>
      </c>
    </row>
    <row r="123" spans="1:12" x14ac:dyDescent="0.25">
      <c r="A123" s="3">
        <v>45709.712233796294</v>
      </c>
      <c r="B123" t="s">
        <v>161</v>
      </c>
      <c r="C123" s="3">
        <v>45709.839328703703</v>
      </c>
      <c r="D123" t="s">
        <v>24</v>
      </c>
      <c r="E123" s="4">
        <v>32.807000000000002</v>
      </c>
      <c r="F123" s="4">
        <v>21768.116000000002</v>
      </c>
      <c r="G123" s="4">
        <v>21800.922999999999</v>
      </c>
      <c r="H123" s="5">
        <f>4460 / 86400</f>
        <v>5.1620370370370372E-2</v>
      </c>
      <c r="I123" t="s">
        <v>163</v>
      </c>
      <c r="J123" t="s">
        <v>128</v>
      </c>
      <c r="K123" s="5">
        <f>10980 / 86400</f>
        <v>0.12708333333333333</v>
      </c>
      <c r="L123" s="5">
        <f>656 / 86400</f>
        <v>7.5925925925925926E-3</v>
      </c>
    </row>
    <row r="124" spans="1:12" x14ac:dyDescent="0.25">
      <c r="A124" s="3">
        <v>45709.846921296295</v>
      </c>
      <c r="B124" t="s">
        <v>24</v>
      </c>
      <c r="C124" s="3">
        <v>45709.858148148152</v>
      </c>
      <c r="D124" t="s">
        <v>24</v>
      </c>
      <c r="E124" s="4">
        <v>1.629</v>
      </c>
      <c r="F124" s="4">
        <v>21800.922999999999</v>
      </c>
      <c r="G124" s="4">
        <v>21802.552</v>
      </c>
      <c r="H124" s="5">
        <f>403 / 86400</f>
        <v>4.6643518518518518E-3</v>
      </c>
      <c r="I124" t="s">
        <v>143</v>
      </c>
      <c r="J124" t="s">
        <v>134</v>
      </c>
      <c r="K124" s="5">
        <f>969 / 86400</f>
        <v>1.1215277777777777E-2</v>
      </c>
      <c r="L124" s="5">
        <f>6710 / 86400</f>
        <v>7.7662037037037043E-2</v>
      </c>
    </row>
    <row r="125" spans="1:12" x14ac:dyDescent="0.25">
      <c r="A125" s="3">
        <v>45709.935810185183</v>
      </c>
      <c r="B125" t="s">
        <v>24</v>
      </c>
      <c r="C125" s="3">
        <v>45709.944270833337</v>
      </c>
      <c r="D125" t="s">
        <v>24</v>
      </c>
      <c r="E125" s="4">
        <v>1.7010000000000001</v>
      </c>
      <c r="F125" s="4">
        <v>21802.552</v>
      </c>
      <c r="G125" s="4">
        <v>21804.253000000001</v>
      </c>
      <c r="H125" s="5">
        <f>159 / 86400</f>
        <v>1.8402777777777777E-3</v>
      </c>
      <c r="I125" t="s">
        <v>20</v>
      </c>
      <c r="J125" t="s">
        <v>59</v>
      </c>
      <c r="K125" s="5">
        <f>730 / 86400</f>
        <v>8.4490740740740741E-3</v>
      </c>
      <c r="L125" s="5">
        <f>4814 / 86400</f>
        <v>5.5717592592592589E-2</v>
      </c>
    </row>
    <row r="126" spans="1:12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</row>
    <row r="127" spans="1:12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</row>
    <row r="128" spans="1:12" s="10" customFormat="1" ht="20.100000000000001" customHeight="1" x14ac:dyDescent="0.35">
      <c r="A128" s="15" t="s">
        <v>456</v>
      </c>
      <c r="B128" s="15"/>
      <c r="C128" s="15"/>
      <c r="D128" s="15"/>
      <c r="E128" s="15"/>
      <c r="F128" s="15"/>
      <c r="G128" s="15"/>
      <c r="H128" s="15"/>
      <c r="I128" s="15"/>
      <c r="J128" s="15"/>
    </row>
    <row r="129" spans="1:12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</row>
    <row r="130" spans="1:12" ht="30" x14ac:dyDescent="0.25">
      <c r="A130" s="2" t="s">
        <v>6</v>
      </c>
      <c r="B130" s="2" t="s">
        <v>7</v>
      </c>
      <c r="C130" s="2" t="s">
        <v>8</v>
      </c>
      <c r="D130" s="2" t="s">
        <v>9</v>
      </c>
      <c r="E130" s="2" t="s">
        <v>10</v>
      </c>
      <c r="F130" s="2" t="s">
        <v>11</v>
      </c>
      <c r="G130" s="2" t="s">
        <v>12</v>
      </c>
      <c r="H130" s="2" t="s">
        <v>13</v>
      </c>
      <c r="I130" s="2" t="s">
        <v>14</v>
      </c>
      <c r="J130" s="2" t="s">
        <v>15</v>
      </c>
      <c r="K130" s="2" t="s">
        <v>16</v>
      </c>
      <c r="L130" s="2" t="s">
        <v>17</v>
      </c>
    </row>
    <row r="131" spans="1:12" x14ac:dyDescent="0.25">
      <c r="A131" s="3">
        <v>45709.243148148147</v>
      </c>
      <c r="B131" t="s">
        <v>27</v>
      </c>
      <c r="C131" s="3">
        <v>45709.258831018524</v>
      </c>
      <c r="D131" t="s">
        <v>92</v>
      </c>
      <c r="E131" s="4">
        <v>4.1390000000000002</v>
      </c>
      <c r="F131" s="4">
        <v>514661.17499999999</v>
      </c>
      <c r="G131" s="4">
        <v>514665.31400000001</v>
      </c>
      <c r="H131" s="5">
        <f>719 / 86400</f>
        <v>8.3217592592592596E-3</v>
      </c>
      <c r="I131" t="s">
        <v>163</v>
      </c>
      <c r="J131" t="s">
        <v>128</v>
      </c>
      <c r="K131" s="5">
        <f>1355 / 86400</f>
        <v>1.5682870370370371E-2</v>
      </c>
      <c r="L131" s="5">
        <f>21523 / 86400</f>
        <v>0.24910879629629629</v>
      </c>
    </row>
    <row r="132" spans="1:12" x14ac:dyDescent="0.25">
      <c r="A132" s="3">
        <v>45709.264791666668</v>
      </c>
      <c r="B132" t="s">
        <v>92</v>
      </c>
      <c r="C132" s="3">
        <v>45709.316099537042</v>
      </c>
      <c r="D132" t="s">
        <v>164</v>
      </c>
      <c r="E132" s="4">
        <v>29.760999999999999</v>
      </c>
      <c r="F132" s="4">
        <v>514665.31400000001</v>
      </c>
      <c r="G132" s="4">
        <v>514695.07500000001</v>
      </c>
      <c r="H132" s="5">
        <f>899 / 86400</f>
        <v>1.0405092592592593E-2</v>
      </c>
      <c r="I132" t="s">
        <v>165</v>
      </c>
      <c r="J132" t="s">
        <v>127</v>
      </c>
      <c r="K132" s="5">
        <f>4432 / 86400</f>
        <v>5.1296296296296298E-2</v>
      </c>
      <c r="L132" s="5">
        <f>3324 / 86400</f>
        <v>3.847222222222222E-2</v>
      </c>
    </row>
    <row r="133" spans="1:12" x14ac:dyDescent="0.25">
      <c r="A133" s="3">
        <v>45709.354571759264</v>
      </c>
      <c r="B133" t="s">
        <v>164</v>
      </c>
      <c r="C133" s="3">
        <v>45709.357708333337</v>
      </c>
      <c r="D133" t="s">
        <v>126</v>
      </c>
      <c r="E133" s="4">
        <v>0.86799999999999999</v>
      </c>
      <c r="F133" s="4">
        <v>514695.07500000001</v>
      </c>
      <c r="G133" s="4">
        <v>514695.94300000003</v>
      </c>
      <c r="H133" s="5">
        <f>20 / 86400</f>
        <v>2.3148148148148149E-4</v>
      </c>
      <c r="I133" t="s">
        <v>143</v>
      </c>
      <c r="J133" t="s">
        <v>55</v>
      </c>
      <c r="K133" s="5">
        <f>270 / 86400</f>
        <v>3.1250000000000002E-3</v>
      </c>
      <c r="L133" s="5">
        <f>1192 / 86400</f>
        <v>1.3796296296296296E-2</v>
      </c>
    </row>
    <row r="134" spans="1:12" x14ac:dyDescent="0.25">
      <c r="A134" s="3">
        <v>45709.371504629627</v>
      </c>
      <c r="B134" t="s">
        <v>126</v>
      </c>
      <c r="C134" s="3">
        <v>45709.371805555551</v>
      </c>
      <c r="D134" t="s">
        <v>126</v>
      </c>
      <c r="E134" s="4">
        <v>4.2000000000000003E-2</v>
      </c>
      <c r="F134" s="4">
        <v>514695.94300000003</v>
      </c>
      <c r="G134" s="4">
        <v>514695.98499999999</v>
      </c>
      <c r="H134" s="5">
        <f>0 / 86400</f>
        <v>0</v>
      </c>
      <c r="I134" t="s">
        <v>88</v>
      </c>
      <c r="J134" t="s">
        <v>134</v>
      </c>
      <c r="K134" s="5">
        <f>26 / 86400</f>
        <v>3.0092592592592595E-4</v>
      </c>
      <c r="L134" s="5">
        <f>65 / 86400</f>
        <v>7.5231481481481482E-4</v>
      </c>
    </row>
    <row r="135" spans="1:12" x14ac:dyDescent="0.25">
      <c r="A135" s="3">
        <v>45709.372557870374</v>
      </c>
      <c r="B135" t="s">
        <v>126</v>
      </c>
      <c r="C135" s="3">
        <v>45709.495868055557</v>
      </c>
      <c r="D135" t="s">
        <v>166</v>
      </c>
      <c r="E135" s="4">
        <v>51.680999999999997</v>
      </c>
      <c r="F135" s="4">
        <v>514695.98499999999</v>
      </c>
      <c r="G135" s="4">
        <v>514747.66600000003</v>
      </c>
      <c r="H135" s="5">
        <f>3061 / 86400</f>
        <v>3.5428240740740739E-2</v>
      </c>
      <c r="I135" t="s">
        <v>40</v>
      </c>
      <c r="J135" t="s">
        <v>52</v>
      </c>
      <c r="K135" s="5">
        <f>10653 / 86400</f>
        <v>0.12329861111111111</v>
      </c>
      <c r="L135" s="5">
        <f>246 / 86400</f>
        <v>2.8472222222222223E-3</v>
      </c>
    </row>
    <row r="136" spans="1:12" x14ac:dyDescent="0.25">
      <c r="A136" s="3">
        <v>45709.498715277776</v>
      </c>
      <c r="B136" t="s">
        <v>166</v>
      </c>
      <c r="C136" s="3">
        <v>45709.638587962967</v>
      </c>
      <c r="D136" t="s">
        <v>164</v>
      </c>
      <c r="E136" s="4">
        <v>50.8</v>
      </c>
      <c r="F136" s="4">
        <v>514747.66600000003</v>
      </c>
      <c r="G136" s="4">
        <v>514798.46600000001</v>
      </c>
      <c r="H136" s="5">
        <f>3718 / 86400</f>
        <v>4.3032407407407408E-2</v>
      </c>
      <c r="I136" t="s">
        <v>167</v>
      </c>
      <c r="J136" t="s">
        <v>41</v>
      </c>
      <c r="K136" s="5">
        <f>12085 / 86400</f>
        <v>0.1398726851851852</v>
      </c>
      <c r="L136" s="5">
        <f>3515 / 86400</f>
        <v>4.0682870370370369E-2</v>
      </c>
    </row>
    <row r="137" spans="1:12" x14ac:dyDescent="0.25">
      <c r="A137" s="3">
        <v>45709.679270833338</v>
      </c>
      <c r="B137" t="s">
        <v>164</v>
      </c>
      <c r="C137" s="3">
        <v>45709.682118055556</v>
      </c>
      <c r="D137" t="s">
        <v>70</v>
      </c>
      <c r="E137" s="4">
        <v>0.93400000000000005</v>
      </c>
      <c r="F137" s="4">
        <v>514798.46600000001</v>
      </c>
      <c r="G137" s="4">
        <v>514799.4</v>
      </c>
      <c r="H137" s="5">
        <f>20 / 86400</f>
        <v>2.3148148148148149E-4</v>
      </c>
      <c r="I137" t="s">
        <v>168</v>
      </c>
      <c r="J137" t="s">
        <v>57</v>
      </c>
      <c r="K137" s="5">
        <f>245 / 86400</f>
        <v>2.8356481481481483E-3</v>
      </c>
      <c r="L137" s="5">
        <f>333 / 86400</f>
        <v>3.8541666666666668E-3</v>
      </c>
    </row>
    <row r="138" spans="1:12" x14ac:dyDescent="0.25">
      <c r="A138" s="3">
        <v>45709.685972222222</v>
      </c>
      <c r="B138" t="s">
        <v>70</v>
      </c>
      <c r="C138" s="3">
        <v>45709.686412037037</v>
      </c>
      <c r="D138" t="s">
        <v>70</v>
      </c>
      <c r="E138" s="4">
        <v>3.9E-2</v>
      </c>
      <c r="F138" s="4">
        <v>514799.4</v>
      </c>
      <c r="G138" s="4">
        <v>514799.43900000001</v>
      </c>
      <c r="H138" s="5">
        <f>0 / 86400</f>
        <v>0</v>
      </c>
      <c r="I138" t="s">
        <v>88</v>
      </c>
      <c r="J138" t="s">
        <v>30</v>
      </c>
      <c r="K138" s="5">
        <f>37 / 86400</f>
        <v>4.2824074074074075E-4</v>
      </c>
      <c r="L138" s="5">
        <f>812 / 86400</f>
        <v>9.3981481481481485E-3</v>
      </c>
    </row>
    <row r="139" spans="1:12" x14ac:dyDescent="0.25">
      <c r="A139" s="3">
        <v>45709.695810185185</v>
      </c>
      <c r="B139" t="s">
        <v>70</v>
      </c>
      <c r="C139" s="3">
        <v>45709.902037037042</v>
      </c>
      <c r="D139" t="s">
        <v>169</v>
      </c>
      <c r="E139" s="4">
        <v>74.475999999999999</v>
      </c>
      <c r="F139" s="4">
        <v>514799.43900000001</v>
      </c>
      <c r="G139" s="4">
        <v>514873.91499999998</v>
      </c>
      <c r="H139" s="5">
        <f>6200 / 86400</f>
        <v>7.1759259259259259E-2</v>
      </c>
      <c r="I139" t="s">
        <v>19</v>
      </c>
      <c r="J139" t="s">
        <v>41</v>
      </c>
      <c r="K139" s="5">
        <f>17818 / 86400</f>
        <v>0.20622685185185186</v>
      </c>
      <c r="L139" s="5">
        <f>871 / 86400</f>
        <v>1.0081018518518519E-2</v>
      </c>
    </row>
    <row r="140" spans="1:12" x14ac:dyDescent="0.25">
      <c r="A140" s="3">
        <v>45709.912118055552</v>
      </c>
      <c r="B140" t="s">
        <v>170</v>
      </c>
      <c r="C140" s="3">
        <v>45709.920613425929</v>
      </c>
      <c r="D140" t="s">
        <v>75</v>
      </c>
      <c r="E140" s="4">
        <v>5.8689999999999998</v>
      </c>
      <c r="F140" s="4">
        <v>514873.91499999998</v>
      </c>
      <c r="G140" s="4">
        <v>514879.78399999999</v>
      </c>
      <c r="H140" s="5">
        <f>180 / 86400</f>
        <v>2.0833333333333333E-3</v>
      </c>
      <c r="I140" t="s">
        <v>35</v>
      </c>
      <c r="J140" t="s">
        <v>171</v>
      </c>
      <c r="K140" s="5">
        <f>733 / 86400</f>
        <v>8.4837962962962966E-3</v>
      </c>
      <c r="L140" s="5">
        <f>219 / 86400</f>
        <v>2.5347222222222221E-3</v>
      </c>
    </row>
    <row r="141" spans="1:12" x14ac:dyDescent="0.25">
      <c r="A141" s="3">
        <v>45709.923148148147</v>
      </c>
      <c r="B141" t="s">
        <v>75</v>
      </c>
      <c r="C141" s="3">
        <v>45709.926469907412</v>
      </c>
      <c r="D141" t="s">
        <v>27</v>
      </c>
      <c r="E141" s="4">
        <v>0.51700000000000002</v>
      </c>
      <c r="F141" s="4">
        <v>514879.78399999999</v>
      </c>
      <c r="G141" s="4">
        <v>514880.30099999998</v>
      </c>
      <c r="H141" s="5">
        <f>60 / 86400</f>
        <v>6.9444444444444447E-4</v>
      </c>
      <c r="I141" t="s">
        <v>55</v>
      </c>
      <c r="J141" t="s">
        <v>134</v>
      </c>
      <c r="K141" s="5">
        <f>287 / 86400</f>
        <v>3.3217592592592591E-3</v>
      </c>
      <c r="L141" s="5">
        <f>13 / 86400</f>
        <v>1.5046296296296297E-4</v>
      </c>
    </row>
    <row r="142" spans="1:12" x14ac:dyDescent="0.25">
      <c r="A142" s="3">
        <v>45709.926620370374</v>
      </c>
      <c r="B142" t="s">
        <v>27</v>
      </c>
      <c r="C142" s="3">
        <v>45709.927754629629</v>
      </c>
      <c r="D142" t="s">
        <v>27</v>
      </c>
      <c r="E142" s="4">
        <v>2.1999999999999999E-2</v>
      </c>
      <c r="F142" s="4">
        <v>514880.30099999998</v>
      </c>
      <c r="G142" s="4">
        <v>514880.32299999997</v>
      </c>
      <c r="H142" s="5">
        <f>59 / 86400</f>
        <v>6.8287037037037036E-4</v>
      </c>
      <c r="I142" t="s">
        <v>122</v>
      </c>
      <c r="J142" t="s">
        <v>47</v>
      </c>
      <c r="K142" s="5">
        <f>98 / 86400</f>
        <v>1.1342592592592593E-3</v>
      </c>
      <c r="L142" s="5">
        <f>6241 / 86400</f>
        <v>7.2233796296296296E-2</v>
      </c>
    </row>
    <row r="143" spans="1:12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</row>
    <row r="144" spans="1:12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</row>
    <row r="145" spans="1:12" s="10" customFormat="1" ht="20.100000000000001" customHeight="1" x14ac:dyDescent="0.35">
      <c r="A145" s="15" t="s">
        <v>457</v>
      </c>
      <c r="B145" s="15"/>
      <c r="C145" s="15"/>
      <c r="D145" s="15"/>
      <c r="E145" s="15"/>
      <c r="F145" s="15"/>
      <c r="G145" s="15"/>
      <c r="H145" s="15"/>
      <c r="I145" s="15"/>
      <c r="J145" s="15"/>
    </row>
    <row r="146" spans="1:12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</row>
    <row r="147" spans="1:12" ht="30" x14ac:dyDescent="0.25">
      <c r="A147" s="2" t="s">
        <v>6</v>
      </c>
      <c r="B147" s="2" t="s">
        <v>7</v>
      </c>
      <c r="C147" s="2" t="s">
        <v>8</v>
      </c>
      <c r="D147" s="2" t="s">
        <v>9</v>
      </c>
      <c r="E147" s="2" t="s">
        <v>10</v>
      </c>
      <c r="F147" s="2" t="s">
        <v>11</v>
      </c>
      <c r="G147" s="2" t="s">
        <v>12</v>
      </c>
      <c r="H147" s="2" t="s">
        <v>13</v>
      </c>
      <c r="I147" s="2" t="s">
        <v>14</v>
      </c>
      <c r="J147" s="2" t="s">
        <v>15</v>
      </c>
      <c r="K147" s="2" t="s">
        <v>16</v>
      </c>
      <c r="L147" s="2" t="s">
        <v>17</v>
      </c>
    </row>
    <row r="148" spans="1:12" x14ac:dyDescent="0.25">
      <c r="A148" s="3">
        <v>45709.246145833335</v>
      </c>
      <c r="B148" t="s">
        <v>18</v>
      </c>
      <c r="C148" s="3">
        <v>45709.254699074074</v>
      </c>
      <c r="D148" t="s">
        <v>132</v>
      </c>
      <c r="E148" s="4">
        <v>0.76700000000000002</v>
      </c>
      <c r="F148" s="4">
        <v>139898.285</v>
      </c>
      <c r="G148" s="4">
        <v>139899.052</v>
      </c>
      <c r="H148" s="5">
        <f>559 / 86400</f>
        <v>6.4699074074074077E-3</v>
      </c>
      <c r="I148" t="s">
        <v>29</v>
      </c>
      <c r="J148" t="s">
        <v>30</v>
      </c>
      <c r="K148" s="5">
        <f>738 / 86400</f>
        <v>8.5416666666666662E-3</v>
      </c>
      <c r="L148" s="5">
        <f>22778 / 86400</f>
        <v>0.26363425925925926</v>
      </c>
    </row>
    <row r="149" spans="1:12" x14ac:dyDescent="0.25">
      <c r="A149" s="3">
        <v>45709.272187499999</v>
      </c>
      <c r="B149" t="s">
        <v>132</v>
      </c>
      <c r="C149" s="3">
        <v>45709.27553240741</v>
      </c>
      <c r="D149" t="s">
        <v>18</v>
      </c>
      <c r="E149" s="4">
        <v>0.74199999999999999</v>
      </c>
      <c r="F149" s="4">
        <v>139899.052</v>
      </c>
      <c r="G149" s="4">
        <v>139899.79399999999</v>
      </c>
      <c r="H149" s="5">
        <f>79 / 86400</f>
        <v>9.1435185185185185E-4</v>
      </c>
      <c r="I149" t="s">
        <v>33</v>
      </c>
      <c r="J149" t="s">
        <v>125</v>
      </c>
      <c r="K149" s="5">
        <f>289 / 86400</f>
        <v>3.3449074074074076E-3</v>
      </c>
      <c r="L149" s="5">
        <f>363 / 86400</f>
        <v>4.2013888888888891E-3</v>
      </c>
    </row>
    <row r="150" spans="1:12" x14ac:dyDescent="0.25">
      <c r="A150" s="3">
        <v>45709.279733796298</v>
      </c>
      <c r="B150" t="s">
        <v>18</v>
      </c>
      <c r="C150" s="3">
        <v>45709.280601851853</v>
      </c>
      <c r="D150" t="s">
        <v>18</v>
      </c>
      <c r="E150" s="4">
        <v>0.01</v>
      </c>
      <c r="F150" s="4">
        <v>139899.79399999999</v>
      </c>
      <c r="G150" s="4">
        <v>139899.804</v>
      </c>
      <c r="H150" s="5">
        <f>59 / 86400</f>
        <v>6.8287037037037036E-4</v>
      </c>
      <c r="I150" t="s">
        <v>48</v>
      </c>
      <c r="J150" t="s">
        <v>48</v>
      </c>
      <c r="K150" s="5">
        <f>74 / 86400</f>
        <v>8.564814814814815E-4</v>
      </c>
      <c r="L150" s="5">
        <f>2762 / 86400</f>
        <v>3.1967592592592596E-2</v>
      </c>
    </row>
    <row r="151" spans="1:12" x14ac:dyDescent="0.25">
      <c r="A151" s="3">
        <v>45709.312569444446</v>
      </c>
      <c r="B151" t="s">
        <v>18</v>
      </c>
      <c r="C151" s="3">
        <v>45709.314386574071</v>
      </c>
      <c r="D151" t="s">
        <v>18</v>
      </c>
      <c r="E151" s="4">
        <v>3.6999999999999998E-2</v>
      </c>
      <c r="F151" s="4">
        <v>139899.804</v>
      </c>
      <c r="G151" s="4">
        <v>139899.84099999999</v>
      </c>
      <c r="H151" s="5">
        <f>119 / 86400</f>
        <v>1.3773148148148147E-3</v>
      </c>
      <c r="I151" t="s">
        <v>121</v>
      </c>
      <c r="J151" t="s">
        <v>47</v>
      </c>
      <c r="K151" s="5">
        <f>157 / 86400</f>
        <v>1.8171296296296297E-3</v>
      </c>
      <c r="L151" s="5">
        <f>59236 / 86400</f>
        <v>0.68560185185185185</v>
      </c>
    </row>
    <row r="152" spans="1:12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</row>
    <row r="153" spans="1:12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</row>
    <row r="154" spans="1:12" s="10" customFormat="1" ht="20.100000000000001" customHeight="1" x14ac:dyDescent="0.35">
      <c r="A154" s="15" t="s">
        <v>458</v>
      </c>
      <c r="B154" s="15"/>
      <c r="C154" s="15"/>
      <c r="D154" s="15"/>
      <c r="E154" s="15"/>
      <c r="F154" s="15"/>
      <c r="G154" s="15"/>
      <c r="H154" s="15"/>
      <c r="I154" s="15"/>
      <c r="J154" s="15"/>
    </row>
    <row r="155" spans="1:12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</row>
    <row r="156" spans="1:12" ht="30" x14ac:dyDescent="0.25">
      <c r="A156" s="2" t="s">
        <v>6</v>
      </c>
      <c r="B156" s="2" t="s">
        <v>7</v>
      </c>
      <c r="C156" s="2" t="s">
        <v>8</v>
      </c>
      <c r="D156" s="2" t="s">
        <v>9</v>
      </c>
      <c r="E156" s="2" t="s">
        <v>10</v>
      </c>
      <c r="F156" s="2" t="s">
        <v>11</v>
      </c>
      <c r="G156" s="2" t="s">
        <v>12</v>
      </c>
      <c r="H156" s="2" t="s">
        <v>13</v>
      </c>
      <c r="I156" s="2" t="s">
        <v>14</v>
      </c>
      <c r="J156" s="2" t="s">
        <v>15</v>
      </c>
      <c r="K156" s="2" t="s">
        <v>16</v>
      </c>
      <c r="L156" s="2" t="s">
        <v>17</v>
      </c>
    </row>
    <row r="157" spans="1:12" x14ac:dyDescent="0.25">
      <c r="A157" s="3">
        <v>45709.012199074074</v>
      </c>
      <c r="B157" t="s">
        <v>31</v>
      </c>
      <c r="C157" s="3">
        <v>45709.013657407406</v>
      </c>
      <c r="D157" t="s">
        <v>172</v>
      </c>
      <c r="E157" s="4">
        <v>0.12546456438302994</v>
      </c>
      <c r="F157" s="4">
        <v>349530.24722831749</v>
      </c>
      <c r="G157" s="4">
        <v>349530.37269288191</v>
      </c>
      <c r="H157" s="5">
        <f t="shared" ref="H157:H220" si="0">0 / 86400</f>
        <v>0</v>
      </c>
      <c r="I157" t="s">
        <v>60</v>
      </c>
      <c r="J157" t="s">
        <v>30</v>
      </c>
      <c r="K157" s="5">
        <f>126 / 86400</f>
        <v>1.4583333333333334E-3</v>
      </c>
      <c r="L157" s="5">
        <f>1094 / 86400</f>
        <v>1.2662037037037038E-2</v>
      </c>
    </row>
    <row r="158" spans="1:12" x14ac:dyDescent="0.25">
      <c r="A158" s="3">
        <v>45709.014120370368</v>
      </c>
      <c r="B158" t="s">
        <v>172</v>
      </c>
      <c r="C158" s="3">
        <v>45709.014351851853</v>
      </c>
      <c r="D158" t="s">
        <v>172</v>
      </c>
      <c r="E158" s="4">
        <v>5.9177244901657102E-3</v>
      </c>
      <c r="F158" s="4">
        <v>349530.40064724209</v>
      </c>
      <c r="G158" s="4">
        <v>349530.40656496654</v>
      </c>
      <c r="H158" s="5">
        <f t="shared" si="0"/>
        <v>0</v>
      </c>
      <c r="I158" t="s">
        <v>47</v>
      </c>
      <c r="J158" t="s">
        <v>47</v>
      </c>
      <c r="K158" s="5">
        <f>20 / 86400</f>
        <v>2.3148148148148149E-4</v>
      </c>
      <c r="L158" s="5">
        <f>12 / 86400</f>
        <v>1.3888888888888889E-4</v>
      </c>
    </row>
    <row r="159" spans="1:12" x14ac:dyDescent="0.25">
      <c r="A159" s="3">
        <v>45709.014490740738</v>
      </c>
      <c r="B159" t="s">
        <v>111</v>
      </c>
      <c r="C159" s="3">
        <v>45709.01494212963</v>
      </c>
      <c r="D159" t="s">
        <v>172</v>
      </c>
      <c r="E159" s="4">
        <v>5.0216296851634978E-2</v>
      </c>
      <c r="F159" s="4">
        <v>349530.41660917446</v>
      </c>
      <c r="G159" s="4">
        <v>349530.46682547126</v>
      </c>
      <c r="H159" s="5">
        <f t="shared" si="0"/>
        <v>0</v>
      </c>
      <c r="I159" t="s">
        <v>128</v>
      </c>
      <c r="J159" t="s">
        <v>121</v>
      </c>
      <c r="K159" s="5">
        <f>39 / 86400</f>
        <v>4.5138888888888887E-4</v>
      </c>
      <c r="L159" s="5">
        <f>255 / 86400</f>
        <v>2.9513888888888888E-3</v>
      </c>
    </row>
    <row r="160" spans="1:12" x14ac:dyDescent="0.25">
      <c r="A160" s="3">
        <v>45709.017893518518</v>
      </c>
      <c r="B160" t="s">
        <v>173</v>
      </c>
      <c r="C160" s="3">
        <v>45709.02180555556</v>
      </c>
      <c r="D160" t="s">
        <v>174</v>
      </c>
      <c r="E160" s="4">
        <v>2.4658224597573279</v>
      </c>
      <c r="F160" s="4">
        <v>349530.53696012642</v>
      </c>
      <c r="G160" s="4">
        <v>349533.00278258615</v>
      </c>
      <c r="H160" s="5">
        <f t="shared" si="0"/>
        <v>0</v>
      </c>
      <c r="I160" t="s">
        <v>175</v>
      </c>
      <c r="J160" t="s">
        <v>168</v>
      </c>
      <c r="K160" s="5">
        <f>338 / 86400</f>
        <v>3.9120370370370368E-3</v>
      </c>
      <c r="L160" s="5">
        <f>20 / 86400</f>
        <v>2.3148148148148149E-4</v>
      </c>
    </row>
    <row r="161" spans="1:12" x14ac:dyDescent="0.25">
      <c r="A161" s="3">
        <v>45709.022037037037</v>
      </c>
      <c r="B161" t="s">
        <v>174</v>
      </c>
      <c r="C161" s="3">
        <v>45709.023159722223</v>
      </c>
      <c r="D161" t="s">
        <v>176</v>
      </c>
      <c r="E161" s="4">
        <v>1.10489153444767</v>
      </c>
      <c r="F161" s="4">
        <v>349533.00515863817</v>
      </c>
      <c r="G161" s="4">
        <v>349534.1100501726</v>
      </c>
      <c r="H161" s="5">
        <f t="shared" si="0"/>
        <v>0</v>
      </c>
      <c r="I161" t="s">
        <v>131</v>
      </c>
      <c r="J161" t="s">
        <v>175</v>
      </c>
      <c r="K161" s="5">
        <f>97 / 86400</f>
        <v>1.1226851851851851E-3</v>
      </c>
      <c r="L161" s="5">
        <f>35 / 86400</f>
        <v>4.0509259259259258E-4</v>
      </c>
    </row>
    <row r="162" spans="1:12" x14ac:dyDescent="0.25">
      <c r="A162" s="3">
        <v>45709.023564814815</v>
      </c>
      <c r="B162" t="s">
        <v>176</v>
      </c>
      <c r="C162" s="3">
        <v>45709.027685185181</v>
      </c>
      <c r="D162" t="s">
        <v>177</v>
      </c>
      <c r="E162" s="4">
        <v>2.835247091293335</v>
      </c>
      <c r="F162" s="4">
        <v>349534.11954448908</v>
      </c>
      <c r="G162" s="4">
        <v>349536.95479158039</v>
      </c>
      <c r="H162" s="5">
        <f t="shared" si="0"/>
        <v>0</v>
      </c>
      <c r="I162" t="s">
        <v>178</v>
      </c>
      <c r="J162" t="s">
        <v>171</v>
      </c>
      <c r="K162" s="5">
        <f>356 / 86400</f>
        <v>4.1203703703703706E-3</v>
      </c>
      <c r="L162" s="5">
        <f>20 / 86400</f>
        <v>2.3148148148148149E-4</v>
      </c>
    </row>
    <row r="163" spans="1:12" x14ac:dyDescent="0.25">
      <c r="A163" s="3">
        <v>45709.027916666666</v>
      </c>
      <c r="B163" t="s">
        <v>177</v>
      </c>
      <c r="C163" s="3">
        <v>45709.028379629628</v>
      </c>
      <c r="D163" t="s">
        <v>177</v>
      </c>
      <c r="E163" s="4">
        <v>0.51155055558681484</v>
      </c>
      <c r="F163" s="4">
        <v>349536.98560004815</v>
      </c>
      <c r="G163" s="4">
        <v>349537.49715060374</v>
      </c>
      <c r="H163" s="5">
        <f t="shared" si="0"/>
        <v>0</v>
      </c>
      <c r="I163" t="s">
        <v>131</v>
      </c>
      <c r="J163" t="s">
        <v>162</v>
      </c>
      <c r="K163" s="5">
        <f>40 / 86400</f>
        <v>4.6296296296296298E-4</v>
      </c>
      <c r="L163" s="5">
        <f>41 / 86400</f>
        <v>4.7453703703703704E-4</v>
      </c>
    </row>
    <row r="164" spans="1:12" x14ac:dyDescent="0.25">
      <c r="A164" s="3">
        <v>45709.028854166667</v>
      </c>
      <c r="B164" t="s">
        <v>177</v>
      </c>
      <c r="C164" s="3">
        <v>45709.029317129629</v>
      </c>
      <c r="D164" t="s">
        <v>179</v>
      </c>
      <c r="E164" s="4">
        <v>0.28884425973892214</v>
      </c>
      <c r="F164" s="4">
        <v>349537.6395270389</v>
      </c>
      <c r="G164" s="4">
        <v>349537.92837129865</v>
      </c>
      <c r="H164" s="5">
        <f t="shared" si="0"/>
        <v>0</v>
      </c>
      <c r="I164" t="s">
        <v>54</v>
      </c>
      <c r="J164" t="s">
        <v>168</v>
      </c>
      <c r="K164" s="5">
        <f>40 / 86400</f>
        <v>4.6296296296296298E-4</v>
      </c>
      <c r="L164" s="5">
        <f>20 / 86400</f>
        <v>2.3148148148148149E-4</v>
      </c>
    </row>
    <row r="165" spans="1:12" x14ac:dyDescent="0.25">
      <c r="A165" s="3">
        <v>45709.029548611114</v>
      </c>
      <c r="B165" t="s">
        <v>180</v>
      </c>
      <c r="C165" s="3">
        <v>45709.033750000002</v>
      </c>
      <c r="D165" t="s">
        <v>92</v>
      </c>
      <c r="E165" s="4">
        <v>2.3942266376614572</v>
      </c>
      <c r="F165" s="4">
        <v>349538.0364971385</v>
      </c>
      <c r="G165" s="4">
        <v>349540.43072377617</v>
      </c>
      <c r="H165" s="5">
        <f t="shared" si="0"/>
        <v>0</v>
      </c>
      <c r="I165" t="s">
        <v>162</v>
      </c>
      <c r="J165" t="s">
        <v>127</v>
      </c>
      <c r="K165" s="5">
        <f>363 / 86400</f>
        <v>4.2013888888888891E-3</v>
      </c>
      <c r="L165" s="5">
        <f>20 / 86400</f>
        <v>2.3148148148148149E-4</v>
      </c>
    </row>
    <row r="166" spans="1:12" x14ac:dyDescent="0.25">
      <c r="A166" s="3">
        <v>45709.03398148148</v>
      </c>
      <c r="B166" t="s">
        <v>92</v>
      </c>
      <c r="C166" s="3">
        <v>45709.034675925926</v>
      </c>
      <c r="D166" t="s">
        <v>92</v>
      </c>
      <c r="E166" s="4">
        <v>0.55302036362886431</v>
      </c>
      <c r="F166" s="4">
        <v>349540.60428093554</v>
      </c>
      <c r="G166" s="4">
        <v>349541.15730129916</v>
      </c>
      <c r="H166" s="5">
        <f t="shared" si="0"/>
        <v>0</v>
      </c>
      <c r="I166" t="s">
        <v>181</v>
      </c>
      <c r="J166" t="s">
        <v>182</v>
      </c>
      <c r="K166" s="5">
        <f>60 / 86400</f>
        <v>6.9444444444444447E-4</v>
      </c>
      <c r="L166" s="5">
        <f>20 / 86400</f>
        <v>2.3148148148148149E-4</v>
      </c>
    </row>
    <row r="167" spans="1:12" x14ac:dyDescent="0.25">
      <c r="A167" s="3">
        <v>45709.034907407404</v>
      </c>
      <c r="B167" t="s">
        <v>92</v>
      </c>
      <c r="C167" s="3">
        <v>45709.03907407407</v>
      </c>
      <c r="D167" t="s">
        <v>75</v>
      </c>
      <c r="E167" s="4">
        <v>5.2683326687812801</v>
      </c>
      <c r="F167" s="4">
        <v>349541.2814145296</v>
      </c>
      <c r="G167" s="4">
        <v>349546.54974719841</v>
      </c>
      <c r="H167" s="5">
        <f t="shared" si="0"/>
        <v>0</v>
      </c>
      <c r="I167" t="s">
        <v>183</v>
      </c>
      <c r="J167" t="s">
        <v>184</v>
      </c>
      <c r="K167" s="5">
        <f>360 / 86400</f>
        <v>4.1666666666666666E-3</v>
      </c>
      <c r="L167" s="5">
        <f>7 / 86400</f>
        <v>8.1018518518518516E-5</v>
      </c>
    </row>
    <row r="168" spans="1:12" x14ac:dyDescent="0.25">
      <c r="A168" s="3">
        <v>45709.039155092592</v>
      </c>
      <c r="B168" t="s">
        <v>75</v>
      </c>
      <c r="C168" s="3">
        <v>45709.039710648147</v>
      </c>
      <c r="D168" t="s">
        <v>185</v>
      </c>
      <c r="E168" s="4">
        <v>9.9774570703506468E-2</v>
      </c>
      <c r="F168" s="4">
        <v>349546.55268585682</v>
      </c>
      <c r="G168" s="4">
        <v>349546.65246042755</v>
      </c>
      <c r="H168" s="5">
        <f t="shared" si="0"/>
        <v>0</v>
      </c>
      <c r="I168" t="s">
        <v>55</v>
      </c>
      <c r="J168" t="s">
        <v>88</v>
      </c>
      <c r="K168" s="5">
        <f>48 / 86400</f>
        <v>5.5555555555555556E-4</v>
      </c>
      <c r="L168" s="5">
        <f>439 / 86400</f>
        <v>5.0810185185185186E-3</v>
      </c>
    </row>
    <row r="169" spans="1:12" x14ac:dyDescent="0.25">
      <c r="A169" s="3">
        <v>45709.044791666667</v>
      </c>
      <c r="B169" t="s">
        <v>185</v>
      </c>
      <c r="C169" s="3">
        <v>45709.045983796299</v>
      </c>
      <c r="D169" t="s">
        <v>24</v>
      </c>
      <c r="E169" s="4">
        <v>0.35502030527591705</v>
      </c>
      <c r="F169" s="4">
        <v>349546.66813074931</v>
      </c>
      <c r="G169" s="4">
        <v>349547.02315105457</v>
      </c>
      <c r="H169" s="5">
        <f t="shared" si="0"/>
        <v>0</v>
      </c>
      <c r="I169" t="s">
        <v>41</v>
      </c>
      <c r="J169" t="s">
        <v>55</v>
      </c>
      <c r="K169" s="5">
        <f>103 / 86400</f>
        <v>1.1921296296296296E-3</v>
      </c>
      <c r="L169" s="5">
        <f>267 / 86400</f>
        <v>3.0902777777777777E-3</v>
      </c>
    </row>
    <row r="170" spans="1:12" x14ac:dyDescent="0.25">
      <c r="A170" s="3">
        <v>45709.049074074079</v>
      </c>
      <c r="B170" t="s">
        <v>32</v>
      </c>
      <c r="C170" s="3">
        <v>45709.050046296295</v>
      </c>
      <c r="D170" t="s">
        <v>32</v>
      </c>
      <c r="E170" s="4">
        <v>4.136723953485489E-2</v>
      </c>
      <c r="F170" s="4">
        <v>349547.0425348056</v>
      </c>
      <c r="G170" s="4">
        <v>349547.08390204515</v>
      </c>
      <c r="H170" s="5">
        <f t="shared" si="0"/>
        <v>0</v>
      </c>
      <c r="I170" t="s">
        <v>59</v>
      </c>
      <c r="J170" t="s">
        <v>122</v>
      </c>
      <c r="K170" s="5">
        <f>84 / 86400</f>
        <v>9.7222222222222219E-4</v>
      </c>
      <c r="L170" s="5">
        <f>21079 / 86400</f>
        <v>0.2439699074074074</v>
      </c>
    </row>
    <row r="171" spans="1:12" x14ac:dyDescent="0.25">
      <c r="A171" s="3">
        <v>45709.294016203705</v>
      </c>
      <c r="B171" t="s">
        <v>186</v>
      </c>
      <c r="C171" s="3">
        <v>45709.295729166668</v>
      </c>
      <c r="D171" t="s">
        <v>32</v>
      </c>
      <c r="E171" s="4">
        <v>3.6725421369075778E-2</v>
      </c>
      <c r="F171" s="4">
        <v>349547.11065199296</v>
      </c>
      <c r="G171" s="4">
        <v>349547.14737741434</v>
      </c>
      <c r="H171" s="5">
        <f t="shared" si="0"/>
        <v>0</v>
      </c>
      <c r="I171" t="s">
        <v>135</v>
      </c>
      <c r="J171" t="s">
        <v>47</v>
      </c>
      <c r="K171" s="5">
        <f>148 / 86400</f>
        <v>1.712962962962963E-3</v>
      </c>
      <c r="L171" s="5">
        <f>20 / 86400</f>
        <v>2.3148148148148149E-4</v>
      </c>
    </row>
    <row r="172" spans="1:12" x14ac:dyDescent="0.25">
      <c r="A172" s="3">
        <v>45709.295960648145</v>
      </c>
      <c r="B172" t="s">
        <v>32</v>
      </c>
      <c r="C172" s="3">
        <v>45709.29619212963</v>
      </c>
      <c r="D172" t="s">
        <v>32</v>
      </c>
      <c r="E172" s="4">
        <v>9.7113388776779181E-3</v>
      </c>
      <c r="F172" s="4">
        <v>349547.16282563907</v>
      </c>
      <c r="G172" s="4">
        <v>349547.17253697797</v>
      </c>
      <c r="H172" s="5">
        <f t="shared" si="0"/>
        <v>0</v>
      </c>
      <c r="I172" t="s">
        <v>47</v>
      </c>
      <c r="J172" t="s">
        <v>122</v>
      </c>
      <c r="K172" s="5">
        <f>20 / 86400</f>
        <v>2.3148148148148149E-4</v>
      </c>
      <c r="L172" s="5">
        <f>11 / 86400</f>
        <v>1.273148148148148E-4</v>
      </c>
    </row>
    <row r="173" spans="1:12" x14ac:dyDescent="0.25">
      <c r="A173" s="3">
        <v>45709.296319444446</v>
      </c>
      <c r="B173" t="s">
        <v>32</v>
      </c>
      <c r="C173" s="3">
        <v>45709.296377314815</v>
      </c>
      <c r="D173" t="s">
        <v>32</v>
      </c>
      <c r="E173" s="4">
        <v>4.0961910486221314E-3</v>
      </c>
      <c r="F173" s="4">
        <v>349547.17683617934</v>
      </c>
      <c r="G173" s="4">
        <v>349547.18093237036</v>
      </c>
      <c r="H173" s="5">
        <f t="shared" si="0"/>
        <v>0</v>
      </c>
      <c r="I173" t="s">
        <v>121</v>
      </c>
      <c r="J173" t="s">
        <v>135</v>
      </c>
      <c r="K173" s="5">
        <f>5 / 86400</f>
        <v>5.7870370370370373E-5</v>
      </c>
      <c r="L173" s="5">
        <f>109 / 86400</f>
        <v>1.261574074074074E-3</v>
      </c>
    </row>
    <row r="174" spans="1:12" x14ac:dyDescent="0.25">
      <c r="A174" s="3">
        <v>45709.297638888893</v>
      </c>
      <c r="B174" t="s">
        <v>32</v>
      </c>
      <c r="C174" s="3">
        <v>45709.29787037037</v>
      </c>
      <c r="D174" t="s">
        <v>32</v>
      </c>
      <c r="E174" s="4">
        <v>7.3896927237510684E-3</v>
      </c>
      <c r="F174" s="4">
        <v>349547.24953193596</v>
      </c>
      <c r="G174" s="4">
        <v>349547.25692162866</v>
      </c>
      <c r="H174" s="5">
        <f t="shared" si="0"/>
        <v>0</v>
      </c>
      <c r="I174" t="s">
        <v>135</v>
      </c>
      <c r="J174" t="s">
        <v>47</v>
      </c>
      <c r="K174" s="5">
        <f>20 / 86400</f>
        <v>2.3148148148148149E-4</v>
      </c>
      <c r="L174" s="5">
        <f>118 / 86400</f>
        <v>1.3657407407407407E-3</v>
      </c>
    </row>
    <row r="175" spans="1:12" x14ac:dyDescent="0.25">
      <c r="A175" s="3">
        <v>45709.29923611111</v>
      </c>
      <c r="B175" t="s">
        <v>32</v>
      </c>
      <c r="C175" s="3">
        <v>45709.301250000004</v>
      </c>
      <c r="D175" t="s">
        <v>187</v>
      </c>
      <c r="E175" s="4">
        <v>0.46558751815557481</v>
      </c>
      <c r="F175" s="4">
        <v>349547.27340108738</v>
      </c>
      <c r="G175" s="4">
        <v>349547.73898860556</v>
      </c>
      <c r="H175" s="5">
        <f t="shared" si="0"/>
        <v>0</v>
      </c>
      <c r="I175" t="s">
        <v>29</v>
      </c>
      <c r="J175" t="s">
        <v>60</v>
      </c>
      <c r="K175" s="5">
        <f>174 / 86400</f>
        <v>2.0138888888888888E-3</v>
      </c>
      <c r="L175" s="5">
        <f>135 / 86400</f>
        <v>1.5625000000000001E-3</v>
      </c>
    </row>
    <row r="176" spans="1:12" x14ac:dyDescent="0.25">
      <c r="A176" s="3">
        <v>45709.302812499998</v>
      </c>
      <c r="B176" t="s">
        <v>187</v>
      </c>
      <c r="C176" s="3">
        <v>45709.303275462968</v>
      </c>
      <c r="D176" t="s">
        <v>187</v>
      </c>
      <c r="E176" s="4">
        <v>1.5273579597473145E-2</v>
      </c>
      <c r="F176" s="4">
        <v>349547.7732570126</v>
      </c>
      <c r="G176" s="4">
        <v>349547.78853059222</v>
      </c>
      <c r="H176" s="5">
        <f t="shared" si="0"/>
        <v>0</v>
      </c>
      <c r="I176" t="s">
        <v>121</v>
      </c>
      <c r="J176" t="s">
        <v>47</v>
      </c>
      <c r="K176" s="5">
        <f>40 / 86400</f>
        <v>4.6296296296296298E-4</v>
      </c>
      <c r="L176" s="5">
        <f>14 / 86400</f>
        <v>1.6203703703703703E-4</v>
      </c>
    </row>
    <row r="177" spans="1:12" x14ac:dyDescent="0.25">
      <c r="A177" s="3">
        <v>45709.303437499999</v>
      </c>
      <c r="B177" t="s">
        <v>187</v>
      </c>
      <c r="C177" s="3">
        <v>45709.303749999999</v>
      </c>
      <c r="D177" t="s">
        <v>187</v>
      </c>
      <c r="E177" s="4">
        <v>2.4229333341121675E-2</v>
      </c>
      <c r="F177" s="4">
        <v>349547.79646966344</v>
      </c>
      <c r="G177" s="4">
        <v>349547.82069899677</v>
      </c>
      <c r="H177" s="5">
        <f t="shared" si="0"/>
        <v>0</v>
      </c>
      <c r="I177" t="s">
        <v>121</v>
      </c>
      <c r="J177" t="s">
        <v>135</v>
      </c>
      <c r="K177" s="5">
        <f>27 / 86400</f>
        <v>3.1250000000000001E-4</v>
      </c>
      <c r="L177" s="5">
        <f>687 / 86400</f>
        <v>7.951388888888888E-3</v>
      </c>
    </row>
    <row r="178" spans="1:12" x14ac:dyDescent="0.25">
      <c r="A178" s="3">
        <v>45709.311701388884</v>
      </c>
      <c r="B178" t="s">
        <v>188</v>
      </c>
      <c r="C178" s="3">
        <v>45709.313333333332</v>
      </c>
      <c r="D178" t="s">
        <v>189</v>
      </c>
      <c r="E178" s="4">
        <v>0.9579453479647636</v>
      </c>
      <c r="F178" s="4">
        <v>349547.84586504649</v>
      </c>
      <c r="G178" s="4">
        <v>349548.80381039449</v>
      </c>
      <c r="H178" s="5">
        <f t="shared" si="0"/>
        <v>0</v>
      </c>
      <c r="I178" t="s">
        <v>156</v>
      </c>
      <c r="J178" t="s">
        <v>127</v>
      </c>
      <c r="K178" s="5">
        <f>141 / 86400</f>
        <v>1.6319444444444445E-3</v>
      </c>
      <c r="L178" s="5">
        <f>40 / 86400</f>
        <v>4.6296296296296298E-4</v>
      </c>
    </row>
    <row r="179" spans="1:12" x14ac:dyDescent="0.25">
      <c r="A179" s="3">
        <v>45709.313796296294</v>
      </c>
      <c r="B179" t="s">
        <v>190</v>
      </c>
      <c r="C179" s="3">
        <v>45709.314722222218</v>
      </c>
      <c r="D179" t="s">
        <v>86</v>
      </c>
      <c r="E179" s="4">
        <v>0.76416784596443177</v>
      </c>
      <c r="F179" s="4">
        <v>349548.82469848479</v>
      </c>
      <c r="G179" s="4">
        <v>349549.58886633074</v>
      </c>
      <c r="H179" s="5">
        <f t="shared" si="0"/>
        <v>0</v>
      </c>
      <c r="I179" t="s">
        <v>148</v>
      </c>
      <c r="J179" t="s">
        <v>191</v>
      </c>
      <c r="K179" s="5">
        <f>80 / 86400</f>
        <v>9.2592592592592596E-4</v>
      </c>
      <c r="L179" s="5">
        <f>20 / 86400</f>
        <v>2.3148148148148149E-4</v>
      </c>
    </row>
    <row r="180" spans="1:12" x14ac:dyDescent="0.25">
      <c r="A180" s="3">
        <v>45709.314953703702</v>
      </c>
      <c r="B180" t="s">
        <v>192</v>
      </c>
      <c r="C180" s="3">
        <v>45709.31549768518</v>
      </c>
      <c r="D180" t="s">
        <v>193</v>
      </c>
      <c r="E180" s="4">
        <v>3.7666023075580597E-2</v>
      </c>
      <c r="F180" s="4">
        <v>349549.59079229861</v>
      </c>
      <c r="G180" s="4">
        <v>349549.62845832168</v>
      </c>
      <c r="H180" s="5">
        <f t="shared" si="0"/>
        <v>0</v>
      </c>
      <c r="I180" t="s">
        <v>57</v>
      </c>
      <c r="J180" t="s">
        <v>135</v>
      </c>
      <c r="K180" s="5">
        <f>47 / 86400</f>
        <v>5.4398148148148144E-4</v>
      </c>
      <c r="L180" s="5">
        <f>80 / 86400</f>
        <v>9.2592592592592596E-4</v>
      </c>
    </row>
    <row r="181" spans="1:12" x14ac:dyDescent="0.25">
      <c r="A181" s="3">
        <v>45709.316423611112</v>
      </c>
      <c r="B181" t="s">
        <v>193</v>
      </c>
      <c r="C181" s="3">
        <v>45709.316840277781</v>
      </c>
      <c r="D181" t="s">
        <v>193</v>
      </c>
      <c r="E181" s="4">
        <v>3.4684855639934536E-2</v>
      </c>
      <c r="F181" s="4">
        <v>349549.66397379735</v>
      </c>
      <c r="G181" s="4">
        <v>349549.69865865295</v>
      </c>
      <c r="H181" s="5">
        <f t="shared" si="0"/>
        <v>0</v>
      </c>
      <c r="I181" t="s">
        <v>134</v>
      </c>
      <c r="J181" t="s">
        <v>135</v>
      </c>
      <c r="K181" s="5">
        <f>36 / 86400</f>
        <v>4.1666666666666669E-4</v>
      </c>
      <c r="L181" s="5">
        <f>100 / 86400</f>
        <v>1.1574074074074073E-3</v>
      </c>
    </row>
    <row r="182" spans="1:12" x14ac:dyDescent="0.25">
      <c r="A182" s="3">
        <v>45709.317997685182</v>
      </c>
      <c r="B182" t="s">
        <v>194</v>
      </c>
      <c r="C182" s="3">
        <v>45709.318784722222</v>
      </c>
      <c r="D182" t="s">
        <v>195</v>
      </c>
      <c r="E182" s="4">
        <v>0.49715093201398852</v>
      </c>
      <c r="F182" s="4">
        <v>349549.71442854294</v>
      </c>
      <c r="G182" s="4">
        <v>349550.21157947491</v>
      </c>
      <c r="H182" s="5">
        <f t="shared" si="0"/>
        <v>0</v>
      </c>
      <c r="I182" t="s">
        <v>196</v>
      </c>
      <c r="J182" t="s">
        <v>168</v>
      </c>
      <c r="K182" s="5">
        <f>68 / 86400</f>
        <v>7.8703703703703705E-4</v>
      </c>
      <c r="L182" s="5">
        <f>20 / 86400</f>
        <v>2.3148148148148149E-4</v>
      </c>
    </row>
    <row r="183" spans="1:12" x14ac:dyDescent="0.25">
      <c r="A183" s="3">
        <v>45709.319016203706</v>
      </c>
      <c r="B183" t="s">
        <v>197</v>
      </c>
      <c r="C183" s="3">
        <v>45709.320636574077</v>
      </c>
      <c r="D183" t="s">
        <v>198</v>
      </c>
      <c r="E183" s="4">
        <v>1.5275427969098092</v>
      </c>
      <c r="F183" s="4">
        <v>349550.22236638307</v>
      </c>
      <c r="G183" s="4">
        <v>349551.74990917998</v>
      </c>
      <c r="H183" s="5">
        <f t="shared" si="0"/>
        <v>0</v>
      </c>
      <c r="I183" t="s">
        <v>178</v>
      </c>
      <c r="J183" t="s">
        <v>154</v>
      </c>
      <c r="K183" s="5">
        <f>140 / 86400</f>
        <v>1.6203703703703703E-3</v>
      </c>
      <c r="L183" s="5">
        <f>20 / 86400</f>
        <v>2.3148148148148149E-4</v>
      </c>
    </row>
    <row r="184" spans="1:12" x14ac:dyDescent="0.25">
      <c r="A184" s="3">
        <v>45709.320868055554</v>
      </c>
      <c r="B184" t="s">
        <v>198</v>
      </c>
      <c r="C184" s="3">
        <v>45709.321562500001</v>
      </c>
      <c r="D184" t="s">
        <v>199</v>
      </c>
      <c r="E184" s="4">
        <v>0.38549511337280273</v>
      </c>
      <c r="F184" s="4">
        <v>349551.80213690212</v>
      </c>
      <c r="G184" s="4">
        <v>349552.18763201544</v>
      </c>
      <c r="H184" s="5">
        <f t="shared" si="0"/>
        <v>0</v>
      </c>
      <c r="I184" t="s">
        <v>127</v>
      </c>
      <c r="J184" t="s">
        <v>124</v>
      </c>
      <c r="K184" s="5">
        <f>60 / 86400</f>
        <v>6.9444444444444447E-4</v>
      </c>
      <c r="L184" s="5">
        <f>45 / 86400</f>
        <v>5.2083333333333333E-4</v>
      </c>
    </row>
    <row r="185" spans="1:12" x14ac:dyDescent="0.25">
      <c r="A185" s="3">
        <v>45709.322083333333</v>
      </c>
      <c r="B185" t="s">
        <v>199</v>
      </c>
      <c r="C185" s="3">
        <v>45709.323009259257</v>
      </c>
      <c r="D185" t="s">
        <v>137</v>
      </c>
      <c r="E185" s="4">
        <v>0.77481554049253465</v>
      </c>
      <c r="F185" s="4">
        <v>349552.19250049931</v>
      </c>
      <c r="G185" s="4">
        <v>349552.96731603978</v>
      </c>
      <c r="H185" s="5">
        <f t="shared" si="0"/>
        <v>0</v>
      </c>
      <c r="I185" t="s">
        <v>200</v>
      </c>
      <c r="J185" t="s">
        <v>201</v>
      </c>
      <c r="K185" s="5">
        <f>80 / 86400</f>
        <v>9.2592592592592596E-4</v>
      </c>
      <c r="L185" s="5">
        <f>20 / 86400</f>
        <v>2.3148148148148149E-4</v>
      </c>
    </row>
    <row r="186" spans="1:12" x14ac:dyDescent="0.25">
      <c r="A186" s="3">
        <v>45709.323240740741</v>
      </c>
      <c r="B186" t="s">
        <v>137</v>
      </c>
      <c r="C186" s="3">
        <v>45709.324861111112</v>
      </c>
      <c r="D186" t="s">
        <v>34</v>
      </c>
      <c r="E186" s="4">
        <v>1.6080200904011726</v>
      </c>
      <c r="F186" s="4">
        <v>349553.06036756153</v>
      </c>
      <c r="G186" s="4">
        <v>349554.66838765191</v>
      </c>
      <c r="H186" s="5">
        <f t="shared" si="0"/>
        <v>0</v>
      </c>
      <c r="I186" t="s">
        <v>156</v>
      </c>
      <c r="J186" t="s">
        <v>175</v>
      </c>
      <c r="K186" s="5">
        <f>140 / 86400</f>
        <v>1.6203703703703703E-3</v>
      </c>
      <c r="L186" s="5">
        <f>20 / 86400</f>
        <v>2.3148148148148149E-4</v>
      </c>
    </row>
    <row r="187" spans="1:12" x14ac:dyDescent="0.25">
      <c r="A187" s="3">
        <v>45709.325092592597</v>
      </c>
      <c r="B187" t="s">
        <v>34</v>
      </c>
      <c r="C187" s="3">
        <v>45709.325787037036</v>
      </c>
      <c r="D187" t="s">
        <v>137</v>
      </c>
      <c r="E187" s="4">
        <v>0.4361874431371689</v>
      </c>
      <c r="F187" s="4">
        <v>349554.74461728637</v>
      </c>
      <c r="G187" s="4">
        <v>349555.18080472952</v>
      </c>
      <c r="H187" s="5">
        <f t="shared" si="0"/>
        <v>0</v>
      </c>
      <c r="I187" t="s">
        <v>120</v>
      </c>
      <c r="J187" t="s">
        <v>168</v>
      </c>
      <c r="K187" s="5">
        <f>60 / 86400</f>
        <v>6.9444444444444447E-4</v>
      </c>
      <c r="L187" s="5">
        <f>2 / 86400</f>
        <v>2.3148148148148147E-5</v>
      </c>
    </row>
    <row r="188" spans="1:12" x14ac:dyDescent="0.25">
      <c r="A188" s="3">
        <v>45709.325810185182</v>
      </c>
      <c r="B188" t="s">
        <v>34</v>
      </c>
      <c r="C188" s="3">
        <v>45709.326041666667</v>
      </c>
      <c r="D188" t="s">
        <v>137</v>
      </c>
      <c r="E188" s="4">
        <v>0.13378475308418275</v>
      </c>
      <c r="F188" s="4">
        <v>349555.1821302395</v>
      </c>
      <c r="G188" s="4">
        <v>349555.31591499259</v>
      </c>
      <c r="H188" s="5">
        <f t="shared" si="0"/>
        <v>0</v>
      </c>
      <c r="I188" t="s">
        <v>134</v>
      </c>
      <c r="J188" t="s">
        <v>127</v>
      </c>
      <c r="K188" s="5">
        <f>20 / 86400</f>
        <v>2.3148148148148149E-4</v>
      </c>
      <c r="L188" s="5">
        <f>20 / 86400</f>
        <v>2.3148148148148149E-4</v>
      </c>
    </row>
    <row r="189" spans="1:12" x14ac:dyDescent="0.25">
      <c r="A189" s="3">
        <v>45709.326273148152</v>
      </c>
      <c r="B189" t="s">
        <v>137</v>
      </c>
      <c r="C189" s="3">
        <v>45709.326967592591</v>
      </c>
      <c r="D189" t="s">
        <v>34</v>
      </c>
      <c r="E189" s="4">
        <v>0.57378027182817459</v>
      </c>
      <c r="F189" s="4">
        <v>349555.47229935502</v>
      </c>
      <c r="G189" s="4">
        <v>349556.04607962683</v>
      </c>
      <c r="H189" s="5">
        <f t="shared" si="0"/>
        <v>0</v>
      </c>
      <c r="I189" t="s">
        <v>156</v>
      </c>
      <c r="J189" t="s">
        <v>191</v>
      </c>
      <c r="K189" s="5">
        <f>60 / 86400</f>
        <v>6.9444444444444447E-4</v>
      </c>
      <c r="L189" s="5">
        <f>20 / 86400</f>
        <v>2.3148148148148149E-4</v>
      </c>
    </row>
    <row r="190" spans="1:12" x14ac:dyDescent="0.25">
      <c r="A190" s="3">
        <v>45709.327199074076</v>
      </c>
      <c r="B190" t="s">
        <v>34</v>
      </c>
      <c r="C190" s="3">
        <v>45709.327662037038</v>
      </c>
      <c r="D190" t="s">
        <v>137</v>
      </c>
      <c r="E190" s="4">
        <v>5.1917103946208951E-2</v>
      </c>
      <c r="F190" s="4">
        <v>349556.05077279074</v>
      </c>
      <c r="G190" s="4">
        <v>349556.10268989467</v>
      </c>
      <c r="H190" s="5">
        <f t="shared" si="0"/>
        <v>0</v>
      </c>
      <c r="I190" t="s">
        <v>88</v>
      </c>
      <c r="J190" t="s">
        <v>121</v>
      </c>
      <c r="K190" s="5">
        <f>40 / 86400</f>
        <v>4.6296296296296298E-4</v>
      </c>
      <c r="L190" s="5">
        <f>20 / 86400</f>
        <v>2.3148148148148149E-4</v>
      </c>
    </row>
    <row r="191" spans="1:12" x14ac:dyDescent="0.25">
      <c r="A191" s="3">
        <v>45709.327893518523</v>
      </c>
      <c r="B191" t="s">
        <v>202</v>
      </c>
      <c r="C191" s="3">
        <v>45709.329513888893</v>
      </c>
      <c r="D191" t="s">
        <v>203</v>
      </c>
      <c r="E191" s="4">
        <v>1.1833778163194657</v>
      </c>
      <c r="F191" s="4">
        <v>349556.20726398384</v>
      </c>
      <c r="G191" s="4">
        <v>349557.39064180019</v>
      </c>
      <c r="H191" s="5">
        <f t="shared" si="0"/>
        <v>0</v>
      </c>
      <c r="I191" t="s">
        <v>204</v>
      </c>
      <c r="J191" t="s">
        <v>205</v>
      </c>
      <c r="K191" s="5">
        <f>140 / 86400</f>
        <v>1.6203703703703703E-3</v>
      </c>
      <c r="L191" s="5">
        <f>20 / 86400</f>
        <v>2.3148148148148149E-4</v>
      </c>
    </row>
    <row r="192" spans="1:12" x14ac:dyDescent="0.25">
      <c r="A192" s="3">
        <v>45709.329745370371</v>
      </c>
      <c r="B192" t="s">
        <v>206</v>
      </c>
      <c r="C192" s="3">
        <v>45709.330208333333</v>
      </c>
      <c r="D192" t="s">
        <v>207</v>
      </c>
      <c r="E192" s="4">
        <v>0.26244622927904127</v>
      </c>
      <c r="F192" s="4">
        <v>349557.42255562643</v>
      </c>
      <c r="G192" s="4">
        <v>349557.68500185572</v>
      </c>
      <c r="H192" s="5">
        <f t="shared" si="0"/>
        <v>0</v>
      </c>
      <c r="I192" t="s">
        <v>127</v>
      </c>
      <c r="J192" t="s">
        <v>127</v>
      </c>
      <c r="K192" s="5">
        <f>40 / 86400</f>
        <v>4.6296296296296298E-4</v>
      </c>
      <c r="L192" s="5">
        <f>3 / 86400</f>
        <v>3.4722222222222222E-5</v>
      </c>
    </row>
    <row r="193" spans="1:12" x14ac:dyDescent="0.25">
      <c r="A193" s="3">
        <v>45709.330243055556</v>
      </c>
      <c r="B193" t="s">
        <v>207</v>
      </c>
      <c r="C193" s="3">
        <v>45709.330474537041</v>
      </c>
      <c r="D193" t="s">
        <v>208</v>
      </c>
      <c r="E193" s="4">
        <v>8.635339611768722E-2</v>
      </c>
      <c r="F193" s="4">
        <v>349557.68724923063</v>
      </c>
      <c r="G193" s="4">
        <v>349557.77360262675</v>
      </c>
      <c r="H193" s="5">
        <f t="shared" si="0"/>
        <v>0</v>
      </c>
      <c r="I193" t="s">
        <v>134</v>
      </c>
      <c r="J193" t="s">
        <v>28</v>
      </c>
      <c r="K193" s="5">
        <f>20 / 86400</f>
        <v>2.3148148148148149E-4</v>
      </c>
      <c r="L193" s="5">
        <f>20 / 86400</f>
        <v>2.3148148148148149E-4</v>
      </c>
    </row>
    <row r="194" spans="1:12" x14ac:dyDescent="0.25">
      <c r="A194" s="3">
        <v>45709.330706018518</v>
      </c>
      <c r="B194" t="s">
        <v>209</v>
      </c>
      <c r="C194" s="3">
        <v>45709.331863425927</v>
      </c>
      <c r="D194" t="s">
        <v>207</v>
      </c>
      <c r="E194" s="4">
        <v>0.82579938071966175</v>
      </c>
      <c r="F194" s="4">
        <v>349557.92677229241</v>
      </c>
      <c r="G194" s="4">
        <v>349558.75257167313</v>
      </c>
      <c r="H194" s="5">
        <f t="shared" si="0"/>
        <v>0</v>
      </c>
      <c r="I194" t="s">
        <v>96</v>
      </c>
      <c r="J194" t="s">
        <v>205</v>
      </c>
      <c r="K194" s="5">
        <f>100 / 86400</f>
        <v>1.1574074074074073E-3</v>
      </c>
      <c r="L194" s="5">
        <f>23 / 86400</f>
        <v>2.6620370370370372E-4</v>
      </c>
    </row>
    <row r="195" spans="1:12" x14ac:dyDescent="0.25">
      <c r="A195" s="3">
        <v>45709.332129629634</v>
      </c>
      <c r="B195" t="s">
        <v>207</v>
      </c>
      <c r="C195" s="3">
        <v>45709.341805555552</v>
      </c>
      <c r="D195" t="s">
        <v>210</v>
      </c>
      <c r="E195" s="4">
        <v>7.5332230729460719</v>
      </c>
      <c r="F195" s="4">
        <v>349558.75737441075</v>
      </c>
      <c r="G195" s="4">
        <v>349566.29059748369</v>
      </c>
      <c r="H195" s="5">
        <f t="shared" si="0"/>
        <v>0</v>
      </c>
      <c r="I195" t="s">
        <v>156</v>
      </c>
      <c r="J195" t="s">
        <v>87</v>
      </c>
      <c r="K195" s="5">
        <f>836 / 86400</f>
        <v>9.6759259259259264E-3</v>
      </c>
      <c r="L195" s="5">
        <f>47 / 86400</f>
        <v>5.4398148148148144E-4</v>
      </c>
    </row>
    <row r="196" spans="1:12" x14ac:dyDescent="0.25">
      <c r="A196" s="3">
        <v>45709.342349537037</v>
      </c>
      <c r="B196" t="s">
        <v>210</v>
      </c>
      <c r="C196" s="3">
        <v>45709.343043981484</v>
      </c>
      <c r="D196" t="s">
        <v>211</v>
      </c>
      <c r="E196" s="4">
        <v>0.37286230385303498</v>
      </c>
      <c r="F196" s="4">
        <v>349566.33267096727</v>
      </c>
      <c r="G196" s="4">
        <v>349566.70553327113</v>
      </c>
      <c r="H196" s="5">
        <f t="shared" si="0"/>
        <v>0</v>
      </c>
      <c r="I196" t="s">
        <v>212</v>
      </c>
      <c r="J196" t="s">
        <v>143</v>
      </c>
      <c r="K196" s="5">
        <f>60 / 86400</f>
        <v>6.9444444444444447E-4</v>
      </c>
      <c r="L196" s="5">
        <f>20 / 86400</f>
        <v>2.3148148148148149E-4</v>
      </c>
    </row>
    <row r="197" spans="1:12" x14ac:dyDescent="0.25">
      <c r="A197" s="3">
        <v>45709.343275462961</v>
      </c>
      <c r="B197" t="s">
        <v>211</v>
      </c>
      <c r="C197" s="3">
        <v>45709.343506944446</v>
      </c>
      <c r="D197" t="s">
        <v>213</v>
      </c>
      <c r="E197" s="4">
        <v>0.10712525570392609</v>
      </c>
      <c r="F197" s="4">
        <v>349566.75081672327</v>
      </c>
      <c r="G197" s="4">
        <v>349566.85794197902</v>
      </c>
      <c r="H197" s="5">
        <f t="shared" si="0"/>
        <v>0</v>
      </c>
      <c r="I197" t="s">
        <v>52</v>
      </c>
      <c r="J197" t="s">
        <v>77</v>
      </c>
      <c r="K197" s="5">
        <f>20 / 86400</f>
        <v>2.3148148148148149E-4</v>
      </c>
      <c r="L197" s="5">
        <f>20 / 86400</f>
        <v>2.3148148148148149E-4</v>
      </c>
    </row>
    <row r="198" spans="1:12" x14ac:dyDescent="0.25">
      <c r="A198" s="3">
        <v>45709.34373842593</v>
      </c>
      <c r="B198" t="s">
        <v>214</v>
      </c>
      <c r="C198" s="3">
        <v>45709.343969907408</v>
      </c>
      <c r="D198" t="s">
        <v>214</v>
      </c>
      <c r="E198" s="4">
        <v>1.1138298213481904E-2</v>
      </c>
      <c r="F198" s="4">
        <v>349566.97318746947</v>
      </c>
      <c r="G198" s="4">
        <v>349566.98432576767</v>
      </c>
      <c r="H198" s="5">
        <f t="shared" si="0"/>
        <v>0</v>
      </c>
      <c r="I198" t="s">
        <v>128</v>
      </c>
      <c r="J198" t="s">
        <v>122</v>
      </c>
      <c r="K198" s="5">
        <f>20 / 86400</f>
        <v>2.3148148148148149E-4</v>
      </c>
      <c r="L198" s="5">
        <f>20 / 86400</f>
        <v>2.3148148148148149E-4</v>
      </c>
    </row>
    <row r="199" spans="1:12" x14ac:dyDescent="0.25">
      <c r="A199" s="3">
        <v>45709.344201388885</v>
      </c>
      <c r="B199" t="s">
        <v>214</v>
      </c>
      <c r="C199" s="3">
        <v>45709.345127314809</v>
      </c>
      <c r="D199" t="s">
        <v>214</v>
      </c>
      <c r="E199" s="4">
        <v>0.27780098247528079</v>
      </c>
      <c r="F199" s="4">
        <v>349567.06237873458</v>
      </c>
      <c r="G199" s="4">
        <v>349567.34017971705</v>
      </c>
      <c r="H199" s="5">
        <f t="shared" si="0"/>
        <v>0</v>
      </c>
      <c r="I199" t="s">
        <v>171</v>
      </c>
      <c r="J199" t="s">
        <v>26</v>
      </c>
      <c r="K199" s="5">
        <f>80 / 86400</f>
        <v>9.2592592592592596E-4</v>
      </c>
      <c r="L199" s="5">
        <f>20 / 86400</f>
        <v>2.3148148148148149E-4</v>
      </c>
    </row>
    <row r="200" spans="1:12" x14ac:dyDescent="0.25">
      <c r="A200" s="3">
        <v>45709.345358796301</v>
      </c>
      <c r="B200" t="s">
        <v>214</v>
      </c>
      <c r="C200" s="3">
        <v>45709.345821759256</v>
      </c>
      <c r="D200" t="s">
        <v>215</v>
      </c>
      <c r="E200" s="4">
        <v>7.5276210546493527E-2</v>
      </c>
      <c r="F200" s="4">
        <v>349567.35489731363</v>
      </c>
      <c r="G200" s="4">
        <v>349567.43017352419</v>
      </c>
      <c r="H200" s="5">
        <f t="shared" si="0"/>
        <v>0</v>
      </c>
      <c r="I200" t="s">
        <v>41</v>
      </c>
      <c r="J200" t="s">
        <v>88</v>
      </c>
      <c r="K200" s="5">
        <f>40 / 86400</f>
        <v>4.6296296296296298E-4</v>
      </c>
      <c r="L200" s="5">
        <f>40 / 86400</f>
        <v>4.6296296296296298E-4</v>
      </c>
    </row>
    <row r="201" spans="1:12" x14ac:dyDescent="0.25">
      <c r="A201" s="3">
        <v>45709.346284722225</v>
      </c>
      <c r="B201" t="s">
        <v>215</v>
      </c>
      <c r="C201" s="3">
        <v>45709.346516203703</v>
      </c>
      <c r="D201" t="s">
        <v>214</v>
      </c>
      <c r="E201" s="4">
        <v>3.4518021941185001E-2</v>
      </c>
      <c r="F201" s="4">
        <v>349567.451081632</v>
      </c>
      <c r="G201" s="4">
        <v>349567.48559965397</v>
      </c>
      <c r="H201" s="5">
        <f t="shared" si="0"/>
        <v>0</v>
      </c>
      <c r="I201" t="s">
        <v>59</v>
      </c>
      <c r="J201" t="s">
        <v>134</v>
      </c>
      <c r="K201" s="5">
        <f t="shared" ref="K201:L203" si="1">20 / 86400</f>
        <v>2.3148148148148149E-4</v>
      </c>
      <c r="L201" s="5">
        <f t="shared" si="1"/>
        <v>2.3148148148148149E-4</v>
      </c>
    </row>
    <row r="202" spans="1:12" x14ac:dyDescent="0.25">
      <c r="A202" s="3">
        <v>45709.34674768518</v>
      </c>
      <c r="B202" t="s">
        <v>215</v>
      </c>
      <c r="C202" s="3">
        <v>45709.346979166672</v>
      </c>
      <c r="D202" t="s">
        <v>214</v>
      </c>
      <c r="E202" s="4">
        <v>3.2084861397743226E-2</v>
      </c>
      <c r="F202" s="4">
        <v>349567.52204093128</v>
      </c>
      <c r="G202" s="4">
        <v>349567.5541257927</v>
      </c>
      <c r="H202" s="5">
        <f t="shared" si="0"/>
        <v>0</v>
      </c>
      <c r="I202" t="s">
        <v>33</v>
      </c>
      <c r="J202" t="s">
        <v>134</v>
      </c>
      <c r="K202" s="5">
        <f t="shared" si="1"/>
        <v>2.3148148148148149E-4</v>
      </c>
      <c r="L202" s="5">
        <f t="shared" si="1"/>
        <v>2.3148148148148149E-4</v>
      </c>
    </row>
    <row r="203" spans="1:12" x14ac:dyDescent="0.25">
      <c r="A203" s="3">
        <v>45709.347210648149</v>
      </c>
      <c r="B203" t="s">
        <v>214</v>
      </c>
      <c r="C203" s="3">
        <v>45709.347442129627</v>
      </c>
      <c r="D203" t="s">
        <v>214</v>
      </c>
      <c r="E203" s="4">
        <v>4.923663794994354E-2</v>
      </c>
      <c r="F203" s="4">
        <v>349567.56577664323</v>
      </c>
      <c r="G203" s="4">
        <v>349567.61501328117</v>
      </c>
      <c r="H203" s="5">
        <f t="shared" si="0"/>
        <v>0</v>
      </c>
      <c r="I203" t="s">
        <v>60</v>
      </c>
      <c r="J203" t="s">
        <v>125</v>
      </c>
      <c r="K203" s="5">
        <f t="shared" si="1"/>
        <v>2.3148148148148149E-4</v>
      </c>
      <c r="L203" s="5">
        <f t="shared" si="1"/>
        <v>2.3148148148148149E-4</v>
      </c>
    </row>
    <row r="204" spans="1:12" x14ac:dyDescent="0.25">
      <c r="A204" s="3">
        <v>45709.347673611112</v>
      </c>
      <c r="B204" t="s">
        <v>214</v>
      </c>
      <c r="C204" s="3">
        <v>45709.352233796293</v>
      </c>
      <c r="D204" t="s">
        <v>216</v>
      </c>
      <c r="E204" s="4">
        <v>3.2922688370943067</v>
      </c>
      <c r="F204" s="4">
        <v>349567.62167289603</v>
      </c>
      <c r="G204" s="4">
        <v>349570.91394173313</v>
      </c>
      <c r="H204" s="5">
        <f t="shared" si="0"/>
        <v>0</v>
      </c>
      <c r="I204" t="s">
        <v>96</v>
      </c>
      <c r="J204" t="s">
        <v>205</v>
      </c>
      <c r="K204" s="5">
        <f>394 / 86400</f>
        <v>4.5601851851851853E-3</v>
      </c>
      <c r="L204" s="5">
        <f>20 / 86400</f>
        <v>2.3148148148148149E-4</v>
      </c>
    </row>
    <row r="205" spans="1:12" x14ac:dyDescent="0.25">
      <c r="A205" s="3">
        <v>45709.352465277778</v>
      </c>
      <c r="B205" t="s">
        <v>217</v>
      </c>
      <c r="C205" s="3">
        <v>45709.354039351849</v>
      </c>
      <c r="D205" t="s">
        <v>151</v>
      </c>
      <c r="E205" s="4">
        <v>0.62923965746164323</v>
      </c>
      <c r="F205" s="4">
        <v>349571.07224353316</v>
      </c>
      <c r="G205" s="4">
        <v>349571.70148319058</v>
      </c>
      <c r="H205" s="5">
        <f t="shared" si="0"/>
        <v>0</v>
      </c>
      <c r="I205" t="s">
        <v>162</v>
      </c>
      <c r="J205" t="s">
        <v>52</v>
      </c>
      <c r="K205" s="5">
        <f>136 / 86400</f>
        <v>1.5740740740740741E-3</v>
      </c>
      <c r="L205" s="5">
        <f>15 / 86400</f>
        <v>1.7361111111111112E-4</v>
      </c>
    </row>
    <row r="206" spans="1:12" x14ac:dyDescent="0.25">
      <c r="A206" s="3">
        <v>45709.354212962964</v>
      </c>
      <c r="B206" t="s">
        <v>151</v>
      </c>
      <c r="C206" s="3">
        <v>45709.354525462964</v>
      </c>
      <c r="D206" t="s">
        <v>140</v>
      </c>
      <c r="E206" s="4">
        <v>0.2100756709575653</v>
      </c>
      <c r="F206" s="4">
        <v>349571.70603060728</v>
      </c>
      <c r="G206" s="4">
        <v>349571.91610627825</v>
      </c>
      <c r="H206" s="5">
        <f t="shared" si="0"/>
        <v>0</v>
      </c>
      <c r="I206" t="s">
        <v>143</v>
      </c>
      <c r="J206" t="s">
        <v>91</v>
      </c>
      <c r="K206" s="5">
        <f>27 / 86400</f>
        <v>3.1250000000000001E-4</v>
      </c>
      <c r="L206" s="5">
        <f>40 / 86400</f>
        <v>4.6296296296296298E-4</v>
      </c>
    </row>
    <row r="207" spans="1:12" x14ac:dyDescent="0.25">
      <c r="A207" s="3">
        <v>45709.354988425926</v>
      </c>
      <c r="B207" t="s">
        <v>140</v>
      </c>
      <c r="C207" s="3">
        <v>45709.355219907404</v>
      </c>
      <c r="D207" t="s">
        <v>140</v>
      </c>
      <c r="E207" s="4">
        <v>0.1344689416885376</v>
      </c>
      <c r="F207" s="4">
        <v>349571.95408367174</v>
      </c>
      <c r="G207" s="4">
        <v>349572.08855261345</v>
      </c>
      <c r="H207" s="5">
        <f t="shared" si="0"/>
        <v>0</v>
      </c>
      <c r="I207" t="s">
        <v>168</v>
      </c>
      <c r="J207" t="s">
        <v>127</v>
      </c>
      <c r="K207" s="5">
        <f>20 / 86400</f>
        <v>2.3148148148148149E-4</v>
      </c>
      <c r="L207" s="5">
        <f>20 / 86400</f>
        <v>2.3148148148148149E-4</v>
      </c>
    </row>
    <row r="208" spans="1:12" x14ac:dyDescent="0.25">
      <c r="A208" s="3">
        <v>45709.355451388888</v>
      </c>
      <c r="B208" t="s">
        <v>140</v>
      </c>
      <c r="C208" s="3">
        <v>45709.359155092592</v>
      </c>
      <c r="D208" t="s">
        <v>114</v>
      </c>
      <c r="E208" s="4">
        <v>2.4127434084415436</v>
      </c>
      <c r="F208" s="4">
        <v>349572.12708395679</v>
      </c>
      <c r="G208" s="4">
        <v>349574.5398273652</v>
      </c>
      <c r="H208" s="5">
        <f t="shared" si="0"/>
        <v>0</v>
      </c>
      <c r="I208" t="s">
        <v>184</v>
      </c>
      <c r="J208" t="s">
        <v>150</v>
      </c>
      <c r="K208" s="5">
        <f>320 / 86400</f>
        <v>3.7037037037037038E-3</v>
      </c>
      <c r="L208" s="5">
        <f>20 / 86400</f>
        <v>2.3148148148148149E-4</v>
      </c>
    </row>
    <row r="209" spans="1:12" x14ac:dyDescent="0.25">
      <c r="A209" s="3">
        <v>45709.35938657407</v>
      </c>
      <c r="B209" t="s">
        <v>218</v>
      </c>
      <c r="C209" s="3">
        <v>45709.359849537039</v>
      </c>
      <c r="D209" t="s">
        <v>114</v>
      </c>
      <c r="E209" s="4">
        <v>0.24328249871730803</v>
      </c>
      <c r="F209" s="4">
        <v>349574.64139794349</v>
      </c>
      <c r="G209" s="4">
        <v>349574.88468044222</v>
      </c>
      <c r="H209" s="5">
        <f t="shared" si="0"/>
        <v>0</v>
      </c>
      <c r="I209" t="s">
        <v>182</v>
      </c>
      <c r="J209" t="s">
        <v>143</v>
      </c>
      <c r="K209" s="5">
        <f>40 / 86400</f>
        <v>4.6296296296296298E-4</v>
      </c>
      <c r="L209" s="5">
        <f>20 / 86400</f>
        <v>2.3148148148148149E-4</v>
      </c>
    </row>
    <row r="210" spans="1:12" x14ac:dyDescent="0.25">
      <c r="A210" s="3">
        <v>45709.360081018516</v>
      </c>
      <c r="B210" t="s">
        <v>114</v>
      </c>
      <c r="C210" s="3">
        <v>45709.360543981486</v>
      </c>
      <c r="D210" t="s">
        <v>219</v>
      </c>
      <c r="E210" s="4">
        <v>0.32424792730808261</v>
      </c>
      <c r="F210" s="4">
        <v>349574.89437032706</v>
      </c>
      <c r="G210" s="4">
        <v>349575.21861825435</v>
      </c>
      <c r="H210" s="5">
        <f t="shared" si="0"/>
        <v>0</v>
      </c>
      <c r="I210" t="s">
        <v>204</v>
      </c>
      <c r="J210" t="s">
        <v>171</v>
      </c>
      <c r="K210" s="5">
        <f>40 / 86400</f>
        <v>4.6296296296296298E-4</v>
      </c>
      <c r="L210" s="5">
        <f>20 / 86400</f>
        <v>2.3148148148148149E-4</v>
      </c>
    </row>
    <row r="211" spans="1:12" x14ac:dyDescent="0.25">
      <c r="A211" s="3">
        <v>45709.360775462963</v>
      </c>
      <c r="B211" t="s">
        <v>220</v>
      </c>
      <c r="C211" s="3">
        <v>45709.361238425925</v>
      </c>
      <c r="D211" t="s">
        <v>114</v>
      </c>
      <c r="E211" s="4">
        <v>0.27340426647663119</v>
      </c>
      <c r="F211" s="4">
        <v>349575.25246717053</v>
      </c>
      <c r="G211" s="4">
        <v>349575.52587143698</v>
      </c>
      <c r="H211" s="5">
        <f t="shared" si="0"/>
        <v>0</v>
      </c>
      <c r="I211" t="s">
        <v>205</v>
      </c>
      <c r="J211" t="s">
        <v>66</v>
      </c>
      <c r="K211" s="5">
        <f>40 / 86400</f>
        <v>4.6296296296296298E-4</v>
      </c>
      <c r="L211" s="5">
        <f>20 / 86400</f>
        <v>2.3148148148148149E-4</v>
      </c>
    </row>
    <row r="212" spans="1:12" x14ac:dyDescent="0.25">
      <c r="A212" s="3">
        <v>45709.36146990741</v>
      </c>
      <c r="B212" t="s">
        <v>221</v>
      </c>
      <c r="C212" s="3">
        <v>45709.361701388887</v>
      </c>
      <c r="D212" t="s">
        <v>221</v>
      </c>
      <c r="E212" s="4">
        <v>3.0783049464225771E-3</v>
      </c>
      <c r="F212" s="4">
        <v>349575.65856288711</v>
      </c>
      <c r="G212" s="4">
        <v>349575.6616411921</v>
      </c>
      <c r="H212" s="5">
        <f t="shared" si="0"/>
        <v>0</v>
      </c>
      <c r="I212" t="s">
        <v>135</v>
      </c>
      <c r="J212" t="s">
        <v>47</v>
      </c>
      <c r="K212" s="5">
        <f>20 / 86400</f>
        <v>2.3148148148148149E-4</v>
      </c>
      <c r="L212" s="5">
        <f>15 / 86400</f>
        <v>1.7361111111111112E-4</v>
      </c>
    </row>
    <row r="213" spans="1:12" x14ac:dyDescent="0.25">
      <c r="A213" s="3">
        <v>45709.361875000002</v>
      </c>
      <c r="B213" t="s">
        <v>221</v>
      </c>
      <c r="C213" s="3">
        <v>45709.363125000003</v>
      </c>
      <c r="D213" t="s">
        <v>222</v>
      </c>
      <c r="E213" s="4">
        <v>0.51229209953546528</v>
      </c>
      <c r="F213" s="4">
        <v>349575.67617960612</v>
      </c>
      <c r="G213" s="4">
        <v>349576.18847170565</v>
      </c>
      <c r="H213" s="5">
        <f t="shared" si="0"/>
        <v>0</v>
      </c>
      <c r="I213" t="s">
        <v>171</v>
      </c>
      <c r="J213" t="s">
        <v>52</v>
      </c>
      <c r="K213" s="5">
        <f>108 / 86400</f>
        <v>1.25E-3</v>
      </c>
      <c r="L213" s="5">
        <f>20 / 86400</f>
        <v>2.3148148148148149E-4</v>
      </c>
    </row>
    <row r="214" spans="1:12" x14ac:dyDescent="0.25">
      <c r="A214" s="3">
        <v>45709.363356481481</v>
      </c>
      <c r="B214" t="s">
        <v>223</v>
      </c>
      <c r="C214" s="3">
        <v>45709.363819444443</v>
      </c>
      <c r="D214" t="s">
        <v>224</v>
      </c>
      <c r="E214" s="4">
        <v>0.16981048667430879</v>
      </c>
      <c r="F214" s="4">
        <v>349576.29129102785</v>
      </c>
      <c r="G214" s="4">
        <v>349576.46110151452</v>
      </c>
      <c r="H214" s="5">
        <f t="shared" si="0"/>
        <v>0</v>
      </c>
      <c r="I214" t="s">
        <v>201</v>
      </c>
      <c r="J214" t="s">
        <v>41</v>
      </c>
      <c r="K214" s="5">
        <f>40 / 86400</f>
        <v>4.6296296296296298E-4</v>
      </c>
      <c r="L214" s="5">
        <f>20 / 86400</f>
        <v>2.3148148148148149E-4</v>
      </c>
    </row>
    <row r="215" spans="1:12" x14ac:dyDescent="0.25">
      <c r="A215" s="3">
        <v>45709.364050925928</v>
      </c>
      <c r="B215" t="s">
        <v>225</v>
      </c>
      <c r="C215" s="3">
        <v>45709.364606481482</v>
      </c>
      <c r="D215" t="s">
        <v>226</v>
      </c>
      <c r="E215" s="4">
        <v>0.14702354890108107</v>
      </c>
      <c r="F215" s="4">
        <v>349576.54885320348</v>
      </c>
      <c r="G215" s="4">
        <v>349576.69587675238</v>
      </c>
      <c r="H215" s="5">
        <f t="shared" si="0"/>
        <v>0</v>
      </c>
      <c r="I215" t="s">
        <v>141</v>
      </c>
      <c r="J215" t="s">
        <v>128</v>
      </c>
      <c r="K215" s="5">
        <f>48 / 86400</f>
        <v>5.5555555555555556E-4</v>
      </c>
      <c r="L215" s="5">
        <f>18 / 86400</f>
        <v>2.0833333333333335E-4</v>
      </c>
    </row>
    <row r="216" spans="1:12" x14ac:dyDescent="0.25">
      <c r="A216" s="3">
        <v>45709.364814814813</v>
      </c>
      <c r="B216" t="s">
        <v>226</v>
      </c>
      <c r="C216" s="3">
        <v>45709.365046296298</v>
      </c>
      <c r="D216" t="s">
        <v>213</v>
      </c>
      <c r="E216" s="4">
        <v>0.10730733096599579</v>
      </c>
      <c r="F216" s="4">
        <v>349576.70177580178</v>
      </c>
      <c r="G216" s="4">
        <v>349576.80908313277</v>
      </c>
      <c r="H216" s="5">
        <f t="shared" si="0"/>
        <v>0</v>
      </c>
      <c r="I216" t="s">
        <v>121</v>
      </c>
      <c r="J216" t="s">
        <v>77</v>
      </c>
      <c r="K216" s="5">
        <f>20 / 86400</f>
        <v>2.3148148148148149E-4</v>
      </c>
      <c r="L216" s="5">
        <f>20 / 86400</f>
        <v>2.3148148148148149E-4</v>
      </c>
    </row>
    <row r="217" spans="1:12" x14ac:dyDescent="0.25">
      <c r="A217" s="3">
        <v>45709.365277777775</v>
      </c>
      <c r="B217" t="s">
        <v>227</v>
      </c>
      <c r="C217" s="3">
        <v>45709.365740740745</v>
      </c>
      <c r="D217" t="s">
        <v>210</v>
      </c>
      <c r="E217" s="4">
        <v>0.35374441528320311</v>
      </c>
      <c r="F217" s="4">
        <v>349576.86400383781</v>
      </c>
      <c r="G217" s="4">
        <v>349577.21774825308</v>
      </c>
      <c r="H217" s="5">
        <f t="shared" si="0"/>
        <v>0</v>
      </c>
      <c r="I217" t="s">
        <v>228</v>
      </c>
      <c r="J217" t="s">
        <v>87</v>
      </c>
      <c r="K217" s="5">
        <f>40 / 86400</f>
        <v>4.6296296296296298E-4</v>
      </c>
      <c r="L217" s="5">
        <f>20 / 86400</f>
        <v>2.3148148148148149E-4</v>
      </c>
    </row>
    <row r="218" spans="1:12" x14ac:dyDescent="0.25">
      <c r="A218" s="3">
        <v>45709.365972222222</v>
      </c>
      <c r="B218" t="s">
        <v>210</v>
      </c>
      <c r="C218" s="3">
        <v>45709.369444444441</v>
      </c>
      <c r="D218" t="s">
        <v>229</v>
      </c>
      <c r="E218" s="4">
        <v>3.3323227924108507</v>
      </c>
      <c r="F218" s="4">
        <v>349577.27243486699</v>
      </c>
      <c r="G218" s="4">
        <v>349580.60475765937</v>
      </c>
      <c r="H218" s="5">
        <f t="shared" si="0"/>
        <v>0</v>
      </c>
      <c r="I218" t="s">
        <v>40</v>
      </c>
      <c r="J218" t="s">
        <v>230</v>
      </c>
      <c r="K218" s="5">
        <f>300 / 86400</f>
        <v>3.472222222222222E-3</v>
      </c>
      <c r="L218" s="5">
        <f>40 / 86400</f>
        <v>4.6296296296296298E-4</v>
      </c>
    </row>
    <row r="219" spans="1:12" x14ac:dyDescent="0.25">
      <c r="A219" s="3">
        <v>45709.36990740741</v>
      </c>
      <c r="B219" t="s">
        <v>229</v>
      </c>
      <c r="C219" s="3">
        <v>45709.374074074076</v>
      </c>
      <c r="D219" t="s">
        <v>207</v>
      </c>
      <c r="E219" s="4">
        <v>4.0999310733079914</v>
      </c>
      <c r="F219" s="4">
        <v>349580.65469545295</v>
      </c>
      <c r="G219" s="4">
        <v>349584.75462652626</v>
      </c>
      <c r="H219" s="5">
        <f t="shared" si="0"/>
        <v>0</v>
      </c>
      <c r="I219" t="s">
        <v>183</v>
      </c>
      <c r="J219" t="s">
        <v>175</v>
      </c>
      <c r="K219" s="5">
        <f>360 / 86400</f>
        <v>4.1666666666666666E-3</v>
      </c>
      <c r="L219" s="5">
        <f>3 / 86400</f>
        <v>3.4722222222222222E-5</v>
      </c>
    </row>
    <row r="220" spans="1:12" x14ac:dyDescent="0.25">
      <c r="A220" s="3">
        <v>45709.374108796299</v>
      </c>
      <c r="B220" t="s">
        <v>207</v>
      </c>
      <c r="C220" s="3">
        <v>45709.377523148149</v>
      </c>
      <c r="D220" t="s">
        <v>34</v>
      </c>
      <c r="E220" s="4">
        <v>2.6742033969759942</v>
      </c>
      <c r="F220" s="4">
        <v>349584.75871655956</v>
      </c>
      <c r="G220" s="4">
        <v>349587.43291995657</v>
      </c>
      <c r="H220" s="5">
        <f t="shared" si="0"/>
        <v>0</v>
      </c>
      <c r="I220" t="s">
        <v>178</v>
      </c>
      <c r="J220" t="s">
        <v>182</v>
      </c>
      <c r="K220" s="5">
        <f>295 / 86400</f>
        <v>3.414351851851852E-3</v>
      </c>
      <c r="L220" s="5">
        <f>20 / 86400</f>
        <v>2.3148148148148149E-4</v>
      </c>
    </row>
    <row r="221" spans="1:12" x14ac:dyDescent="0.25">
      <c r="A221" s="3">
        <v>45709.377754629633</v>
      </c>
      <c r="B221" t="s">
        <v>202</v>
      </c>
      <c r="C221" s="3">
        <v>45709.380856481483</v>
      </c>
      <c r="D221" t="s">
        <v>137</v>
      </c>
      <c r="E221" s="4">
        <v>3.3513281989097594</v>
      </c>
      <c r="F221" s="4">
        <v>349587.62020524562</v>
      </c>
      <c r="G221" s="4">
        <v>349590.97153344454</v>
      </c>
      <c r="H221" s="5">
        <f t="shared" ref="H221:H284" si="2">0 / 86400</f>
        <v>0</v>
      </c>
      <c r="I221" t="s">
        <v>73</v>
      </c>
      <c r="J221" t="s">
        <v>231</v>
      </c>
      <c r="K221" s="5">
        <f>268 / 86400</f>
        <v>3.1018518518518517E-3</v>
      </c>
      <c r="L221" s="5">
        <f>20 / 86400</f>
        <v>2.3148148148148149E-4</v>
      </c>
    </row>
    <row r="222" spans="1:12" x14ac:dyDescent="0.25">
      <c r="A222" s="3">
        <v>45709.38108796296</v>
      </c>
      <c r="B222" t="s">
        <v>137</v>
      </c>
      <c r="C222" s="3">
        <v>45709.381550925929</v>
      </c>
      <c r="D222" t="s">
        <v>170</v>
      </c>
      <c r="E222" s="4">
        <v>0.15874442124366761</v>
      </c>
      <c r="F222" s="4">
        <v>349591.14312576567</v>
      </c>
      <c r="G222" s="4">
        <v>349591.30187018693</v>
      </c>
      <c r="H222" s="5">
        <f t="shared" si="2"/>
        <v>0</v>
      </c>
      <c r="I222" t="s">
        <v>96</v>
      </c>
      <c r="J222" t="s">
        <v>57</v>
      </c>
      <c r="K222" s="5">
        <f>40 / 86400</f>
        <v>4.6296296296296298E-4</v>
      </c>
      <c r="L222" s="5">
        <f>63 / 86400</f>
        <v>7.291666666666667E-4</v>
      </c>
    </row>
    <row r="223" spans="1:12" x14ac:dyDescent="0.25">
      <c r="A223" s="3">
        <v>45709.382280092592</v>
      </c>
      <c r="B223" t="s">
        <v>170</v>
      </c>
      <c r="C223" s="3">
        <v>45709.382743055554</v>
      </c>
      <c r="D223" t="s">
        <v>199</v>
      </c>
      <c r="E223" s="4">
        <v>4.848096489906311E-2</v>
      </c>
      <c r="F223" s="4">
        <v>349591.30541744729</v>
      </c>
      <c r="G223" s="4">
        <v>349591.35389841214</v>
      </c>
      <c r="H223" s="5">
        <f t="shared" si="2"/>
        <v>0</v>
      </c>
      <c r="I223" t="s">
        <v>55</v>
      </c>
      <c r="J223" t="s">
        <v>30</v>
      </c>
      <c r="K223" s="5">
        <f>40 / 86400</f>
        <v>4.6296296296296298E-4</v>
      </c>
      <c r="L223" s="5">
        <f>84 / 86400</f>
        <v>9.7222222222222219E-4</v>
      </c>
    </row>
    <row r="224" spans="1:12" x14ac:dyDescent="0.25">
      <c r="A224" s="3">
        <v>45709.383715277778</v>
      </c>
      <c r="B224" t="s">
        <v>199</v>
      </c>
      <c r="C224" s="3">
        <v>45709.385104166664</v>
      </c>
      <c r="D224" t="s">
        <v>170</v>
      </c>
      <c r="E224" s="4">
        <v>1.1468599853515624</v>
      </c>
      <c r="F224" s="4">
        <v>349591.36258120573</v>
      </c>
      <c r="G224" s="4">
        <v>349592.5094411911</v>
      </c>
      <c r="H224" s="5">
        <f t="shared" si="2"/>
        <v>0</v>
      </c>
      <c r="I224" t="s">
        <v>181</v>
      </c>
      <c r="J224" t="s">
        <v>191</v>
      </c>
      <c r="K224" s="5">
        <f>120 / 86400</f>
        <v>1.3888888888888889E-3</v>
      </c>
      <c r="L224" s="5">
        <f>20 / 86400</f>
        <v>2.3148148148148149E-4</v>
      </c>
    </row>
    <row r="225" spans="1:12" x14ac:dyDescent="0.25">
      <c r="A225" s="3">
        <v>45709.385335648149</v>
      </c>
      <c r="B225" t="s">
        <v>170</v>
      </c>
      <c r="C225" s="3">
        <v>45709.386493055557</v>
      </c>
      <c r="D225" t="s">
        <v>194</v>
      </c>
      <c r="E225" s="4">
        <v>1.3359169657826424</v>
      </c>
      <c r="F225" s="4">
        <v>349592.5239977116</v>
      </c>
      <c r="G225" s="4">
        <v>349593.85991467739</v>
      </c>
      <c r="H225" s="5">
        <f t="shared" si="2"/>
        <v>0</v>
      </c>
      <c r="I225" t="s">
        <v>232</v>
      </c>
      <c r="J225" t="s">
        <v>233</v>
      </c>
      <c r="K225" s="5">
        <f>100 / 86400</f>
        <v>1.1574074074074073E-3</v>
      </c>
      <c r="L225" s="5">
        <f>16 / 86400</f>
        <v>1.8518518518518518E-4</v>
      </c>
    </row>
    <row r="226" spans="1:12" x14ac:dyDescent="0.25">
      <c r="A226" s="3">
        <v>45709.386678240742</v>
      </c>
      <c r="B226" t="s">
        <v>194</v>
      </c>
      <c r="C226" s="3">
        <v>45709.387604166666</v>
      </c>
      <c r="D226" t="s">
        <v>197</v>
      </c>
      <c r="E226" s="4">
        <v>0.83368866771459582</v>
      </c>
      <c r="F226" s="4">
        <v>349593.86476599047</v>
      </c>
      <c r="G226" s="4">
        <v>349594.69845465821</v>
      </c>
      <c r="H226" s="5">
        <f t="shared" si="2"/>
        <v>0</v>
      </c>
      <c r="I226" t="s">
        <v>234</v>
      </c>
      <c r="J226" t="s">
        <v>235</v>
      </c>
      <c r="K226" s="5">
        <f>80 / 86400</f>
        <v>9.2592592592592596E-4</v>
      </c>
      <c r="L226" s="5">
        <f>60 / 86400</f>
        <v>6.9444444444444447E-4</v>
      </c>
    </row>
    <row r="227" spans="1:12" x14ac:dyDescent="0.25">
      <c r="A227" s="3">
        <v>45709.388298611113</v>
      </c>
      <c r="B227" t="s">
        <v>236</v>
      </c>
      <c r="C227" s="3">
        <v>45709.389236111107</v>
      </c>
      <c r="D227" t="s">
        <v>197</v>
      </c>
      <c r="E227" s="4">
        <v>0.79080854660272604</v>
      </c>
      <c r="F227" s="4">
        <v>349594.84525687585</v>
      </c>
      <c r="G227" s="4">
        <v>349595.6360654225</v>
      </c>
      <c r="H227" s="5">
        <f t="shared" si="2"/>
        <v>0</v>
      </c>
      <c r="I227" t="s">
        <v>178</v>
      </c>
      <c r="J227" t="s">
        <v>201</v>
      </c>
      <c r="K227" s="5">
        <f>81 / 86400</f>
        <v>9.3749999999999997E-4</v>
      </c>
      <c r="L227" s="5">
        <f>31 / 86400</f>
        <v>3.5879629629629629E-4</v>
      </c>
    </row>
    <row r="228" spans="1:12" x14ac:dyDescent="0.25">
      <c r="A228" s="3">
        <v>45709.389594907407</v>
      </c>
      <c r="B228" t="s">
        <v>197</v>
      </c>
      <c r="C228" s="3">
        <v>45709.39444444445</v>
      </c>
      <c r="D228" t="s">
        <v>237</v>
      </c>
      <c r="E228" s="4">
        <v>3.5974199927449226</v>
      </c>
      <c r="F228" s="4">
        <v>349595.63998118986</v>
      </c>
      <c r="G228" s="4">
        <v>349599.23740118259</v>
      </c>
      <c r="H228" s="5">
        <f t="shared" si="2"/>
        <v>0</v>
      </c>
      <c r="I228" t="s">
        <v>238</v>
      </c>
      <c r="J228" t="s">
        <v>29</v>
      </c>
      <c r="K228" s="5">
        <f>419 / 86400</f>
        <v>4.8495370370370368E-3</v>
      </c>
      <c r="L228" s="5">
        <f>20 / 86400</f>
        <v>2.3148148148148149E-4</v>
      </c>
    </row>
    <row r="229" spans="1:12" x14ac:dyDescent="0.25">
      <c r="A229" s="3">
        <v>45709.394675925927</v>
      </c>
      <c r="B229" t="s">
        <v>237</v>
      </c>
      <c r="C229" s="3">
        <v>45709.395370370374</v>
      </c>
      <c r="D229" t="s">
        <v>75</v>
      </c>
      <c r="E229" s="4">
        <v>0.51182114249467847</v>
      </c>
      <c r="F229" s="4">
        <v>349599.26346929697</v>
      </c>
      <c r="G229" s="4">
        <v>349599.77529043949</v>
      </c>
      <c r="H229" s="5">
        <f t="shared" si="2"/>
        <v>0</v>
      </c>
      <c r="I229" t="s">
        <v>138</v>
      </c>
      <c r="J229" t="s">
        <v>29</v>
      </c>
      <c r="K229" s="5">
        <f>60 / 86400</f>
        <v>6.9444444444444447E-4</v>
      </c>
      <c r="L229" s="5">
        <f>20 / 86400</f>
        <v>2.3148148148148149E-4</v>
      </c>
    </row>
    <row r="230" spans="1:12" x14ac:dyDescent="0.25">
      <c r="A230" s="3">
        <v>45709.395601851851</v>
      </c>
      <c r="B230" t="s">
        <v>75</v>
      </c>
      <c r="C230" s="3">
        <v>45709.397685185184</v>
      </c>
      <c r="D230" t="s">
        <v>92</v>
      </c>
      <c r="E230" s="4">
        <v>1.6580140069723128</v>
      </c>
      <c r="F230" s="4">
        <v>349599.77659639664</v>
      </c>
      <c r="G230" s="4">
        <v>349601.43461040361</v>
      </c>
      <c r="H230" s="5">
        <f t="shared" si="2"/>
        <v>0</v>
      </c>
      <c r="I230" t="s">
        <v>130</v>
      </c>
      <c r="J230" t="s">
        <v>182</v>
      </c>
      <c r="K230" s="5">
        <f>180 / 86400</f>
        <v>2.0833333333333333E-3</v>
      </c>
      <c r="L230" s="5">
        <f>17 / 86400</f>
        <v>1.9675925925925926E-4</v>
      </c>
    </row>
    <row r="231" spans="1:12" x14ac:dyDescent="0.25">
      <c r="A231" s="3">
        <v>45709.397881944446</v>
      </c>
      <c r="B231" t="s">
        <v>92</v>
      </c>
      <c r="C231" s="3">
        <v>45709.398576388892</v>
      </c>
      <c r="D231" t="s">
        <v>92</v>
      </c>
      <c r="E231" s="4">
        <v>0.18306370866298677</v>
      </c>
      <c r="F231" s="4">
        <v>349601.44055463298</v>
      </c>
      <c r="G231" s="4">
        <v>349601.62361834163</v>
      </c>
      <c r="H231" s="5">
        <f t="shared" si="2"/>
        <v>0</v>
      </c>
      <c r="I231" t="s">
        <v>52</v>
      </c>
      <c r="J231" t="s">
        <v>128</v>
      </c>
      <c r="K231" s="5">
        <f>60 / 86400</f>
        <v>6.9444444444444447E-4</v>
      </c>
      <c r="L231" s="5">
        <f>9 / 86400</f>
        <v>1.0416666666666667E-4</v>
      </c>
    </row>
    <row r="232" spans="1:12" x14ac:dyDescent="0.25">
      <c r="A232" s="3">
        <v>45709.398680555554</v>
      </c>
      <c r="B232" t="s">
        <v>92</v>
      </c>
      <c r="C232" s="3">
        <v>45709.399375000001</v>
      </c>
      <c r="D232" t="s">
        <v>92</v>
      </c>
      <c r="E232" s="4">
        <v>9.5954140484333039E-2</v>
      </c>
      <c r="F232" s="4">
        <v>349601.62661879754</v>
      </c>
      <c r="G232" s="4">
        <v>349601.72257293802</v>
      </c>
      <c r="H232" s="5">
        <f t="shared" si="2"/>
        <v>0</v>
      </c>
      <c r="I232" t="s">
        <v>59</v>
      </c>
      <c r="J232" t="s">
        <v>134</v>
      </c>
      <c r="K232" s="5">
        <f>60 / 86400</f>
        <v>6.9444444444444447E-4</v>
      </c>
      <c r="L232" s="5">
        <f>20 / 86400</f>
        <v>2.3148148148148149E-4</v>
      </c>
    </row>
    <row r="233" spans="1:12" x14ac:dyDescent="0.25">
      <c r="A233" s="3">
        <v>45709.399606481486</v>
      </c>
      <c r="B233" t="s">
        <v>92</v>
      </c>
      <c r="C233" s="3">
        <v>45709.400300925925</v>
      </c>
      <c r="D233" t="s">
        <v>92</v>
      </c>
      <c r="E233" s="4">
        <v>0.42122108513116835</v>
      </c>
      <c r="F233" s="4">
        <v>349601.76871946262</v>
      </c>
      <c r="G233" s="4">
        <v>349602.18994054775</v>
      </c>
      <c r="H233" s="5">
        <f t="shared" si="2"/>
        <v>0</v>
      </c>
      <c r="I233" t="s">
        <v>181</v>
      </c>
      <c r="J233" t="s">
        <v>66</v>
      </c>
      <c r="K233" s="5">
        <f>60 / 86400</f>
        <v>6.9444444444444447E-4</v>
      </c>
      <c r="L233" s="5">
        <f>20 / 86400</f>
        <v>2.3148148148148149E-4</v>
      </c>
    </row>
    <row r="234" spans="1:12" x14ac:dyDescent="0.25">
      <c r="A234" s="3">
        <v>45709.40053240741</v>
      </c>
      <c r="B234" t="s">
        <v>92</v>
      </c>
      <c r="C234" s="3">
        <v>45709.400995370372</v>
      </c>
      <c r="D234" t="s">
        <v>92</v>
      </c>
      <c r="E234" s="4">
        <v>0.20334801590442658</v>
      </c>
      <c r="F234" s="4">
        <v>349602.22729671479</v>
      </c>
      <c r="G234" s="4">
        <v>349602.43064473069</v>
      </c>
      <c r="H234" s="5">
        <f t="shared" si="2"/>
        <v>0</v>
      </c>
      <c r="I234" t="s">
        <v>87</v>
      </c>
      <c r="J234" t="s">
        <v>20</v>
      </c>
      <c r="K234" s="5">
        <f>40 / 86400</f>
        <v>4.6296296296296298E-4</v>
      </c>
      <c r="L234" s="5">
        <f>40 / 86400</f>
        <v>4.6296296296296298E-4</v>
      </c>
    </row>
    <row r="235" spans="1:12" x14ac:dyDescent="0.25">
      <c r="A235" s="3">
        <v>45709.401458333334</v>
      </c>
      <c r="B235" t="s">
        <v>239</v>
      </c>
      <c r="C235" s="3">
        <v>45709.401921296296</v>
      </c>
      <c r="D235" t="s">
        <v>240</v>
      </c>
      <c r="E235" s="4">
        <v>0.12752237981557846</v>
      </c>
      <c r="F235" s="4">
        <v>349602.51855255687</v>
      </c>
      <c r="G235" s="4">
        <v>349602.64607493667</v>
      </c>
      <c r="H235" s="5">
        <f t="shared" si="2"/>
        <v>0</v>
      </c>
      <c r="I235" t="s">
        <v>136</v>
      </c>
      <c r="J235" t="s">
        <v>128</v>
      </c>
      <c r="K235" s="5">
        <f>40 / 86400</f>
        <v>4.6296296296296298E-4</v>
      </c>
      <c r="L235" s="5">
        <f>20 / 86400</f>
        <v>2.3148148148148149E-4</v>
      </c>
    </row>
    <row r="236" spans="1:12" x14ac:dyDescent="0.25">
      <c r="A236" s="3">
        <v>45709.40215277778</v>
      </c>
      <c r="B236" t="s">
        <v>240</v>
      </c>
      <c r="C236" s="3">
        <v>45709.402384259258</v>
      </c>
      <c r="D236" t="s">
        <v>241</v>
      </c>
      <c r="E236" s="4">
        <v>9.6284650146961206E-2</v>
      </c>
      <c r="F236" s="4">
        <v>349602.66925275757</v>
      </c>
      <c r="G236" s="4">
        <v>349602.76553740771</v>
      </c>
      <c r="H236" s="5">
        <f t="shared" si="2"/>
        <v>0</v>
      </c>
      <c r="I236" t="s">
        <v>26</v>
      </c>
      <c r="J236" t="s">
        <v>52</v>
      </c>
      <c r="K236" s="5">
        <f>20 / 86400</f>
        <v>2.3148148148148149E-4</v>
      </c>
      <c r="L236" s="5">
        <f>20 / 86400</f>
        <v>2.3148148148148149E-4</v>
      </c>
    </row>
    <row r="237" spans="1:12" x14ac:dyDescent="0.25">
      <c r="A237" s="3">
        <v>45709.402615740742</v>
      </c>
      <c r="B237" t="s">
        <v>119</v>
      </c>
      <c r="C237" s="3">
        <v>45709.403078703705</v>
      </c>
      <c r="D237" t="s">
        <v>242</v>
      </c>
      <c r="E237" s="4">
        <v>0.25820119166374206</v>
      </c>
      <c r="F237" s="4">
        <v>349602.88817650249</v>
      </c>
      <c r="G237" s="4">
        <v>349603.14637769415</v>
      </c>
      <c r="H237" s="5">
        <f t="shared" si="2"/>
        <v>0</v>
      </c>
      <c r="I237" t="s">
        <v>87</v>
      </c>
      <c r="J237" t="s">
        <v>124</v>
      </c>
      <c r="K237" s="5">
        <f>40 / 86400</f>
        <v>4.6296296296296298E-4</v>
      </c>
      <c r="L237" s="5">
        <f>29 / 86400</f>
        <v>3.3564814814814812E-4</v>
      </c>
    </row>
    <row r="238" spans="1:12" x14ac:dyDescent="0.25">
      <c r="A238" s="3">
        <v>45709.403414351851</v>
      </c>
      <c r="B238" t="s">
        <v>242</v>
      </c>
      <c r="C238" s="3">
        <v>45709.405011574076</v>
      </c>
      <c r="D238" t="s">
        <v>243</v>
      </c>
      <c r="E238" s="4">
        <v>0.46964000791311267</v>
      </c>
      <c r="F238" s="4">
        <v>349603.1514320157</v>
      </c>
      <c r="G238" s="4">
        <v>349603.62107202364</v>
      </c>
      <c r="H238" s="5">
        <f t="shared" si="2"/>
        <v>0</v>
      </c>
      <c r="I238" t="s">
        <v>33</v>
      </c>
      <c r="J238" t="s">
        <v>55</v>
      </c>
      <c r="K238" s="5">
        <f>138 / 86400</f>
        <v>1.5972222222222223E-3</v>
      </c>
      <c r="L238" s="5">
        <f>9 / 86400</f>
        <v>1.0416666666666667E-4</v>
      </c>
    </row>
    <row r="239" spans="1:12" x14ac:dyDescent="0.25">
      <c r="A239" s="3">
        <v>45709.405115740738</v>
      </c>
      <c r="B239" t="s">
        <v>244</v>
      </c>
      <c r="C239" s="3">
        <v>45709.406504629631</v>
      </c>
      <c r="D239" t="s">
        <v>245</v>
      </c>
      <c r="E239" s="4">
        <v>0.1360327816605568</v>
      </c>
      <c r="F239" s="4">
        <v>349603.68431840697</v>
      </c>
      <c r="G239" s="4">
        <v>349603.82035118865</v>
      </c>
      <c r="H239" s="5">
        <f t="shared" si="2"/>
        <v>0</v>
      </c>
      <c r="I239" t="s">
        <v>55</v>
      </c>
      <c r="J239" t="s">
        <v>30</v>
      </c>
      <c r="K239" s="5">
        <f>120 / 86400</f>
        <v>1.3888888888888889E-3</v>
      </c>
      <c r="L239" s="5">
        <f>20 / 86400</f>
        <v>2.3148148148148149E-4</v>
      </c>
    </row>
    <row r="240" spans="1:12" x14ac:dyDescent="0.25">
      <c r="A240" s="3">
        <v>45709.406736111108</v>
      </c>
      <c r="B240" t="s">
        <v>119</v>
      </c>
      <c r="C240" s="3">
        <v>45709.40898148148</v>
      </c>
      <c r="D240" t="s">
        <v>119</v>
      </c>
      <c r="E240" s="4">
        <v>1.2764083070755006</v>
      </c>
      <c r="F240" s="4">
        <v>349603.82742553053</v>
      </c>
      <c r="G240" s="4">
        <v>349605.10383383761</v>
      </c>
      <c r="H240" s="5">
        <f t="shared" si="2"/>
        <v>0</v>
      </c>
      <c r="I240" t="s">
        <v>146</v>
      </c>
      <c r="J240" t="s">
        <v>127</v>
      </c>
      <c r="K240" s="5">
        <f>194 / 86400</f>
        <v>2.2453703703703702E-3</v>
      </c>
      <c r="L240" s="5">
        <f>22 / 86400</f>
        <v>2.5462962962962961E-4</v>
      </c>
    </row>
    <row r="241" spans="1:12" x14ac:dyDescent="0.25">
      <c r="A241" s="3">
        <v>45709.409236111111</v>
      </c>
      <c r="B241" t="s">
        <v>119</v>
      </c>
      <c r="C241" s="3">
        <v>45709.411319444444</v>
      </c>
      <c r="D241" t="s">
        <v>246</v>
      </c>
      <c r="E241" s="4">
        <v>1.0724614956974983</v>
      </c>
      <c r="F241" s="4">
        <v>349605.11414421536</v>
      </c>
      <c r="G241" s="4">
        <v>349606.18660571106</v>
      </c>
      <c r="H241" s="5">
        <f t="shared" si="2"/>
        <v>0</v>
      </c>
      <c r="I241" t="s">
        <v>247</v>
      </c>
      <c r="J241" t="s">
        <v>136</v>
      </c>
      <c r="K241" s="5">
        <f>180 / 86400</f>
        <v>2.0833333333333333E-3</v>
      </c>
      <c r="L241" s="5">
        <f>20 / 86400</f>
        <v>2.3148148148148149E-4</v>
      </c>
    </row>
    <row r="242" spans="1:12" x14ac:dyDescent="0.25">
      <c r="A242" s="3">
        <v>45709.411550925928</v>
      </c>
      <c r="B242" t="s">
        <v>119</v>
      </c>
      <c r="C242" s="3">
        <v>45709.41201388889</v>
      </c>
      <c r="D242" t="s">
        <v>248</v>
      </c>
      <c r="E242" s="4">
        <v>0.39265219485759734</v>
      </c>
      <c r="F242" s="4">
        <v>349606.41309801652</v>
      </c>
      <c r="G242" s="4">
        <v>349606.80575021135</v>
      </c>
      <c r="H242" s="5">
        <f t="shared" si="2"/>
        <v>0</v>
      </c>
      <c r="I242" t="s">
        <v>183</v>
      </c>
      <c r="J242" t="s">
        <v>201</v>
      </c>
      <c r="K242" s="5">
        <f>40 / 86400</f>
        <v>4.6296296296296298E-4</v>
      </c>
      <c r="L242" s="5">
        <f>7 / 86400</f>
        <v>8.1018518518518516E-5</v>
      </c>
    </row>
    <row r="243" spans="1:12" x14ac:dyDescent="0.25">
      <c r="A243" s="3">
        <v>45709.412094907406</v>
      </c>
      <c r="B243" t="s">
        <v>248</v>
      </c>
      <c r="C243" s="3">
        <v>45709.413020833337</v>
      </c>
      <c r="D243" t="s">
        <v>249</v>
      </c>
      <c r="E243" s="4">
        <v>0.4134434887766838</v>
      </c>
      <c r="F243" s="4">
        <v>349606.80795827927</v>
      </c>
      <c r="G243" s="4">
        <v>349607.22140176804</v>
      </c>
      <c r="H243" s="5">
        <f t="shared" si="2"/>
        <v>0</v>
      </c>
      <c r="I243" t="s">
        <v>230</v>
      </c>
      <c r="J243" t="s">
        <v>77</v>
      </c>
      <c r="K243" s="5">
        <f>80 / 86400</f>
        <v>9.2592592592592596E-4</v>
      </c>
      <c r="L243" s="5">
        <f>20 / 86400</f>
        <v>2.3148148148148149E-4</v>
      </c>
    </row>
    <row r="244" spans="1:12" x14ac:dyDescent="0.25">
      <c r="A244" s="3">
        <v>45709.413252314815</v>
      </c>
      <c r="B244" t="s">
        <v>249</v>
      </c>
      <c r="C244" s="3">
        <v>45709.413483796292</v>
      </c>
      <c r="D244" t="s">
        <v>249</v>
      </c>
      <c r="E244" s="4">
        <v>1.3252091407775879E-3</v>
      </c>
      <c r="F244" s="4">
        <v>349607.29022382246</v>
      </c>
      <c r="G244" s="4">
        <v>349607.29154903162</v>
      </c>
      <c r="H244" s="5">
        <f t="shared" si="2"/>
        <v>0</v>
      </c>
      <c r="I244" t="s">
        <v>47</v>
      </c>
      <c r="J244" t="s">
        <v>48</v>
      </c>
      <c r="K244" s="5">
        <f>20 / 86400</f>
        <v>2.3148148148148149E-4</v>
      </c>
      <c r="L244" s="5">
        <f>20 / 86400</f>
        <v>2.3148148148148149E-4</v>
      </c>
    </row>
    <row r="245" spans="1:12" x14ac:dyDescent="0.25">
      <c r="A245" s="3">
        <v>45709.413715277777</v>
      </c>
      <c r="B245" t="s">
        <v>250</v>
      </c>
      <c r="C245" s="3">
        <v>45709.415104166663</v>
      </c>
      <c r="D245" t="s">
        <v>251</v>
      </c>
      <c r="E245" s="4">
        <v>0.94589991551637653</v>
      </c>
      <c r="F245" s="4">
        <v>349607.4220143673</v>
      </c>
      <c r="G245" s="4">
        <v>349608.36791428278</v>
      </c>
      <c r="H245" s="5">
        <f t="shared" si="2"/>
        <v>0</v>
      </c>
      <c r="I245" t="s">
        <v>162</v>
      </c>
      <c r="J245" t="s">
        <v>91</v>
      </c>
      <c r="K245" s="5">
        <f>120 / 86400</f>
        <v>1.3888888888888889E-3</v>
      </c>
      <c r="L245" s="5">
        <f>7 / 86400</f>
        <v>8.1018518518518516E-5</v>
      </c>
    </row>
    <row r="246" spans="1:12" x14ac:dyDescent="0.25">
      <c r="A246" s="3">
        <v>45709.415185185186</v>
      </c>
      <c r="B246" t="s">
        <v>251</v>
      </c>
      <c r="C246" s="3">
        <v>45709.419247685189</v>
      </c>
      <c r="D246" t="s">
        <v>251</v>
      </c>
      <c r="E246" s="4">
        <v>1.2992879533171653</v>
      </c>
      <c r="F246" s="4">
        <v>349608.37257495621</v>
      </c>
      <c r="G246" s="4">
        <v>349609.67186290957</v>
      </c>
      <c r="H246" s="5">
        <f t="shared" si="2"/>
        <v>0</v>
      </c>
      <c r="I246" t="s">
        <v>76</v>
      </c>
      <c r="J246" t="s">
        <v>26</v>
      </c>
      <c r="K246" s="5">
        <f>351 / 86400</f>
        <v>4.0625000000000001E-3</v>
      </c>
      <c r="L246" s="5">
        <f>26 / 86400</f>
        <v>3.0092592592592595E-4</v>
      </c>
    </row>
    <row r="247" spans="1:12" x14ac:dyDescent="0.25">
      <c r="A247" s="3">
        <v>45709.419548611113</v>
      </c>
      <c r="B247" t="s">
        <v>251</v>
      </c>
      <c r="C247" s="3">
        <v>45709.420474537037</v>
      </c>
      <c r="D247" t="s">
        <v>252</v>
      </c>
      <c r="E247" s="4">
        <v>0.30515547084808348</v>
      </c>
      <c r="F247" s="4">
        <v>349609.67927705747</v>
      </c>
      <c r="G247" s="4">
        <v>349609.98443252832</v>
      </c>
      <c r="H247" s="5">
        <f t="shared" si="2"/>
        <v>0</v>
      </c>
      <c r="I247" t="s">
        <v>150</v>
      </c>
      <c r="J247" t="s">
        <v>57</v>
      </c>
      <c r="K247" s="5">
        <f>80 / 86400</f>
        <v>9.2592592592592596E-4</v>
      </c>
      <c r="L247" s="5">
        <f>20 / 86400</f>
        <v>2.3148148148148149E-4</v>
      </c>
    </row>
    <row r="248" spans="1:12" x14ac:dyDescent="0.25">
      <c r="A248" s="3">
        <v>45709.420706018514</v>
      </c>
      <c r="B248" t="s">
        <v>172</v>
      </c>
      <c r="C248" s="3">
        <v>45709.421168981484</v>
      </c>
      <c r="D248" t="s">
        <v>253</v>
      </c>
      <c r="E248" s="4">
        <v>0.230802940428257</v>
      </c>
      <c r="F248" s="4">
        <v>349610.23481169436</v>
      </c>
      <c r="G248" s="4">
        <v>349610.4656146348</v>
      </c>
      <c r="H248" s="5">
        <f t="shared" si="2"/>
        <v>0</v>
      </c>
      <c r="I248" t="s">
        <v>191</v>
      </c>
      <c r="J248" t="s">
        <v>136</v>
      </c>
      <c r="K248" s="5">
        <f>40 / 86400</f>
        <v>4.6296296296296298E-4</v>
      </c>
      <c r="L248" s="5">
        <f>40 / 86400</f>
        <v>4.6296296296296298E-4</v>
      </c>
    </row>
    <row r="249" spans="1:12" x14ac:dyDescent="0.25">
      <c r="A249" s="3">
        <v>45709.421631944446</v>
      </c>
      <c r="B249" t="s">
        <v>253</v>
      </c>
      <c r="C249" s="3">
        <v>45709.422326388885</v>
      </c>
      <c r="D249" t="s">
        <v>254</v>
      </c>
      <c r="E249" s="4">
        <v>2.2402769923210143E-2</v>
      </c>
      <c r="F249" s="4">
        <v>349610.47101363726</v>
      </c>
      <c r="G249" s="4">
        <v>349610.49341640715</v>
      </c>
      <c r="H249" s="5">
        <f t="shared" si="2"/>
        <v>0</v>
      </c>
      <c r="I249" t="s">
        <v>135</v>
      </c>
      <c r="J249" t="s">
        <v>47</v>
      </c>
      <c r="K249" s="5">
        <f>60 / 86400</f>
        <v>6.9444444444444447E-4</v>
      </c>
      <c r="L249" s="5">
        <f>220 / 86400</f>
        <v>2.5462962962962965E-3</v>
      </c>
    </row>
    <row r="250" spans="1:12" x14ac:dyDescent="0.25">
      <c r="A250" s="3">
        <v>45709.42487268518</v>
      </c>
      <c r="B250" t="s">
        <v>254</v>
      </c>
      <c r="C250" s="3">
        <v>45709.425335648149</v>
      </c>
      <c r="D250" t="s">
        <v>255</v>
      </c>
      <c r="E250" s="4">
        <v>0.13256747061014176</v>
      </c>
      <c r="F250" s="4">
        <v>349610.52471657068</v>
      </c>
      <c r="G250" s="4">
        <v>349610.65728404128</v>
      </c>
      <c r="H250" s="5">
        <f t="shared" si="2"/>
        <v>0</v>
      </c>
      <c r="I250" t="s">
        <v>87</v>
      </c>
      <c r="J250" t="s">
        <v>55</v>
      </c>
      <c r="K250" s="5">
        <f>40 / 86400</f>
        <v>4.6296296296296298E-4</v>
      </c>
      <c r="L250" s="5">
        <f>20 / 86400</f>
        <v>2.3148148148148149E-4</v>
      </c>
    </row>
    <row r="251" spans="1:12" x14ac:dyDescent="0.25">
      <c r="A251" s="3">
        <v>45709.425567129627</v>
      </c>
      <c r="B251" t="s">
        <v>63</v>
      </c>
      <c r="C251" s="3">
        <v>45709.425798611112</v>
      </c>
      <c r="D251" t="s">
        <v>63</v>
      </c>
      <c r="E251" s="4">
        <v>3.3145523071289062E-3</v>
      </c>
      <c r="F251" s="4">
        <v>349611.01149807806</v>
      </c>
      <c r="G251" s="4">
        <v>349611.01481263037</v>
      </c>
      <c r="H251" s="5">
        <f t="shared" si="2"/>
        <v>0</v>
      </c>
      <c r="I251" t="s">
        <v>134</v>
      </c>
      <c r="J251" t="s">
        <v>47</v>
      </c>
      <c r="K251" s="5">
        <f>20 / 86400</f>
        <v>2.3148148148148149E-4</v>
      </c>
      <c r="L251" s="5">
        <f>20 / 86400</f>
        <v>2.3148148148148149E-4</v>
      </c>
    </row>
    <row r="252" spans="1:12" x14ac:dyDescent="0.25">
      <c r="A252" s="3">
        <v>45709.426030092596</v>
      </c>
      <c r="B252" t="s">
        <v>63</v>
      </c>
      <c r="C252" s="3">
        <v>45709.426493055551</v>
      </c>
      <c r="D252" t="s">
        <v>256</v>
      </c>
      <c r="E252" s="4">
        <v>0.18095532375574111</v>
      </c>
      <c r="F252" s="4">
        <v>349611.01909557561</v>
      </c>
      <c r="G252" s="4">
        <v>349611.20005089941</v>
      </c>
      <c r="H252" s="5">
        <f t="shared" si="2"/>
        <v>0</v>
      </c>
      <c r="I252" t="s">
        <v>230</v>
      </c>
      <c r="J252" t="s">
        <v>28</v>
      </c>
      <c r="K252" s="5">
        <f>40 / 86400</f>
        <v>4.6296296296296298E-4</v>
      </c>
      <c r="L252" s="5">
        <f>20 / 86400</f>
        <v>2.3148148148148149E-4</v>
      </c>
    </row>
    <row r="253" spans="1:12" x14ac:dyDescent="0.25">
      <c r="A253" s="3">
        <v>45709.426724537036</v>
      </c>
      <c r="B253" t="s">
        <v>63</v>
      </c>
      <c r="C253" s="3">
        <v>45709.42695601852</v>
      </c>
      <c r="D253" t="s">
        <v>257</v>
      </c>
      <c r="E253" s="4">
        <v>0.25635283386707308</v>
      </c>
      <c r="F253" s="4">
        <v>349611.76934753638</v>
      </c>
      <c r="G253" s="4">
        <v>349612.02570037026</v>
      </c>
      <c r="H253" s="5">
        <f t="shared" si="2"/>
        <v>0</v>
      </c>
      <c r="I253" t="s">
        <v>25</v>
      </c>
      <c r="J253" t="s">
        <v>162</v>
      </c>
      <c r="K253" s="5">
        <f>20 / 86400</f>
        <v>2.3148148148148149E-4</v>
      </c>
      <c r="L253" s="5">
        <f>68 / 86400</f>
        <v>7.8703703703703705E-4</v>
      </c>
    </row>
    <row r="254" spans="1:12" x14ac:dyDescent="0.25">
      <c r="A254" s="3">
        <v>45709.427743055552</v>
      </c>
      <c r="B254" t="s">
        <v>257</v>
      </c>
      <c r="C254" s="3">
        <v>45709.43069444444</v>
      </c>
      <c r="D254" t="s">
        <v>258</v>
      </c>
      <c r="E254" s="4">
        <v>1.1577269865870476</v>
      </c>
      <c r="F254" s="4">
        <v>349612.06462914316</v>
      </c>
      <c r="G254" s="4">
        <v>349613.22235612979</v>
      </c>
      <c r="H254" s="5">
        <f t="shared" si="2"/>
        <v>0</v>
      </c>
      <c r="I254" t="s">
        <v>168</v>
      </c>
      <c r="J254" t="s">
        <v>28</v>
      </c>
      <c r="K254" s="5">
        <f>255 / 86400</f>
        <v>2.9513888888888888E-3</v>
      </c>
      <c r="L254" s="5">
        <f>80 / 86400</f>
        <v>9.2592592592592596E-4</v>
      </c>
    </row>
    <row r="255" spans="1:12" x14ac:dyDescent="0.25">
      <c r="A255" s="3">
        <v>45709.431620370371</v>
      </c>
      <c r="B255" t="s">
        <v>258</v>
      </c>
      <c r="C255" s="3">
        <v>45709.431851851856</v>
      </c>
      <c r="D255" t="s">
        <v>258</v>
      </c>
      <c r="E255" s="4">
        <v>1.4314001798629761E-3</v>
      </c>
      <c r="F255" s="4">
        <v>349613.24092172732</v>
      </c>
      <c r="G255" s="4">
        <v>349613.24235312745</v>
      </c>
      <c r="H255" s="5">
        <f t="shared" si="2"/>
        <v>0</v>
      </c>
      <c r="I255" t="s">
        <v>47</v>
      </c>
      <c r="J255" t="s">
        <v>48</v>
      </c>
      <c r="K255" s="5">
        <f>20 / 86400</f>
        <v>2.3148148148148149E-4</v>
      </c>
      <c r="L255" s="5">
        <f>80 / 86400</f>
        <v>9.2592592592592596E-4</v>
      </c>
    </row>
    <row r="256" spans="1:12" x14ac:dyDescent="0.25">
      <c r="A256" s="3">
        <v>45709.43277777778</v>
      </c>
      <c r="B256" t="s">
        <v>258</v>
      </c>
      <c r="C256" s="3">
        <v>45709.433935185181</v>
      </c>
      <c r="D256" t="s">
        <v>258</v>
      </c>
      <c r="E256" s="4">
        <v>0.19248144418001176</v>
      </c>
      <c r="F256" s="4">
        <v>349613.28234130132</v>
      </c>
      <c r="G256" s="4">
        <v>349613.47482274548</v>
      </c>
      <c r="H256" s="5">
        <f t="shared" si="2"/>
        <v>0</v>
      </c>
      <c r="I256" t="s">
        <v>26</v>
      </c>
      <c r="J256" t="s">
        <v>88</v>
      </c>
      <c r="K256" s="5">
        <f>100 / 86400</f>
        <v>1.1574074074074073E-3</v>
      </c>
      <c r="L256" s="5">
        <f>140 / 86400</f>
        <v>1.6203703703703703E-3</v>
      </c>
    </row>
    <row r="257" spans="1:12" x14ac:dyDescent="0.25">
      <c r="A257" s="3">
        <v>45709.435555555552</v>
      </c>
      <c r="B257" t="s">
        <v>258</v>
      </c>
      <c r="C257" s="3">
        <v>45709.436319444445</v>
      </c>
      <c r="D257" t="s">
        <v>259</v>
      </c>
      <c r="E257" s="4">
        <v>9.9628107666969293E-2</v>
      </c>
      <c r="F257" s="4">
        <v>349613.49820066179</v>
      </c>
      <c r="G257" s="4">
        <v>349613.59782876947</v>
      </c>
      <c r="H257" s="5">
        <f t="shared" si="2"/>
        <v>0</v>
      </c>
      <c r="I257" t="s">
        <v>59</v>
      </c>
      <c r="J257" t="s">
        <v>121</v>
      </c>
      <c r="K257" s="5">
        <f>66 / 86400</f>
        <v>7.6388888888888893E-4</v>
      </c>
      <c r="L257" s="5">
        <f>20 / 86400</f>
        <v>2.3148148148148149E-4</v>
      </c>
    </row>
    <row r="258" spans="1:12" x14ac:dyDescent="0.25">
      <c r="A258" s="3">
        <v>45709.436550925922</v>
      </c>
      <c r="B258" t="s">
        <v>260</v>
      </c>
      <c r="C258" s="3">
        <v>45709.437094907407</v>
      </c>
      <c r="D258" t="s">
        <v>261</v>
      </c>
      <c r="E258" s="4">
        <v>3.5923352062702182E-2</v>
      </c>
      <c r="F258" s="4">
        <v>349613.61500429688</v>
      </c>
      <c r="G258" s="4">
        <v>349613.65092764894</v>
      </c>
      <c r="H258" s="5">
        <f t="shared" si="2"/>
        <v>0</v>
      </c>
      <c r="I258" t="s">
        <v>134</v>
      </c>
      <c r="J258" t="s">
        <v>135</v>
      </c>
      <c r="K258" s="5">
        <f>47 / 86400</f>
        <v>5.4398148148148144E-4</v>
      </c>
      <c r="L258" s="5">
        <f>29 / 86400</f>
        <v>3.3564814814814812E-4</v>
      </c>
    </row>
    <row r="259" spans="1:12" x14ac:dyDescent="0.25">
      <c r="A259" s="3">
        <v>45709.437430555554</v>
      </c>
      <c r="B259" t="s">
        <v>261</v>
      </c>
      <c r="C259" s="3">
        <v>45709.437662037039</v>
      </c>
      <c r="D259" t="s">
        <v>261</v>
      </c>
      <c r="E259" s="4">
        <v>7.4720818400382995E-3</v>
      </c>
      <c r="F259" s="4">
        <v>349613.66255550139</v>
      </c>
      <c r="G259" s="4">
        <v>349613.67002758326</v>
      </c>
      <c r="H259" s="5">
        <f t="shared" si="2"/>
        <v>0</v>
      </c>
      <c r="I259" t="s">
        <v>125</v>
      </c>
      <c r="J259" t="s">
        <v>47</v>
      </c>
      <c r="K259" s="5">
        <f>20 / 86400</f>
        <v>2.3148148148148149E-4</v>
      </c>
      <c r="L259" s="5">
        <f>20 / 86400</f>
        <v>2.3148148148148149E-4</v>
      </c>
    </row>
    <row r="260" spans="1:12" x14ac:dyDescent="0.25">
      <c r="A260" s="3">
        <v>45709.437893518523</v>
      </c>
      <c r="B260" t="s">
        <v>261</v>
      </c>
      <c r="C260" s="3">
        <v>45709.438819444447</v>
      </c>
      <c r="D260" t="s">
        <v>261</v>
      </c>
      <c r="E260" s="4">
        <v>0.22515945339202881</v>
      </c>
      <c r="F260" s="4">
        <v>349613.68470165227</v>
      </c>
      <c r="G260" s="4">
        <v>349613.90986110567</v>
      </c>
      <c r="H260" s="5">
        <f t="shared" si="2"/>
        <v>0</v>
      </c>
      <c r="I260" t="s">
        <v>124</v>
      </c>
      <c r="J260" t="s">
        <v>60</v>
      </c>
      <c r="K260" s="5">
        <f>80 / 86400</f>
        <v>9.2592592592592596E-4</v>
      </c>
      <c r="L260" s="5">
        <f>20 / 86400</f>
        <v>2.3148148148148149E-4</v>
      </c>
    </row>
    <row r="261" spans="1:12" x14ac:dyDescent="0.25">
      <c r="A261" s="3">
        <v>45709.439050925925</v>
      </c>
      <c r="B261" t="s">
        <v>261</v>
      </c>
      <c r="C261" s="3">
        <v>45709.439513888894</v>
      </c>
      <c r="D261" t="s">
        <v>262</v>
      </c>
      <c r="E261" s="4">
        <v>5.7559333443641662E-2</v>
      </c>
      <c r="F261" s="4">
        <v>349613.92854501784</v>
      </c>
      <c r="G261" s="4">
        <v>349613.98610435129</v>
      </c>
      <c r="H261" s="5">
        <f t="shared" si="2"/>
        <v>0</v>
      </c>
      <c r="I261" t="s">
        <v>55</v>
      </c>
      <c r="J261" t="s">
        <v>121</v>
      </c>
      <c r="K261" s="5">
        <f>40 / 86400</f>
        <v>4.6296296296296298E-4</v>
      </c>
      <c r="L261" s="5">
        <f>20 / 86400</f>
        <v>2.3148148148148149E-4</v>
      </c>
    </row>
    <row r="262" spans="1:12" x14ac:dyDescent="0.25">
      <c r="A262" s="3">
        <v>45709.439745370371</v>
      </c>
      <c r="B262" t="s">
        <v>261</v>
      </c>
      <c r="C262" s="3">
        <v>45709.442199074074</v>
      </c>
      <c r="D262" t="s">
        <v>263</v>
      </c>
      <c r="E262" s="4">
        <v>0.48545745968818665</v>
      </c>
      <c r="F262" s="4">
        <v>349614.03565180523</v>
      </c>
      <c r="G262" s="4">
        <v>349614.52110926493</v>
      </c>
      <c r="H262" s="5">
        <f t="shared" si="2"/>
        <v>0</v>
      </c>
      <c r="I262" t="s">
        <v>28</v>
      </c>
      <c r="J262" t="s">
        <v>59</v>
      </c>
      <c r="K262" s="5">
        <f>212 / 86400</f>
        <v>2.4537037037037036E-3</v>
      </c>
      <c r="L262" s="5">
        <f>32 / 86400</f>
        <v>3.7037037037037035E-4</v>
      </c>
    </row>
    <row r="263" spans="1:12" x14ac:dyDescent="0.25">
      <c r="A263" s="3">
        <v>45709.442569444444</v>
      </c>
      <c r="B263" t="s">
        <v>263</v>
      </c>
      <c r="C263" s="3">
        <v>45709.44395833333</v>
      </c>
      <c r="D263" t="s">
        <v>263</v>
      </c>
      <c r="E263" s="4">
        <v>0.26870884084701541</v>
      </c>
      <c r="F263" s="4">
        <v>349614.52733233297</v>
      </c>
      <c r="G263" s="4">
        <v>349614.7960411738</v>
      </c>
      <c r="H263" s="5">
        <f t="shared" si="2"/>
        <v>0</v>
      </c>
      <c r="I263" t="s">
        <v>26</v>
      </c>
      <c r="J263" t="s">
        <v>59</v>
      </c>
      <c r="K263" s="5">
        <f>120 / 86400</f>
        <v>1.3888888888888889E-3</v>
      </c>
      <c r="L263" s="5">
        <f>8 / 86400</f>
        <v>9.2592592592592588E-5</v>
      </c>
    </row>
    <row r="264" spans="1:12" x14ac:dyDescent="0.25">
      <c r="A264" s="3">
        <v>45709.444050925929</v>
      </c>
      <c r="B264" t="s">
        <v>264</v>
      </c>
      <c r="C264" s="3">
        <v>45709.445289351846</v>
      </c>
      <c r="D264" t="s">
        <v>265</v>
      </c>
      <c r="E264" s="4">
        <v>0.45914371937513354</v>
      </c>
      <c r="F264" s="4">
        <v>349614.80599528551</v>
      </c>
      <c r="G264" s="4">
        <v>349615.26513900491</v>
      </c>
      <c r="H264" s="5">
        <f t="shared" si="2"/>
        <v>0</v>
      </c>
      <c r="I264" t="s">
        <v>141</v>
      </c>
      <c r="J264" t="s">
        <v>41</v>
      </c>
      <c r="K264" s="5">
        <f>107 / 86400</f>
        <v>1.238425925925926E-3</v>
      </c>
      <c r="L264" s="5">
        <f>14 / 86400</f>
        <v>1.6203703703703703E-4</v>
      </c>
    </row>
    <row r="265" spans="1:12" x14ac:dyDescent="0.25">
      <c r="A265" s="3">
        <v>45709.445451388892</v>
      </c>
      <c r="B265" t="s">
        <v>265</v>
      </c>
      <c r="C265" s="3">
        <v>45709.447430555556</v>
      </c>
      <c r="D265" t="s">
        <v>266</v>
      </c>
      <c r="E265" s="4">
        <v>1.1469031220078469</v>
      </c>
      <c r="F265" s="4">
        <v>349615.29573869269</v>
      </c>
      <c r="G265" s="4">
        <v>349616.4426418147</v>
      </c>
      <c r="H265" s="5">
        <f t="shared" si="2"/>
        <v>0</v>
      </c>
      <c r="I265" t="s">
        <v>196</v>
      </c>
      <c r="J265" t="s">
        <v>127</v>
      </c>
      <c r="K265" s="5">
        <f>171 / 86400</f>
        <v>1.9791666666666668E-3</v>
      </c>
      <c r="L265" s="5">
        <f>20 / 86400</f>
        <v>2.3148148148148149E-4</v>
      </c>
    </row>
    <row r="266" spans="1:12" x14ac:dyDescent="0.25">
      <c r="A266" s="3">
        <v>45709.447662037041</v>
      </c>
      <c r="B266" t="s">
        <v>266</v>
      </c>
      <c r="C266" s="3">
        <v>45709.447893518518</v>
      </c>
      <c r="D266" t="s">
        <v>266</v>
      </c>
      <c r="E266" s="4">
        <v>4.5549848675727842E-3</v>
      </c>
      <c r="F266" s="4">
        <v>349616.44373062352</v>
      </c>
      <c r="G266" s="4">
        <v>349616.44828560844</v>
      </c>
      <c r="H266" s="5">
        <f t="shared" si="2"/>
        <v>0</v>
      </c>
      <c r="I266" t="s">
        <v>135</v>
      </c>
      <c r="J266" t="s">
        <v>47</v>
      </c>
      <c r="K266" s="5">
        <f>20 / 86400</f>
        <v>2.3148148148148149E-4</v>
      </c>
      <c r="L266" s="5">
        <f>40 / 86400</f>
        <v>4.6296296296296298E-4</v>
      </c>
    </row>
    <row r="267" spans="1:12" x14ac:dyDescent="0.25">
      <c r="A267" s="3">
        <v>45709.44835648148</v>
      </c>
      <c r="B267" t="s">
        <v>266</v>
      </c>
      <c r="C267" s="3">
        <v>45709.449259259258</v>
      </c>
      <c r="D267" t="s">
        <v>267</v>
      </c>
      <c r="E267" s="4">
        <v>9.0255913853645328E-2</v>
      </c>
      <c r="F267" s="4">
        <v>349616.46089709277</v>
      </c>
      <c r="G267" s="4">
        <v>349616.55115300661</v>
      </c>
      <c r="H267" s="5">
        <f t="shared" si="2"/>
        <v>0</v>
      </c>
      <c r="I267" t="s">
        <v>59</v>
      </c>
      <c r="J267" t="s">
        <v>30</v>
      </c>
      <c r="K267" s="5">
        <f>78 / 86400</f>
        <v>9.0277777777777774E-4</v>
      </c>
      <c r="L267" s="5">
        <f>80 / 86400</f>
        <v>9.2592592592592596E-4</v>
      </c>
    </row>
    <row r="268" spans="1:12" x14ac:dyDescent="0.25">
      <c r="A268" s="3">
        <v>45709.450185185182</v>
      </c>
      <c r="B268" t="s">
        <v>268</v>
      </c>
      <c r="C268" s="3">
        <v>45709.452384259261</v>
      </c>
      <c r="D268" t="s">
        <v>269</v>
      </c>
      <c r="E268" s="4">
        <v>1.1917796548604964</v>
      </c>
      <c r="F268" s="4">
        <v>349616.58522745065</v>
      </c>
      <c r="G268" s="4">
        <v>349617.77700710553</v>
      </c>
      <c r="H268" s="5">
        <f t="shared" si="2"/>
        <v>0</v>
      </c>
      <c r="I268" t="s">
        <v>175</v>
      </c>
      <c r="J268" t="s">
        <v>124</v>
      </c>
      <c r="K268" s="5">
        <f>190 / 86400</f>
        <v>2.1990740740740742E-3</v>
      </c>
      <c r="L268" s="5">
        <f>20 / 86400</f>
        <v>2.3148148148148149E-4</v>
      </c>
    </row>
    <row r="269" spans="1:12" x14ac:dyDescent="0.25">
      <c r="A269" s="3">
        <v>45709.452615740738</v>
      </c>
      <c r="B269" t="s">
        <v>157</v>
      </c>
      <c r="C269" s="3">
        <v>45709.454027777778</v>
      </c>
      <c r="D269" t="s">
        <v>270</v>
      </c>
      <c r="E269" s="4">
        <v>0.79509014576673509</v>
      </c>
      <c r="F269" s="4">
        <v>349617.94438694889</v>
      </c>
      <c r="G269" s="4">
        <v>349618.73947709467</v>
      </c>
      <c r="H269" s="5">
        <f t="shared" si="2"/>
        <v>0</v>
      </c>
      <c r="I269" t="s">
        <v>234</v>
      </c>
      <c r="J269" t="s">
        <v>124</v>
      </c>
      <c r="K269" s="5">
        <f>122 / 86400</f>
        <v>1.4120370370370369E-3</v>
      </c>
      <c r="L269" s="5">
        <f>9 / 86400</f>
        <v>1.0416666666666667E-4</v>
      </c>
    </row>
    <row r="270" spans="1:12" x14ac:dyDescent="0.25">
      <c r="A270" s="3">
        <v>45709.45413194444</v>
      </c>
      <c r="B270" t="s">
        <v>271</v>
      </c>
      <c r="C270" s="3">
        <v>45709.454363425924</v>
      </c>
      <c r="D270" t="s">
        <v>271</v>
      </c>
      <c r="E270" s="4">
        <v>0</v>
      </c>
      <c r="F270" s="4">
        <v>349619.08467464463</v>
      </c>
      <c r="G270" s="4">
        <v>349619.08467464463</v>
      </c>
      <c r="H270" s="5">
        <f t="shared" si="2"/>
        <v>0</v>
      </c>
      <c r="I270" t="s">
        <v>66</v>
      </c>
      <c r="J270" t="s">
        <v>48</v>
      </c>
      <c r="K270" s="5">
        <f>20 / 86400</f>
        <v>2.3148148148148149E-4</v>
      </c>
      <c r="L270" s="5">
        <f>50 / 86400</f>
        <v>5.7870370370370367E-4</v>
      </c>
    </row>
    <row r="271" spans="1:12" x14ac:dyDescent="0.25">
      <c r="A271" s="3">
        <v>45709.454942129625</v>
      </c>
      <c r="B271" t="s">
        <v>272</v>
      </c>
      <c r="C271" s="3">
        <v>45709.456539351857</v>
      </c>
      <c r="D271" t="s">
        <v>273</v>
      </c>
      <c r="E271" s="4">
        <v>0.80877156686782836</v>
      </c>
      <c r="F271" s="4">
        <v>349619.13996005437</v>
      </c>
      <c r="G271" s="4">
        <v>349619.9487316212</v>
      </c>
      <c r="H271" s="5">
        <f t="shared" si="2"/>
        <v>0</v>
      </c>
      <c r="I271" t="s">
        <v>230</v>
      </c>
      <c r="J271" t="s">
        <v>136</v>
      </c>
      <c r="K271" s="5">
        <f>138 / 86400</f>
        <v>1.5972222222222223E-3</v>
      </c>
      <c r="L271" s="5">
        <f>7 / 86400</f>
        <v>8.1018518518518516E-5</v>
      </c>
    </row>
    <row r="272" spans="1:12" x14ac:dyDescent="0.25">
      <c r="A272" s="3">
        <v>45709.456620370373</v>
      </c>
      <c r="B272" t="s">
        <v>273</v>
      </c>
      <c r="C272" s="3">
        <v>45709.45685185185</v>
      </c>
      <c r="D272" t="s">
        <v>273</v>
      </c>
      <c r="E272" s="4">
        <v>8.9555870890617367E-2</v>
      </c>
      <c r="F272" s="4">
        <v>349619.95129458472</v>
      </c>
      <c r="G272" s="4">
        <v>349620.04085045564</v>
      </c>
      <c r="H272" s="5">
        <f t="shared" si="2"/>
        <v>0</v>
      </c>
      <c r="I272" t="s">
        <v>59</v>
      </c>
      <c r="J272" t="s">
        <v>28</v>
      </c>
      <c r="K272" s="5">
        <f>20 / 86400</f>
        <v>2.3148148148148149E-4</v>
      </c>
      <c r="L272" s="5">
        <f>6 / 86400</f>
        <v>6.9444444444444444E-5</v>
      </c>
    </row>
    <row r="273" spans="1:12" x14ac:dyDescent="0.25">
      <c r="A273" s="3">
        <v>45709.456921296296</v>
      </c>
      <c r="B273" t="s">
        <v>273</v>
      </c>
      <c r="C273" s="3">
        <v>45709.457719907412</v>
      </c>
      <c r="D273" t="s">
        <v>274</v>
      </c>
      <c r="E273" s="4">
        <v>0.11479032742977142</v>
      </c>
      <c r="F273" s="4">
        <v>349620.04413389805</v>
      </c>
      <c r="G273" s="4">
        <v>349620.15892422543</v>
      </c>
      <c r="H273" s="5">
        <f t="shared" si="2"/>
        <v>0</v>
      </c>
      <c r="I273" t="s">
        <v>52</v>
      </c>
      <c r="J273" t="s">
        <v>134</v>
      </c>
      <c r="K273" s="5">
        <f>69 / 86400</f>
        <v>7.9861111111111116E-4</v>
      </c>
      <c r="L273" s="5">
        <f>24 / 86400</f>
        <v>2.7777777777777778E-4</v>
      </c>
    </row>
    <row r="274" spans="1:12" x14ac:dyDescent="0.25">
      <c r="A274" s="3">
        <v>45709.457997685182</v>
      </c>
      <c r="B274" t="s">
        <v>274</v>
      </c>
      <c r="C274" s="3">
        <v>45709.458692129629</v>
      </c>
      <c r="D274" t="s">
        <v>275</v>
      </c>
      <c r="E274" s="4">
        <v>8.7312052428722378E-2</v>
      </c>
      <c r="F274" s="4">
        <v>349620.16255427845</v>
      </c>
      <c r="G274" s="4">
        <v>349620.24986633088</v>
      </c>
      <c r="H274" s="5">
        <f t="shared" si="2"/>
        <v>0</v>
      </c>
      <c r="I274" t="s">
        <v>134</v>
      </c>
      <c r="J274" t="s">
        <v>121</v>
      </c>
      <c r="K274" s="5">
        <f>60 / 86400</f>
        <v>6.9444444444444447E-4</v>
      </c>
      <c r="L274" s="5">
        <f>39 / 86400</f>
        <v>4.5138888888888887E-4</v>
      </c>
    </row>
    <row r="275" spans="1:12" x14ac:dyDescent="0.25">
      <c r="A275" s="3">
        <v>45709.459143518514</v>
      </c>
      <c r="B275" t="s">
        <v>275</v>
      </c>
      <c r="C275" s="3">
        <v>45709.460439814815</v>
      </c>
      <c r="D275" t="s">
        <v>276</v>
      </c>
      <c r="E275" s="4">
        <v>0.48690392792224885</v>
      </c>
      <c r="F275" s="4">
        <v>349620.25351164897</v>
      </c>
      <c r="G275" s="4">
        <v>349620.7404155769</v>
      </c>
      <c r="H275" s="5">
        <f t="shared" si="2"/>
        <v>0</v>
      </c>
      <c r="I275" t="s">
        <v>141</v>
      </c>
      <c r="J275" t="s">
        <v>28</v>
      </c>
      <c r="K275" s="5">
        <f>112 / 86400</f>
        <v>1.2962962962962963E-3</v>
      </c>
      <c r="L275" s="5">
        <f>58 / 86400</f>
        <v>6.7129629629629625E-4</v>
      </c>
    </row>
    <row r="276" spans="1:12" x14ac:dyDescent="0.25">
      <c r="A276" s="3">
        <v>45709.461111111115</v>
      </c>
      <c r="B276" t="s">
        <v>277</v>
      </c>
      <c r="C276" s="3">
        <v>45709.46157407407</v>
      </c>
      <c r="D276" t="s">
        <v>278</v>
      </c>
      <c r="E276" s="4">
        <v>0.15465129214525222</v>
      </c>
      <c r="F276" s="4">
        <v>349620.77907000645</v>
      </c>
      <c r="G276" s="4">
        <v>349620.93372129858</v>
      </c>
      <c r="H276" s="5">
        <f t="shared" si="2"/>
        <v>0</v>
      </c>
      <c r="I276" t="s">
        <v>52</v>
      </c>
      <c r="J276" t="s">
        <v>57</v>
      </c>
      <c r="K276" s="5">
        <f>40 / 86400</f>
        <v>4.6296296296296298E-4</v>
      </c>
      <c r="L276" s="5">
        <f>20 / 86400</f>
        <v>2.3148148148148149E-4</v>
      </c>
    </row>
    <row r="277" spans="1:12" x14ac:dyDescent="0.25">
      <c r="A277" s="3">
        <v>45709.461805555555</v>
      </c>
      <c r="B277" t="s">
        <v>279</v>
      </c>
      <c r="C277" s="3">
        <v>45709.462268518517</v>
      </c>
      <c r="D277" t="s">
        <v>280</v>
      </c>
      <c r="E277" s="4">
        <v>3.1512579381465913E-2</v>
      </c>
      <c r="F277" s="4">
        <v>349621.23772235983</v>
      </c>
      <c r="G277" s="4">
        <v>349621.26923493925</v>
      </c>
      <c r="H277" s="5">
        <f t="shared" si="2"/>
        <v>0</v>
      </c>
      <c r="I277" t="s">
        <v>127</v>
      </c>
      <c r="J277" t="s">
        <v>135</v>
      </c>
      <c r="K277" s="5">
        <f>40 / 86400</f>
        <v>4.6296296296296298E-4</v>
      </c>
      <c r="L277" s="5">
        <f>20 / 86400</f>
        <v>2.3148148148148149E-4</v>
      </c>
    </row>
    <row r="278" spans="1:12" x14ac:dyDescent="0.25">
      <c r="A278" s="3">
        <v>45709.462500000001</v>
      </c>
      <c r="B278" t="s">
        <v>280</v>
      </c>
      <c r="C278" s="3">
        <v>45709.463819444441</v>
      </c>
      <c r="D278" t="s">
        <v>281</v>
      </c>
      <c r="E278" s="4">
        <v>0.55301619952917103</v>
      </c>
      <c r="F278" s="4">
        <v>349621.31507176894</v>
      </c>
      <c r="G278" s="4">
        <v>349621.86808796844</v>
      </c>
      <c r="H278" s="5">
        <f t="shared" si="2"/>
        <v>0</v>
      </c>
      <c r="I278" t="s">
        <v>171</v>
      </c>
      <c r="J278" t="s">
        <v>52</v>
      </c>
      <c r="K278" s="5">
        <f>114 / 86400</f>
        <v>1.3194444444444445E-3</v>
      </c>
      <c r="L278" s="5">
        <f>20 / 86400</f>
        <v>2.3148148148148149E-4</v>
      </c>
    </row>
    <row r="279" spans="1:12" x14ac:dyDescent="0.25">
      <c r="A279" s="3">
        <v>45709.464050925926</v>
      </c>
      <c r="B279" t="s">
        <v>281</v>
      </c>
      <c r="C279" s="3">
        <v>45709.46670138889</v>
      </c>
      <c r="D279" t="s">
        <v>282</v>
      </c>
      <c r="E279" s="4">
        <v>0.83124420642852781</v>
      </c>
      <c r="F279" s="4">
        <v>349621.89999440766</v>
      </c>
      <c r="G279" s="4">
        <v>349622.73123861407</v>
      </c>
      <c r="H279" s="5">
        <f t="shared" si="2"/>
        <v>0</v>
      </c>
      <c r="I279" t="s">
        <v>143</v>
      </c>
      <c r="J279" t="s">
        <v>26</v>
      </c>
      <c r="K279" s="5">
        <f>229 / 86400</f>
        <v>2.650462962962963E-3</v>
      </c>
      <c r="L279" s="5">
        <f>20 / 86400</f>
        <v>2.3148148148148149E-4</v>
      </c>
    </row>
    <row r="280" spans="1:12" x14ac:dyDescent="0.25">
      <c r="A280" s="3">
        <v>45709.466932870375</v>
      </c>
      <c r="B280" t="s">
        <v>283</v>
      </c>
      <c r="C280" s="3">
        <v>45709.467731481476</v>
      </c>
      <c r="D280" t="s">
        <v>284</v>
      </c>
      <c r="E280" s="4">
        <v>0.11075524294376374</v>
      </c>
      <c r="F280" s="4">
        <v>349622.74055175413</v>
      </c>
      <c r="G280" s="4">
        <v>349622.85130699706</v>
      </c>
      <c r="H280" s="5">
        <f t="shared" si="2"/>
        <v>0</v>
      </c>
      <c r="I280" t="s">
        <v>60</v>
      </c>
      <c r="J280" t="s">
        <v>134</v>
      </c>
      <c r="K280" s="5">
        <f>69 / 86400</f>
        <v>7.9861111111111116E-4</v>
      </c>
      <c r="L280" s="5">
        <f>10 / 86400</f>
        <v>1.1574074074074075E-4</v>
      </c>
    </row>
    <row r="281" spans="1:12" x14ac:dyDescent="0.25">
      <c r="A281" s="3">
        <v>45709.467847222222</v>
      </c>
      <c r="B281" t="s">
        <v>284</v>
      </c>
      <c r="C281" s="3">
        <v>45709.468310185184</v>
      </c>
      <c r="D281" t="s">
        <v>284</v>
      </c>
      <c r="E281" s="4">
        <v>1.3299143612384797E-2</v>
      </c>
      <c r="F281" s="4">
        <v>349622.86202452256</v>
      </c>
      <c r="G281" s="4">
        <v>349622.87532366614</v>
      </c>
      <c r="H281" s="5">
        <f t="shared" si="2"/>
        <v>0</v>
      </c>
      <c r="I281" t="s">
        <v>60</v>
      </c>
      <c r="J281" t="s">
        <v>47</v>
      </c>
      <c r="K281" s="5">
        <f>40 / 86400</f>
        <v>4.6296296296296298E-4</v>
      </c>
      <c r="L281" s="5">
        <f>2260 / 86400</f>
        <v>2.6157407407407407E-2</v>
      </c>
    </row>
    <row r="282" spans="1:12" x14ac:dyDescent="0.25">
      <c r="A282" s="3">
        <v>45709.494467592594</v>
      </c>
      <c r="B282" t="s">
        <v>284</v>
      </c>
      <c r="C282" s="3">
        <v>45709.495254629626</v>
      </c>
      <c r="D282" t="s">
        <v>285</v>
      </c>
      <c r="E282" s="4">
        <v>0.125451025724411</v>
      </c>
      <c r="F282" s="4">
        <v>349622.90731444093</v>
      </c>
      <c r="G282" s="4">
        <v>349623.0327654666</v>
      </c>
      <c r="H282" s="5">
        <f t="shared" si="2"/>
        <v>0</v>
      </c>
      <c r="I282" t="s">
        <v>59</v>
      </c>
      <c r="J282" t="s">
        <v>88</v>
      </c>
      <c r="K282" s="5">
        <f>68 / 86400</f>
        <v>7.8703703703703705E-4</v>
      </c>
      <c r="L282" s="5">
        <f>20 / 86400</f>
        <v>2.3148148148148149E-4</v>
      </c>
    </row>
    <row r="283" spans="1:12" x14ac:dyDescent="0.25">
      <c r="A283" s="3">
        <v>45709.495486111111</v>
      </c>
      <c r="B283" t="s">
        <v>285</v>
      </c>
      <c r="C283" s="3">
        <v>45709.495949074073</v>
      </c>
      <c r="D283" t="s">
        <v>286</v>
      </c>
      <c r="E283" s="4">
        <v>2.977757453918457E-2</v>
      </c>
      <c r="F283" s="4">
        <v>349623.04035401292</v>
      </c>
      <c r="G283" s="4">
        <v>349623.07013158745</v>
      </c>
      <c r="H283" s="5">
        <f t="shared" si="2"/>
        <v>0</v>
      </c>
      <c r="I283" t="s">
        <v>121</v>
      </c>
      <c r="J283" t="s">
        <v>135</v>
      </c>
      <c r="K283" s="5">
        <f>40 / 86400</f>
        <v>4.6296296296296298E-4</v>
      </c>
      <c r="L283" s="5">
        <f>80 / 86400</f>
        <v>9.2592592592592596E-4</v>
      </c>
    </row>
    <row r="284" spans="1:12" x14ac:dyDescent="0.25">
      <c r="A284" s="3">
        <v>45709.496874999997</v>
      </c>
      <c r="B284" t="s">
        <v>287</v>
      </c>
      <c r="C284" s="3">
        <v>45709.497569444444</v>
      </c>
      <c r="D284" t="s">
        <v>287</v>
      </c>
      <c r="E284" s="4">
        <v>3.8419522106647494E-2</v>
      </c>
      <c r="F284" s="4">
        <v>349623.09578377084</v>
      </c>
      <c r="G284" s="4">
        <v>349623.13420329295</v>
      </c>
      <c r="H284" s="5">
        <f t="shared" si="2"/>
        <v>0</v>
      </c>
      <c r="I284" t="s">
        <v>47</v>
      </c>
      <c r="J284" t="s">
        <v>122</v>
      </c>
      <c r="K284" s="5">
        <f>60 / 86400</f>
        <v>6.9444444444444447E-4</v>
      </c>
      <c r="L284" s="5">
        <f>100 / 86400</f>
        <v>1.1574074074074073E-3</v>
      </c>
    </row>
    <row r="285" spans="1:12" x14ac:dyDescent="0.25">
      <c r="A285" s="3">
        <v>45709.498726851853</v>
      </c>
      <c r="B285" t="s">
        <v>288</v>
      </c>
      <c r="C285" s="3">
        <v>45709.499189814815</v>
      </c>
      <c r="D285" t="s">
        <v>288</v>
      </c>
      <c r="E285" s="4">
        <v>1.4935462057590485E-2</v>
      </c>
      <c r="F285" s="4">
        <v>349623.1569731349</v>
      </c>
      <c r="G285" s="4">
        <v>349623.17190859694</v>
      </c>
      <c r="H285" s="5">
        <f t="shared" ref="H285:H348" si="3">0 / 86400</f>
        <v>0</v>
      </c>
      <c r="I285" t="s">
        <v>135</v>
      </c>
      <c r="J285" t="s">
        <v>47</v>
      </c>
      <c r="K285" s="5">
        <f>40 / 86400</f>
        <v>4.6296296296296298E-4</v>
      </c>
      <c r="L285" s="5">
        <f>20 / 86400</f>
        <v>2.3148148148148149E-4</v>
      </c>
    </row>
    <row r="286" spans="1:12" x14ac:dyDescent="0.25">
      <c r="A286" s="3">
        <v>45709.499421296292</v>
      </c>
      <c r="B286" t="s">
        <v>289</v>
      </c>
      <c r="C286" s="3">
        <v>45709.500648148147</v>
      </c>
      <c r="D286" t="s">
        <v>290</v>
      </c>
      <c r="E286" s="4">
        <v>0.42426340454816819</v>
      </c>
      <c r="F286" s="4">
        <v>349623.189502172</v>
      </c>
      <c r="G286" s="4">
        <v>349623.61376557656</v>
      </c>
      <c r="H286" s="5">
        <f t="shared" si="3"/>
        <v>0</v>
      </c>
      <c r="I286" t="s">
        <v>66</v>
      </c>
      <c r="J286" t="s">
        <v>57</v>
      </c>
      <c r="K286" s="5">
        <f>106 / 86400</f>
        <v>1.2268518518518518E-3</v>
      </c>
      <c r="L286" s="5">
        <f>20 / 86400</f>
        <v>2.3148148148148149E-4</v>
      </c>
    </row>
    <row r="287" spans="1:12" x14ac:dyDescent="0.25">
      <c r="A287" s="3">
        <v>45709.500879629632</v>
      </c>
      <c r="B287" t="s">
        <v>291</v>
      </c>
      <c r="C287" s="3">
        <v>45709.501111111109</v>
      </c>
      <c r="D287" t="s">
        <v>290</v>
      </c>
      <c r="E287" s="4">
        <v>8.2889237999916078E-3</v>
      </c>
      <c r="F287" s="4">
        <v>349623.62958341319</v>
      </c>
      <c r="G287" s="4">
        <v>349623.63787233696</v>
      </c>
      <c r="H287" s="5">
        <f t="shared" si="3"/>
        <v>0</v>
      </c>
      <c r="I287" t="s">
        <v>135</v>
      </c>
      <c r="J287" t="s">
        <v>47</v>
      </c>
      <c r="K287" s="5">
        <f>20 / 86400</f>
        <v>2.3148148148148149E-4</v>
      </c>
      <c r="L287" s="5">
        <f>9 / 86400</f>
        <v>1.0416666666666667E-4</v>
      </c>
    </row>
    <row r="288" spans="1:12" x14ac:dyDescent="0.25">
      <c r="A288" s="3">
        <v>45709.501215277778</v>
      </c>
      <c r="B288" t="s">
        <v>290</v>
      </c>
      <c r="C288" s="3">
        <v>45709.502141203702</v>
      </c>
      <c r="D288" t="s">
        <v>292</v>
      </c>
      <c r="E288" s="4">
        <v>0.30440434885025025</v>
      </c>
      <c r="F288" s="4">
        <v>349623.64322647499</v>
      </c>
      <c r="G288" s="4">
        <v>349623.94763082382</v>
      </c>
      <c r="H288" s="5">
        <f t="shared" si="3"/>
        <v>0</v>
      </c>
      <c r="I288" t="s">
        <v>124</v>
      </c>
      <c r="J288" t="s">
        <v>57</v>
      </c>
      <c r="K288" s="5">
        <f>80 / 86400</f>
        <v>9.2592592592592596E-4</v>
      </c>
      <c r="L288" s="5">
        <f>20 / 86400</f>
        <v>2.3148148148148149E-4</v>
      </c>
    </row>
    <row r="289" spans="1:12" x14ac:dyDescent="0.25">
      <c r="A289" s="3">
        <v>45709.502372685187</v>
      </c>
      <c r="B289" t="s">
        <v>293</v>
      </c>
      <c r="C289" s="3">
        <v>45709.503761574073</v>
      </c>
      <c r="D289" t="s">
        <v>294</v>
      </c>
      <c r="E289" s="4">
        <v>0.676966616153717</v>
      </c>
      <c r="F289" s="4">
        <v>349624.01869801327</v>
      </c>
      <c r="G289" s="4">
        <v>349624.6956646294</v>
      </c>
      <c r="H289" s="5">
        <f t="shared" si="3"/>
        <v>0</v>
      </c>
      <c r="I289" t="s">
        <v>235</v>
      </c>
      <c r="J289" t="s">
        <v>33</v>
      </c>
      <c r="K289" s="5">
        <f>120 / 86400</f>
        <v>1.3888888888888889E-3</v>
      </c>
      <c r="L289" s="5">
        <f>57 / 86400</f>
        <v>6.5972222222222224E-4</v>
      </c>
    </row>
    <row r="290" spans="1:12" x14ac:dyDescent="0.25">
      <c r="A290" s="3">
        <v>45709.504421296297</v>
      </c>
      <c r="B290" t="s">
        <v>294</v>
      </c>
      <c r="C290" s="3">
        <v>45709.505636574075</v>
      </c>
      <c r="D290" t="s">
        <v>295</v>
      </c>
      <c r="E290" s="4">
        <v>0.31216372245550156</v>
      </c>
      <c r="F290" s="4">
        <v>349624.71199005703</v>
      </c>
      <c r="G290" s="4">
        <v>349625.02415377949</v>
      </c>
      <c r="H290" s="5">
        <f t="shared" si="3"/>
        <v>0</v>
      </c>
      <c r="I290" t="s">
        <v>191</v>
      </c>
      <c r="J290" t="s">
        <v>128</v>
      </c>
      <c r="K290" s="5">
        <f>105 / 86400</f>
        <v>1.2152777777777778E-3</v>
      </c>
      <c r="L290" s="5">
        <f>77 / 86400</f>
        <v>8.9120370370370373E-4</v>
      </c>
    </row>
    <row r="291" spans="1:12" x14ac:dyDescent="0.25">
      <c r="A291" s="3">
        <v>45709.506527777776</v>
      </c>
      <c r="B291" t="s">
        <v>296</v>
      </c>
      <c r="C291" s="3">
        <v>45709.507222222222</v>
      </c>
      <c r="D291" t="s">
        <v>297</v>
      </c>
      <c r="E291" s="4">
        <v>0.12877513927221299</v>
      </c>
      <c r="F291" s="4">
        <v>349625.07003030682</v>
      </c>
      <c r="G291" s="4">
        <v>349625.1988054461</v>
      </c>
      <c r="H291" s="5">
        <f t="shared" si="3"/>
        <v>0</v>
      </c>
      <c r="I291" t="s">
        <v>205</v>
      </c>
      <c r="J291" t="s">
        <v>59</v>
      </c>
      <c r="K291" s="5">
        <f>60 / 86400</f>
        <v>6.9444444444444447E-4</v>
      </c>
      <c r="L291" s="5">
        <f>102 / 86400</f>
        <v>1.1805555555555556E-3</v>
      </c>
    </row>
    <row r="292" spans="1:12" x14ac:dyDescent="0.25">
      <c r="A292" s="3">
        <v>45709.508402777778</v>
      </c>
      <c r="B292" t="s">
        <v>298</v>
      </c>
      <c r="C292" s="3">
        <v>45709.50886574074</v>
      </c>
      <c r="D292" t="s">
        <v>299</v>
      </c>
      <c r="E292" s="4">
        <v>0.10221258485317231</v>
      </c>
      <c r="F292" s="4">
        <v>349625.29183282447</v>
      </c>
      <c r="G292" s="4">
        <v>349625.39404540934</v>
      </c>
      <c r="H292" s="5">
        <f t="shared" si="3"/>
        <v>0</v>
      </c>
      <c r="I292" t="s">
        <v>125</v>
      </c>
      <c r="J292" t="s">
        <v>125</v>
      </c>
      <c r="K292" s="5">
        <f>40 / 86400</f>
        <v>4.6296296296296298E-4</v>
      </c>
      <c r="L292" s="5">
        <f>5 / 86400</f>
        <v>5.7870370370370373E-5</v>
      </c>
    </row>
    <row r="293" spans="1:12" x14ac:dyDescent="0.25">
      <c r="A293" s="3">
        <v>45709.508923611109</v>
      </c>
      <c r="B293" t="s">
        <v>299</v>
      </c>
      <c r="C293" s="3">
        <v>45709.509398148148</v>
      </c>
      <c r="D293" t="s">
        <v>273</v>
      </c>
      <c r="E293" s="4">
        <v>0.13161565065383912</v>
      </c>
      <c r="F293" s="4">
        <v>349625.40276642994</v>
      </c>
      <c r="G293" s="4">
        <v>349625.5343820806</v>
      </c>
      <c r="H293" s="5">
        <f t="shared" si="3"/>
        <v>0</v>
      </c>
      <c r="I293" t="s">
        <v>125</v>
      </c>
      <c r="J293" t="s">
        <v>55</v>
      </c>
      <c r="K293" s="5">
        <f>41 / 86400</f>
        <v>4.7453703703703704E-4</v>
      </c>
      <c r="L293" s="5">
        <f>91 / 86400</f>
        <v>1.0532407407407407E-3</v>
      </c>
    </row>
    <row r="294" spans="1:12" x14ac:dyDescent="0.25">
      <c r="A294" s="3">
        <v>45709.510451388887</v>
      </c>
      <c r="B294" t="s">
        <v>273</v>
      </c>
      <c r="C294" s="3">
        <v>45709.511018518519</v>
      </c>
      <c r="D294" t="s">
        <v>300</v>
      </c>
      <c r="E294" s="4">
        <v>0.19505190229415895</v>
      </c>
      <c r="F294" s="4">
        <v>349625.57137197489</v>
      </c>
      <c r="G294" s="4">
        <v>349625.76642387715</v>
      </c>
      <c r="H294" s="5">
        <f t="shared" si="3"/>
        <v>0</v>
      </c>
      <c r="I294" t="s">
        <v>171</v>
      </c>
      <c r="J294" t="s">
        <v>57</v>
      </c>
      <c r="K294" s="5">
        <f>49 / 86400</f>
        <v>5.6712962962962967E-4</v>
      </c>
      <c r="L294" s="5">
        <f>20 / 86400</f>
        <v>2.3148148148148149E-4</v>
      </c>
    </row>
    <row r="295" spans="1:12" x14ac:dyDescent="0.25">
      <c r="A295" s="3">
        <v>45709.511249999996</v>
      </c>
      <c r="B295" t="s">
        <v>301</v>
      </c>
      <c r="C295" s="3">
        <v>45709.511481481481</v>
      </c>
      <c r="D295" t="s">
        <v>301</v>
      </c>
      <c r="E295" s="4">
        <v>1.8204038441181184E-2</v>
      </c>
      <c r="F295" s="4">
        <v>349625.77818567911</v>
      </c>
      <c r="G295" s="4">
        <v>349625.79638971755</v>
      </c>
      <c r="H295" s="5">
        <f t="shared" si="3"/>
        <v>0</v>
      </c>
      <c r="I295" t="s">
        <v>135</v>
      </c>
      <c r="J295" t="s">
        <v>135</v>
      </c>
      <c r="K295" s="5">
        <f>20 / 86400</f>
        <v>2.3148148148148149E-4</v>
      </c>
      <c r="L295" s="5">
        <f>7 / 86400</f>
        <v>8.1018518518518516E-5</v>
      </c>
    </row>
    <row r="296" spans="1:12" x14ac:dyDescent="0.25">
      <c r="A296" s="3">
        <v>45709.511562500003</v>
      </c>
      <c r="B296" t="s">
        <v>302</v>
      </c>
      <c r="C296" s="3">
        <v>45709.511793981481</v>
      </c>
      <c r="D296" t="s">
        <v>273</v>
      </c>
      <c r="E296" s="4">
        <v>2.9509473443031311E-2</v>
      </c>
      <c r="F296" s="4">
        <v>349625.81225379999</v>
      </c>
      <c r="G296" s="4">
        <v>349625.84176327341</v>
      </c>
      <c r="H296" s="5">
        <f t="shared" si="3"/>
        <v>0</v>
      </c>
      <c r="I296" t="s">
        <v>57</v>
      </c>
      <c r="J296" t="s">
        <v>121</v>
      </c>
      <c r="K296" s="5">
        <f>20 / 86400</f>
        <v>2.3148148148148149E-4</v>
      </c>
      <c r="L296" s="5">
        <f>60 / 86400</f>
        <v>6.9444444444444447E-4</v>
      </c>
    </row>
    <row r="297" spans="1:12" x14ac:dyDescent="0.25">
      <c r="A297" s="3">
        <v>45709.512488425928</v>
      </c>
      <c r="B297" t="s">
        <v>273</v>
      </c>
      <c r="C297" s="3">
        <v>45709.512719907405</v>
      </c>
      <c r="D297" t="s">
        <v>273</v>
      </c>
      <c r="E297" s="4">
        <v>4.728472411632538E-3</v>
      </c>
      <c r="F297" s="4">
        <v>349625.89106115472</v>
      </c>
      <c r="G297" s="4">
        <v>349625.89578962716</v>
      </c>
      <c r="H297" s="5">
        <f t="shared" si="3"/>
        <v>0</v>
      </c>
      <c r="I297" t="s">
        <v>30</v>
      </c>
      <c r="J297" t="s">
        <v>47</v>
      </c>
      <c r="K297" s="5">
        <f>20 / 86400</f>
        <v>2.3148148148148149E-4</v>
      </c>
      <c r="L297" s="5">
        <f>80 / 86400</f>
        <v>9.2592592592592596E-4</v>
      </c>
    </row>
    <row r="298" spans="1:12" x14ac:dyDescent="0.25">
      <c r="A298" s="3">
        <v>45709.513645833329</v>
      </c>
      <c r="B298" t="s">
        <v>273</v>
      </c>
      <c r="C298" s="3">
        <v>45709.514189814814</v>
      </c>
      <c r="D298" t="s">
        <v>303</v>
      </c>
      <c r="E298" s="4">
        <v>8.2494579434394838E-2</v>
      </c>
      <c r="F298" s="4">
        <v>349625.9225350662</v>
      </c>
      <c r="G298" s="4">
        <v>349626.00502964563</v>
      </c>
      <c r="H298" s="5">
        <f t="shared" si="3"/>
        <v>0</v>
      </c>
      <c r="I298" t="s">
        <v>55</v>
      </c>
      <c r="J298" t="s">
        <v>134</v>
      </c>
      <c r="K298" s="5">
        <f>47 / 86400</f>
        <v>5.4398148148148144E-4</v>
      </c>
      <c r="L298" s="5">
        <f>40 / 86400</f>
        <v>4.6296296296296298E-4</v>
      </c>
    </row>
    <row r="299" spans="1:12" x14ac:dyDescent="0.25">
      <c r="A299" s="3">
        <v>45709.514652777776</v>
      </c>
      <c r="B299" t="s">
        <v>303</v>
      </c>
      <c r="C299" s="3">
        <v>45709.514884259261</v>
      </c>
      <c r="D299" t="s">
        <v>273</v>
      </c>
      <c r="E299" s="4">
        <v>5.1650514185428618E-2</v>
      </c>
      <c r="F299" s="4">
        <v>349626.02053537616</v>
      </c>
      <c r="G299" s="4">
        <v>349626.07218589034</v>
      </c>
      <c r="H299" s="5">
        <f t="shared" si="3"/>
        <v>0</v>
      </c>
      <c r="I299" t="s">
        <v>26</v>
      </c>
      <c r="J299" t="s">
        <v>125</v>
      </c>
      <c r="K299" s="5">
        <f>20 / 86400</f>
        <v>2.3148148148148149E-4</v>
      </c>
      <c r="L299" s="5">
        <f>20 / 86400</f>
        <v>2.3148148148148149E-4</v>
      </c>
    </row>
    <row r="300" spans="1:12" x14ac:dyDescent="0.25">
      <c r="A300" s="3">
        <v>45709.515115740738</v>
      </c>
      <c r="B300" t="s">
        <v>304</v>
      </c>
      <c r="C300" s="3">
        <v>45709.515347222223</v>
      </c>
      <c r="D300" t="s">
        <v>273</v>
      </c>
      <c r="E300" s="4">
        <v>1.9500453948974608E-2</v>
      </c>
      <c r="F300" s="4">
        <v>349626.09375652275</v>
      </c>
      <c r="G300" s="4">
        <v>349626.11325697671</v>
      </c>
      <c r="H300" s="5">
        <f t="shared" si="3"/>
        <v>0</v>
      </c>
      <c r="I300" t="s">
        <v>59</v>
      </c>
      <c r="J300" t="s">
        <v>30</v>
      </c>
      <c r="K300" s="5">
        <f>20 / 86400</f>
        <v>2.3148148148148149E-4</v>
      </c>
      <c r="L300" s="5">
        <f>20 / 86400</f>
        <v>2.3148148148148149E-4</v>
      </c>
    </row>
    <row r="301" spans="1:12" x14ac:dyDescent="0.25">
      <c r="A301" s="3">
        <v>45709.515578703707</v>
      </c>
      <c r="B301" t="s">
        <v>273</v>
      </c>
      <c r="C301" s="3">
        <v>45709.515810185185</v>
      </c>
      <c r="D301" t="s">
        <v>273</v>
      </c>
      <c r="E301" s="4">
        <v>2.2466877698898314E-3</v>
      </c>
      <c r="F301" s="4">
        <v>349626.11474952317</v>
      </c>
      <c r="G301" s="4">
        <v>349626.11699621094</v>
      </c>
      <c r="H301" s="5">
        <f t="shared" si="3"/>
        <v>0</v>
      </c>
      <c r="I301" t="s">
        <v>47</v>
      </c>
      <c r="J301" t="s">
        <v>48</v>
      </c>
      <c r="K301" s="5">
        <f>20 / 86400</f>
        <v>2.3148148148148149E-4</v>
      </c>
      <c r="L301" s="5">
        <f>17 / 86400</f>
        <v>1.9675925925925926E-4</v>
      </c>
    </row>
    <row r="302" spans="1:12" x14ac:dyDescent="0.25">
      <c r="A302" s="3">
        <v>45709.516006944439</v>
      </c>
      <c r="B302" t="s">
        <v>273</v>
      </c>
      <c r="C302" s="3">
        <v>45709.516516203701</v>
      </c>
      <c r="D302" t="s">
        <v>305</v>
      </c>
      <c r="E302" s="4">
        <v>8.2899830579757694E-2</v>
      </c>
      <c r="F302" s="4">
        <v>349626.11878967873</v>
      </c>
      <c r="G302" s="4">
        <v>349626.20168950933</v>
      </c>
      <c r="H302" s="5">
        <f t="shared" si="3"/>
        <v>0</v>
      </c>
      <c r="I302" t="s">
        <v>60</v>
      </c>
      <c r="J302" t="s">
        <v>88</v>
      </c>
      <c r="K302" s="5">
        <f>44 / 86400</f>
        <v>5.0925925925925921E-4</v>
      </c>
      <c r="L302" s="5">
        <f>20 / 86400</f>
        <v>2.3148148148148149E-4</v>
      </c>
    </row>
    <row r="303" spans="1:12" x14ac:dyDescent="0.25">
      <c r="A303" s="3">
        <v>45709.516747685186</v>
      </c>
      <c r="B303" t="s">
        <v>306</v>
      </c>
      <c r="C303" s="3">
        <v>45709.51697916667</v>
      </c>
      <c r="D303" t="s">
        <v>306</v>
      </c>
      <c r="E303" s="4">
        <v>4.0230994224548337E-3</v>
      </c>
      <c r="F303" s="4">
        <v>349626.20596560993</v>
      </c>
      <c r="G303" s="4">
        <v>349626.20998870931</v>
      </c>
      <c r="H303" s="5">
        <f t="shared" si="3"/>
        <v>0</v>
      </c>
      <c r="I303" t="s">
        <v>47</v>
      </c>
      <c r="J303" t="s">
        <v>47</v>
      </c>
      <c r="K303" s="5">
        <f>20 / 86400</f>
        <v>2.3148148148148149E-4</v>
      </c>
      <c r="L303" s="5">
        <f>20 / 86400</f>
        <v>2.3148148148148149E-4</v>
      </c>
    </row>
    <row r="304" spans="1:12" x14ac:dyDescent="0.25">
      <c r="A304" s="3">
        <v>45709.517210648148</v>
      </c>
      <c r="B304" t="s">
        <v>306</v>
      </c>
      <c r="C304" s="3">
        <v>45709.520277777774</v>
      </c>
      <c r="D304" t="s">
        <v>307</v>
      </c>
      <c r="E304" s="4">
        <v>1.4785581313371658</v>
      </c>
      <c r="F304" s="4">
        <v>349626.21482260432</v>
      </c>
      <c r="G304" s="4">
        <v>349627.69338073564</v>
      </c>
      <c r="H304" s="5">
        <f t="shared" si="3"/>
        <v>0</v>
      </c>
      <c r="I304" t="s">
        <v>183</v>
      </c>
      <c r="J304" t="s">
        <v>33</v>
      </c>
      <c r="K304" s="5">
        <f>265 / 86400</f>
        <v>3.0671296296296297E-3</v>
      </c>
      <c r="L304" s="5">
        <f>40 / 86400</f>
        <v>4.6296296296296298E-4</v>
      </c>
    </row>
    <row r="305" spans="1:12" x14ac:dyDescent="0.25">
      <c r="A305" s="3">
        <v>45709.520740740743</v>
      </c>
      <c r="B305" t="s">
        <v>307</v>
      </c>
      <c r="C305" s="3">
        <v>45709.522592592592</v>
      </c>
      <c r="D305" t="s">
        <v>308</v>
      </c>
      <c r="E305" s="4">
        <v>0.82456739938259127</v>
      </c>
      <c r="F305" s="4">
        <v>349627.71066069003</v>
      </c>
      <c r="G305" s="4">
        <v>349628.53522808937</v>
      </c>
      <c r="H305" s="5">
        <f t="shared" si="3"/>
        <v>0</v>
      </c>
      <c r="I305" t="s">
        <v>233</v>
      </c>
      <c r="J305" t="s">
        <v>77</v>
      </c>
      <c r="K305" s="5">
        <f>160 / 86400</f>
        <v>1.8518518518518519E-3</v>
      </c>
      <c r="L305" s="5">
        <f>40 / 86400</f>
        <v>4.6296296296296298E-4</v>
      </c>
    </row>
    <row r="306" spans="1:12" x14ac:dyDescent="0.25">
      <c r="A306" s="3">
        <v>45709.523055555561</v>
      </c>
      <c r="B306" t="s">
        <v>309</v>
      </c>
      <c r="C306" s="3">
        <v>45709.523518518516</v>
      </c>
      <c r="D306" t="s">
        <v>310</v>
      </c>
      <c r="E306" s="4">
        <v>0.33843060612678527</v>
      </c>
      <c r="F306" s="4">
        <v>349628.64792826411</v>
      </c>
      <c r="G306" s="4">
        <v>349628.98635887023</v>
      </c>
      <c r="H306" s="5">
        <f t="shared" si="3"/>
        <v>0</v>
      </c>
      <c r="I306" t="s">
        <v>76</v>
      </c>
      <c r="J306" t="s">
        <v>205</v>
      </c>
      <c r="K306" s="5">
        <f>40 / 86400</f>
        <v>4.6296296296296298E-4</v>
      </c>
      <c r="L306" s="5">
        <f>114 / 86400</f>
        <v>1.3194444444444445E-3</v>
      </c>
    </row>
    <row r="307" spans="1:12" x14ac:dyDescent="0.25">
      <c r="A307" s="3">
        <v>45709.524837962963</v>
      </c>
      <c r="B307" t="s">
        <v>310</v>
      </c>
      <c r="C307" s="3">
        <v>45709.525300925925</v>
      </c>
      <c r="D307" t="s">
        <v>311</v>
      </c>
      <c r="E307" s="4">
        <v>0.18909340512752532</v>
      </c>
      <c r="F307" s="4">
        <v>349629.0312935714</v>
      </c>
      <c r="G307" s="4">
        <v>349629.22038697655</v>
      </c>
      <c r="H307" s="5">
        <f t="shared" si="3"/>
        <v>0</v>
      </c>
      <c r="I307" t="s">
        <v>57</v>
      </c>
      <c r="J307" t="s">
        <v>52</v>
      </c>
      <c r="K307" s="5">
        <f>40 / 86400</f>
        <v>4.6296296296296298E-4</v>
      </c>
      <c r="L307" s="5">
        <f>20 / 86400</f>
        <v>2.3148148148148149E-4</v>
      </c>
    </row>
    <row r="308" spans="1:12" x14ac:dyDescent="0.25">
      <c r="A308" s="3">
        <v>45709.52553240741</v>
      </c>
      <c r="B308" t="s">
        <v>312</v>
      </c>
      <c r="C308" s="3">
        <v>45709.525995370372</v>
      </c>
      <c r="D308" t="s">
        <v>311</v>
      </c>
      <c r="E308" s="4">
        <v>4.145128518342972E-2</v>
      </c>
      <c r="F308" s="4">
        <v>349629.22403214494</v>
      </c>
      <c r="G308" s="4">
        <v>349629.26548343012</v>
      </c>
      <c r="H308" s="5">
        <f t="shared" si="3"/>
        <v>0</v>
      </c>
      <c r="I308" t="s">
        <v>88</v>
      </c>
      <c r="J308" t="s">
        <v>30</v>
      </c>
      <c r="K308" s="5">
        <f>40 / 86400</f>
        <v>4.6296296296296298E-4</v>
      </c>
      <c r="L308" s="5">
        <f>40 / 86400</f>
        <v>4.6296296296296298E-4</v>
      </c>
    </row>
    <row r="309" spans="1:12" x14ac:dyDescent="0.25">
      <c r="A309" s="3">
        <v>45709.526458333334</v>
      </c>
      <c r="B309" t="s">
        <v>311</v>
      </c>
      <c r="C309" s="3">
        <v>45709.526921296296</v>
      </c>
      <c r="D309" t="s">
        <v>311</v>
      </c>
      <c r="E309" s="4">
        <v>2.5216969847679137E-2</v>
      </c>
      <c r="F309" s="4">
        <v>349629.29972578096</v>
      </c>
      <c r="G309" s="4">
        <v>349629.3249427508</v>
      </c>
      <c r="H309" s="5">
        <f t="shared" si="3"/>
        <v>0</v>
      </c>
      <c r="I309" t="s">
        <v>135</v>
      </c>
      <c r="J309" t="s">
        <v>122</v>
      </c>
      <c r="K309" s="5">
        <f>40 / 86400</f>
        <v>4.6296296296296298E-4</v>
      </c>
      <c r="L309" s="5">
        <f>20 / 86400</f>
        <v>2.3148148148148149E-4</v>
      </c>
    </row>
    <row r="310" spans="1:12" x14ac:dyDescent="0.25">
      <c r="A310" s="3">
        <v>45709.52715277778</v>
      </c>
      <c r="B310" t="s">
        <v>311</v>
      </c>
      <c r="C310" s="3">
        <v>45709.527384259258</v>
      </c>
      <c r="D310" t="s">
        <v>311</v>
      </c>
      <c r="E310" s="4">
        <v>6.823127031326294E-3</v>
      </c>
      <c r="F310" s="4">
        <v>349629.32833501627</v>
      </c>
      <c r="G310" s="4">
        <v>349629.33515814331</v>
      </c>
      <c r="H310" s="5">
        <f t="shared" si="3"/>
        <v>0</v>
      </c>
      <c r="I310" t="s">
        <v>122</v>
      </c>
      <c r="J310" t="s">
        <v>47</v>
      </c>
      <c r="K310" s="5">
        <f>20 / 86400</f>
        <v>2.3148148148148149E-4</v>
      </c>
      <c r="L310" s="5">
        <f>80 / 86400</f>
        <v>9.2592592592592596E-4</v>
      </c>
    </row>
    <row r="311" spans="1:12" x14ac:dyDescent="0.25">
      <c r="A311" s="3">
        <v>45709.528310185182</v>
      </c>
      <c r="B311" t="s">
        <v>311</v>
      </c>
      <c r="C311" s="3">
        <v>45709.530347222222</v>
      </c>
      <c r="D311" t="s">
        <v>313</v>
      </c>
      <c r="E311" s="4">
        <v>0.58781979006528851</v>
      </c>
      <c r="F311" s="4">
        <v>349629.35204161692</v>
      </c>
      <c r="G311" s="4">
        <v>349629.93986140698</v>
      </c>
      <c r="H311" s="5">
        <f t="shared" si="3"/>
        <v>0</v>
      </c>
      <c r="I311" t="s">
        <v>171</v>
      </c>
      <c r="J311" t="s">
        <v>55</v>
      </c>
      <c r="K311" s="5">
        <f>176 / 86400</f>
        <v>2.0370370370370369E-3</v>
      </c>
      <c r="L311" s="5">
        <f>20 / 86400</f>
        <v>2.3148148148148149E-4</v>
      </c>
    </row>
    <row r="312" spans="1:12" x14ac:dyDescent="0.25">
      <c r="A312" s="3">
        <v>45709.530578703707</v>
      </c>
      <c r="B312" t="s">
        <v>313</v>
      </c>
      <c r="C312" s="3">
        <v>45709.531041666662</v>
      </c>
      <c r="D312" t="s">
        <v>314</v>
      </c>
      <c r="E312" s="4">
        <v>3.1855734288692476E-2</v>
      </c>
      <c r="F312" s="4">
        <v>349629.94633391569</v>
      </c>
      <c r="G312" s="4">
        <v>349629.97818964999</v>
      </c>
      <c r="H312" s="5">
        <f t="shared" si="3"/>
        <v>0</v>
      </c>
      <c r="I312" t="s">
        <v>88</v>
      </c>
      <c r="J312" t="s">
        <v>135</v>
      </c>
      <c r="K312" s="5">
        <f>40 / 86400</f>
        <v>4.6296296296296298E-4</v>
      </c>
      <c r="L312" s="5">
        <f>24 / 86400</f>
        <v>2.7777777777777778E-4</v>
      </c>
    </row>
    <row r="313" spans="1:12" x14ac:dyDescent="0.25">
      <c r="A313" s="3">
        <v>45709.531319444446</v>
      </c>
      <c r="B313" t="s">
        <v>314</v>
      </c>
      <c r="C313" s="3">
        <v>45709.532812500001</v>
      </c>
      <c r="D313" t="s">
        <v>315</v>
      </c>
      <c r="E313" s="4">
        <v>0.28286406707763673</v>
      </c>
      <c r="F313" s="4">
        <v>349629.98838221614</v>
      </c>
      <c r="G313" s="4">
        <v>349630.27124628326</v>
      </c>
      <c r="H313" s="5">
        <f t="shared" si="3"/>
        <v>0</v>
      </c>
      <c r="I313" t="s">
        <v>77</v>
      </c>
      <c r="J313" t="s">
        <v>59</v>
      </c>
      <c r="K313" s="5">
        <f>129 / 86400</f>
        <v>1.4930555555555556E-3</v>
      </c>
      <c r="L313" s="5">
        <f>20 / 86400</f>
        <v>2.3148148148148149E-4</v>
      </c>
    </row>
    <row r="314" spans="1:12" x14ac:dyDescent="0.25">
      <c r="A314" s="3">
        <v>45709.533043981486</v>
      </c>
      <c r="B314" t="s">
        <v>316</v>
      </c>
      <c r="C314" s="3">
        <v>45709.533275462964</v>
      </c>
      <c r="D314" t="s">
        <v>316</v>
      </c>
      <c r="E314" s="4">
        <v>5.4607570767402653E-3</v>
      </c>
      <c r="F314" s="4">
        <v>349630.31731221435</v>
      </c>
      <c r="G314" s="4">
        <v>349630.32277297147</v>
      </c>
      <c r="H314" s="5">
        <f t="shared" si="3"/>
        <v>0</v>
      </c>
      <c r="I314" t="s">
        <v>125</v>
      </c>
      <c r="J314" t="s">
        <v>47</v>
      </c>
      <c r="K314" s="5">
        <f>20 / 86400</f>
        <v>2.3148148148148149E-4</v>
      </c>
      <c r="L314" s="5">
        <f>11 / 86400</f>
        <v>1.273148148148148E-4</v>
      </c>
    </row>
    <row r="315" spans="1:12" x14ac:dyDescent="0.25">
      <c r="A315" s="3">
        <v>45709.533402777779</v>
      </c>
      <c r="B315" t="s">
        <v>263</v>
      </c>
      <c r="C315" s="3">
        <v>45709.537002314813</v>
      </c>
      <c r="D315" t="s">
        <v>317</v>
      </c>
      <c r="E315" s="4">
        <v>1.3513764855265618</v>
      </c>
      <c r="F315" s="4">
        <v>349630.35427379585</v>
      </c>
      <c r="G315" s="4">
        <v>349631.70565028139</v>
      </c>
      <c r="H315" s="5">
        <f t="shared" si="3"/>
        <v>0</v>
      </c>
      <c r="I315" t="s">
        <v>171</v>
      </c>
      <c r="J315" t="s">
        <v>28</v>
      </c>
      <c r="K315" s="5">
        <f>311 / 86400</f>
        <v>3.5995370370370369E-3</v>
      </c>
      <c r="L315" s="5">
        <f>60 / 86400</f>
        <v>6.9444444444444447E-4</v>
      </c>
    </row>
    <row r="316" spans="1:12" x14ac:dyDescent="0.25">
      <c r="A316" s="3">
        <v>45709.53769675926</v>
      </c>
      <c r="B316" t="s">
        <v>317</v>
      </c>
      <c r="C316" s="3">
        <v>45709.537928240738</v>
      </c>
      <c r="D316" t="s">
        <v>317</v>
      </c>
      <c r="E316" s="4">
        <v>1.5677125930786132E-2</v>
      </c>
      <c r="F316" s="4">
        <v>349631.73532667453</v>
      </c>
      <c r="G316" s="4">
        <v>349631.75100380043</v>
      </c>
      <c r="H316" s="5">
        <f t="shared" si="3"/>
        <v>0</v>
      </c>
      <c r="I316" t="s">
        <v>60</v>
      </c>
      <c r="J316" t="s">
        <v>135</v>
      </c>
      <c r="K316" s="5">
        <f>20 / 86400</f>
        <v>2.3148148148148149E-4</v>
      </c>
      <c r="L316" s="5">
        <f>60 / 86400</f>
        <v>6.9444444444444447E-4</v>
      </c>
    </row>
    <row r="317" spans="1:12" x14ac:dyDescent="0.25">
      <c r="A317" s="3">
        <v>45709.538622685184</v>
      </c>
      <c r="B317" t="s">
        <v>317</v>
      </c>
      <c r="C317" s="3">
        <v>45709.538854166662</v>
      </c>
      <c r="D317" t="s">
        <v>317</v>
      </c>
      <c r="E317" s="4">
        <v>4.1919237375259401E-4</v>
      </c>
      <c r="F317" s="4">
        <v>349631.75716620759</v>
      </c>
      <c r="G317" s="4">
        <v>349631.75758539996</v>
      </c>
      <c r="H317" s="5">
        <f t="shared" si="3"/>
        <v>0</v>
      </c>
      <c r="I317" t="s">
        <v>47</v>
      </c>
      <c r="J317" t="s">
        <v>48</v>
      </c>
      <c r="K317" s="5">
        <f>20 / 86400</f>
        <v>2.3148148148148149E-4</v>
      </c>
      <c r="L317" s="5">
        <f>20 / 86400</f>
        <v>2.3148148148148149E-4</v>
      </c>
    </row>
    <row r="318" spans="1:12" x14ac:dyDescent="0.25">
      <c r="A318" s="3">
        <v>45709.539085648154</v>
      </c>
      <c r="B318" t="s">
        <v>317</v>
      </c>
      <c r="C318" s="3">
        <v>45709.539942129632</v>
      </c>
      <c r="D318" t="s">
        <v>318</v>
      </c>
      <c r="E318" s="4">
        <v>0.71796968656778337</v>
      </c>
      <c r="F318" s="4">
        <v>349631.81751145958</v>
      </c>
      <c r="G318" s="4">
        <v>349632.53548114613</v>
      </c>
      <c r="H318" s="5">
        <f t="shared" si="3"/>
        <v>0</v>
      </c>
      <c r="I318" t="s">
        <v>234</v>
      </c>
      <c r="J318" t="s">
        <v>201</v>
      </c>
      <c r="K318" s="5">
        <f>74 / 86400</f>
        <v>8.564814814814815E-4</v>
      </c>
      <c r="L318" s="5">
        <f>20 / 86400</f>
        <v>2.3148148148148149E-4</v>
      </c>
    </row>
    <row r="319" spans="1:12" x14ac:dyDescent="0.25">
      <c r="A319" s="3">
        <v>45709.540173611109</v>
      </c>
      <c r="B319" t="s">
        <v>318</v>
      </c>
      <c r="C319" s="3">
        <v>45709.540636574078</v>
      </c>
      <c r="D319" t="s">
        <v>319</v>
      </c>
      <c r="E319" s="4">
        <v>5.6131639838218686E-2</v>
      </c>
      <c r="F319" s="4">
        <v>349632.55160854408</v>
      </c>
      <c r="G319" s="4">
        <v>349632.60774018388</v>
      </c>
      <c r="H319" s="5">
        <f t="shared" si="3"/>
        <v>0</v>
      </c>
      <c r="I319" t="s">
        <v>134</v>
      </c>
      <c r="J319" t="s">
        <v>121</v>
      </c>
      <c r="K319" s="5">
        <f>40 / 86400</f>
        <v>4.6296296296296298E-4</v>
      </c>
      <c r="L319" s="5">
        <f>80 / 86400</f>
        <v>9.2592592592592596E-4</v>
      </c>
    </row>
    <row r="320" spans="1:12" x14ac:dyDescent="0.25">
      <c r="A320" s="3">
        <v>45709.541562500002</v>
      </c>
      <c r="B320" t="s">
        <v>320</v>
      </c>
      <c r="C320" s="3">
        <v>45709.542025462964</v>
      </c>
      <c r="D320" t="s">
        <v>321</v>
      </c>
      <c r="E320" s="4">
        <v>2.8141834974288939E-2</v>
      </c>
      <c r="F320" s="4">
        <v>349632.67037667829</v>
      </c>
      <c r="G320" s="4">
        <v>349632.69851851324</v>
      </c>
      <c r="H320" s="5">
        <f t="shared" si="3"/>
        <v>0</v>
      </c>
      <c r="I320" t="s">
        <v>59</v>
      </c>
      <c r="J320" t="s">
        <v>135</v>
      </c>
      <c r="K320" s="5">
        <f>40 / 86400</f>
        <v>4.6296296296296298E-4</v>
      </c>
      <c r="L320" s="5">
        <f>40 / 86400</f>
        <v>4.6296296296296298E-4</v>
      </c>
    </row>
    <row r="321" spans="1:12" x14ac:dyDescent="0.25">
      <c r="A321" s="3">
        <v>45709.542488425926</v>
      </c>
      <c r="B321" t="s">
        <v>321</v>
      </c>
      <c r="C321" s="3">
        <v>45709.542719907404</v>
      </c>
      <c r="D321" t="s">
        <v>321</v>
      </c>
      <c r="E321" s="4">
        <v>4.0535287261009214E-3</v>
      </c>
      <c r="F321" s="4">
        <v>349632.73491926823</v>
      </c>
      <c r="G321" s="4">
        <v>349632.738972797</v>
      </c>
      <c r="H321" s="5">
        <f t="shared" si="3"/>
        <v>0</v>
      </c>
      <c r="I321" t="s">
        <v>135</v>
      </c>
      <c r="J321" t="s">
        <v>47</v>
      </c>
      <c r="K321" s="5">
        <f>20 / 86400</f>
        <v>2.3148148148148149E-4</v>
      </c>
      <c r="L321" s="5">
        <f>26 / 86400</f>
        <v>3.0092592592592595E-4</v>
      </c>
    </row>
    <row r="322" spans="1:12" x14ac:dyDescent="0.25">
      <c r="A322" s="3">
        <v>45709.543020833335</v>
      </c>
      <c r="B322" t="s">
        <v>321</v>
      </c>
      <c r="C322" s="3">
        <v>45709.543946759259</v>
      </c>
      <c r="D322" t="s">
        <v>322</v>
      </c>
      <c r="E322" s="4">
        <v>9.7687346279621126E-2</v>
      </c>
      <c r="F322" s="4">
        <v>349632.7478855502</v>
      </c>
      <c r="G322" s="4">
        <v>349632.84557289648</v>
      </c>
      <c r="H322" s="5">
        <f t="shared" si="3"/>
        <v>0</v>
      </c>
      <c r="I322" t="s">
        <v>88</v>
      </c>
      <c r="J322" t="s">
        <v>30</v>
      </c>
      <c r="K322" s="5">
        <f>80 / 86400</f>
        <v>9.2592592592592596E-4</v>
      </c>
      <c r="L322" s="5">
        <f>30 / 86400</f>
        <v>3.4722222222222224E-4</v>
      </c>
    </row>
    <row r="323" spans="1:12" x14ac:dyDescent="0.25">
      <c r="A323" s="3">
        <v>45709.544293981482</v>
      </c>
      <c r="B323" t="s">
        <v>323</v>
      </c>
      <c r="C323" s="3">
        <v>45709.544525462959</v>
      </c>
      <c r="D323" t="s">
        <v>323</v>
      </c>
      <c r="E323" s="4">
        <v>3.868350803852081E-2</v>
      </c>
      <c r="F323" s="4">
        <v>349632.8877062028</v>
      </c>
      <c r="G323" s="4">
        <v>349632.92638971086</v>
      </c>
      <c r="H323" s="5">
        <f t="shared" si="3"/>
        <v>0</v>
      </c>
      <c r="I323" t="s">
        <v>121</v>
      </c>
      <c r="J323" t="s">
        <v>88</v>
      </c>
      <c r="K323" s="5">
        <f>20 / 86400</f>
        <v>2.3148148148148149E-4</v>
      </c>
      <c r="L323" s="5">
        <f>20 / 86400</f>
        <v>2.3148148148148149E-4</v>
      </c>
    </row>
    <row r="324" spans="1:12" x14ac:dyDescent="0.25">
      <c r="A324" s="3">
        <v>45709.544756944444</v>
      </c>
      <c r="B324" t="s">
        <v>323</v>
      </c>
      <c r="C324" s="3">
        <v>45709.545451388884</v>
      </c>
      <c r="D324" t="s">
        <v>324</v>
      </c>
      <c r="E324" s="4">
        <v>0.58973975652456279</v>
      </c>
      <c r="F324" s="4">
        <v>349632.9434132874</v>
      </c>
      <c r="G324" s="4">
        <v>349633.53315304394</v>
      </c>
      <c r="H324" s="5">
        <f t="shared" si="3"/>
        <v>0</v>
      </c>
      <c r="I324" t="s">
        <v>147</v>
      </c>
      <c r="J324" t="s">
        <v>201</v>
      </c>
      <c r="K324" s="5">
        <f>60 / 86400</f>
        <v>6.9444444444444447E-4</v>
      </c>
      <c r="L324" s="5">
        <f>1 / 86400</f>
        <v>1.1574074074074073E-5</v>
      </c>
    </row>
    <row r="325" spans="1:12" x14ac:dyDescent="0.25">
      <c r="A325" s="3">
        <v>45709.545462962968</v>
      </c>
      <c r="B325" t="s">
        <v>324</v>
      </c>
      <c r="C325" s="3">
        <v>45709.545925925922</v>
      </c>
      <c r="D325" t="s">
        <v>63</v>
      </c>
      <c r="E325" s="4">
        <v>0.20918684834241866</v>
      </c>
      <c r="F325" s="4">
        <v>349633.53471332457</v>
      </c>
      <c r="G325" s="4">
        <v>349633.74390017288</v>
      </c>
      <c r="H325" s="5">
        <f t="shared" si="3"/>
        <v>0</v>
      </c>
      <c r="I325" t="s">
        <v>150</v>
      </c>
      <c r="J325" t="s">
        <v>77</v>
      </c>
      <c r="K325" s="5">
        <f>40 / 86400</f>
        <v>4.6296296296296298E-4</v>
      </c>
      <c r="L325" s="5">
        <f>34 / 86400</f>
        <v>3.9351851851851852E-4</v>
      </c>
    </row>
    <row r="326" spans="1:12" x14ac:dyDescent="0.25">
      <c r="A326" s="3">
        <v>45709.546319444446</v>
      </c>
      <c r="B326" t="s">
        <v>325</v>
      </c>
      <c r="C326" s="3">
        <v>45709.547013888892</v>
      </c>
      <c r="D326" t="s">
        <v>256</v>
      </c>
      <c r="E326" s="4">
        <v>0.18840144026279448</v>
      </c>
      <c r="F326" s="4">
        <v>349633.75338562496</v>
      </c>
      <c r="G326" s="4">
        <v>349633.94178706518</v>
      </c>
      <c r="H326" s="5">
        <f t="shared" si="3"/>
        <v>0</v>
      </c>
      <c r="I326" t="s">
        <v>136</v>
      </c>
      <c r="J326" t="s">
        <v>128</v>
      </c>
      <c r="K326" s="5">
        <f>60 / 86400</f>
        <v>6.9444444444444447E-4</v>
      </c>
      <c r="L326" s="5">
        <f>44 / 86400</f>
        <v>5.0925925925925921E-4</v>
      </c>
    </row>
    <row r="327" spans="1:12" x14ac:dyDescent="0.25">
      <c r="A327" s="3">
        <v>45709.547523148147</v>
      </c>
      <c r="B327" t="s">
        <v>63</v>
      </c>
      <c r="C327" s="3">
        <v>45709.548888888894</v>
      </c>
      <c r="D327" t="s">
        <v>63</v>
      </c>
      <c r="E327" s="4">
        <v>0.79095365768671033</v>
      </c>
      <c r="F327" s="4">
        <v>349633.95496089366</v>
      </c>
      <c r="G327" s="4">
        <v>349634.74591455137</v>
      </c>
      <c r="H327" s="5">
        <f t="shared" si="3"/>
        <v>0</v>
      </c>
      <c r="I327" t="s">
        <v>146</v>
      </c>
      <c r="J327" t="s">
        <v>127</v>
      </c>
      <c r="K327" s="5">
        <f>118 / 86400</f>
        <v>1.3657407407407407E-3</v>
      </c>
      <c r="L327" s="5">
        <f>60 / 86400</f>
        <v>6.9444444444444447E-4</v>
      </c>
    </row>
    <row r="328" spans="1:12" x14ac:dyDescent="0.25">
      <c r="A328" s="3">
        <v>45709.549583333333</v>
      </c>
      <c r="B328" t="s">
        <v>101</v>
      </c>
      <c r="C328" s="3">
        <v>45709.549814814818</v>
      </c>
      <c r="D328" t="s">
        <v>31</v>
      </c>
      <c r="E328" s="4">
        <v>1.5614728331565858E-3</v>
      </c>
      <c r="F328" s="4">
        <v>349634.96238617785</v>
      </c>
      <c r="G328" s="4">
        <v>349634.96394765069</v>
      </c>
      <c r="H328" s="5">
        <f t="shared" si="3"/>
        <v>0</v>
      </c>
      <c r="I328" t="s">
        <v>47</v>
      </c>
      <c r="J328" t="s">
        <v>48</v>
      </c>
      <c r="K328" s="5">
        <f>20 / 86400</f>
        <v>2.3148148148148149E-4</v>
      </c>
      <c r="L328" s="5">
        <f>75 / 86400</f>
        <v>8.6805555555555551E-4</v>
      </c>
    </row>
    <row r="329" spans="1:12" x14ac:dyDescent="0.25">
      <c r="A329" s="3">
        <v>45709.550682870366</v>
      </c>
      <c r="B329" t="s">
        <v>31</v>
      </c>
      <c r="C329" s="3">
        <v>45709.551307870366</v>
      </c>
      <c r="D329" t="s">
        <v>326</v>
      </c>
      <c r="E329" s="4">
        <v>0.10239663261175155</v>
      </c>
      <c r="F329" s="4">
        <v>349634.97731206426</v>
      </c>
      <c r="G329" s="4">
        <v>349635.07970869693</v>
      </c>
      <c r="H329" s="5">
        <f t="shared" si="3"/>
        <v>0</v>
      </c>
      <c r="I329" t="s">
        <v>59</v>
      </c>
      <c r="J329" t="s">
        <v>88</v>
      </c>
      <c r="K329" s="5">
        <f>54 / 86400</f>
        <v>6.2500000000000001E-4</v>
      </c>
      <c r="L329" s="5">
        <f>9 / 86400</f>
        <v>1.0416666666666667E-4</v>
      </c>
    </row>
    <row r="330" spans="1:12" x14ac:dyDescent="0.25">
      <c r="A330" s="3">
        <v>45709.551412037035</v>
      </c>
      <c r="B330" t="s">
        <v>326</v>
      </c>
      <c r="C330" s="3">
        <v>45709.553506944445</v>
      </c>
      <c r="D330" t="s">
        <v>101</v>
      </c>
      <c r="E330" s="4">
        <v>0.8740809251070023</v>
      </c>
      <c r="F330" s="4">
        <v>349635.08736603917</v>
      </c>
      <c r="G330" s="4">
        <v>349635.96144696424</v>
      </c>
      <c r="H330" s="5">
        <f t="shared" si="3"/>
        <v>0</v>
      </c>
      <c r="I330" t="s">
        <v>175</v>
      </c>
      <c r="J330" t="s">
        <v>52</v>
      </c>
      <c r="K330" s="5">
        <f>181 / 86400</f>
        <v>2.0949074074074073E-3</v>
      </c>
      <c r="L330" s="5">
        <f>20 / 86400</f>
        <v>2.3148148148148149E-4</v>
      </c>
    </row>
    <row r="331" spans="1:12" x14ac:dyDescent="0.25">
      <c r="A331" s="3">
        <v>45709.553738425922</v>
      </c>
      <c r="B331" t="s">
        <v>101</v>
      </c>
      <c r="C331" s="3">
        <v>45709.554201388892</v>
      </c>
      <c r="D331" t="s">
        <v>327</v>
      </c>
      <c r="E331" s="4">
        <v>2.5065954506397248E-2</v>
      </c>
      <c r="F331" s="4">
        <v>349635.9670048274</v>
      </c>
      <c r="G331" s="4">
        <v>349635.99207078188</v>
      </c>
      <c r="H331" s="5">
        <f t="shared" si="3"/>
        <v>0</v>
      </c>
      <c r="I331" t="s">
        <v>122</v>
      </c>
      <c r="J331" t="s">
        <v>122</v>
      </c>
      <c r="K331" s="5">
        <f>40 / 86400</f>
        <v>4.6296296296296298E-4</v>
      </c>
      <c r="L331" s="5">
        <f>50 / 86400</f>
        <v>5.7870370370370367E-4</v>
      </c>
    </row>
    <row r="332" spans="1:12" x14ac:dyDescent="0.25">
      <c r="A332" s="3">
        <v>45709.554780092592</v>
      </c>
      <c r="B332" t="s">
        <v>327</v>
      </c>
      <c r="C332" s="3">
        <v>45709.555798611109</v>
      </c>
      <c r="D332" t="s">
        <v>101</v>
      </c>
      <c r="E332" s="4">
        <v>0.42928869664669039</v>
      </c>
      <c r="F332" s="4">
        <v>349636.00758196815</v>
      </c>
      <c r="G332" s="4">
        <v>349636.43687066477</v>
      </c>
      <c r="H332" s="5">
        <f t="shared" si="3"/>
        <v>0</v>
      </c>
      <c r="I332" t="s">
        <v>201</v>
      </c>
      <c r="J332" t="s">
        <v>20</v>
      </c>
      <c r="K332" s="5">
        <f>88 / 86400</f>
        <v>1.0185185185185184E-3</v>
      </c>
      <c r="L332" s="5">
        <f>20 / 86400</f>
        <v>2.3148148148148149E-4</v>
      </c>
    </row>
    <row r="333" spans="1:12" x14ac:dyDescent="0.25">
      <c r="A333" s="3">
        <v>45709.556030092594</v>
      </c>
      <c r="B333" t="s">
        <v>101</v>
      </c>
      <c r="C333" s="3">
        <v>45709.558541666665</v>
      </c>
      <c r="D333" t="s">
        <v>328</v>
      </c>
      <c r="E333" s="4">
        <v>1.4807831473946571</v>
      </c>
      <c r="F333" s="4">
        <v>349636.51977082604</v>
      </c>
      <c r="G333" s="4">
        <v>349638.00055397343</v>
      </c>
      <c r="H333" s="5">
        <f t="shared" si="3"/>
        <v>0</v>
      </c>
      <c r="I333" t="s">
        <v>184</v>
      </c>
      <c r="J333" t="s">
        <v>66</v>
      </c>
      <c r="K333" s="5">
        <f>217 / 86400</f>
        <v>2.5115740740740741E-3</v>
      </c>
      <c r="L333" s="5">
        <f>20 / 86400</f>
        <v>2.3148148148148149E-4</v>
      </c>
    </row>
    <row r="334" spans="1:12" x14ac:dyDescent="0.25">
      <c r="A334" s="3">
        <v>45709.55877314815</v>
      </c>
      <c r="B334" t="s">
        <v>328</v>
      </c>
      <c r="C334" s="3">
        <v>45709.559467592597</v>
      </c>
      <c r="D334" t="s">
        <v>329</v>
      </c>
      <c r="E334" s="4">
        <v>0.36143655878305436</v>
      </c>
      <c r="F334" s="4">
        <v>349638.02414170193</v>
      </c>
      <c r="G334" s="4">
        <v>349638.3855782607</v>
      </c>
      <c r="H334" s="5">
        <f t="shared" si="3"/>
        <v>0</v>
      </c>
      <c r="I334" t="s">
        <v>230</v>
      </c>
      <c r="J334" t="s">
        <v>143</v>
      </c>
      <c r="K334" s="5">
        <f>60 / 86400</f>
        <v>6.9444444444444447E-4</v>
      </c>
      <c r="L334" s="5">
        <f>50 / 86400</f>
        <v>5.7870370370370367E-4</v>
      </c>
    </row>
    <row r="335" spans="1:12" x14ac:dyDescent="0.25">
      <c r="A335" s="3">
        <v>45709.560046296298</v>
      </c>
      <c r="B335" t="s">
        <v>330</v>
      </c>
      <c r="C335" s="3">
        <v>45709.560740740737</v>
      </c>
      <c r="D335" t="s">
        <v>119</v>
      </c>
      <c r="E335" s="4">
        <v>0.71380965054035184</v>
      </c>
      <c r="F335" s="4">
        <v>349638.39902420546</v>
      </c>
      <c r="G335" s="4">
        <v>349639.11283385596</v>
      </c>
      <c r="H335" s="5">
        <f t="shared" si="3"/>
        <v>0</v>
      </c>
      <c r="I335" t="s">
        <v>178</v>
      </c>
      <c r="J335" t="s">
        <v>212</v>
      </c>
      <c r="K335" s="5">
        <f>60 / 86400</f>
        <v>6.9444444444444447E-4</v>
      </c>
      <c r="L335" s="5">
        <f>20 / 86400</f>
        <v>2.3148148148148149E-4</v>
      </c>
    </row>
    <row r="336" spans="1:12" x14ac:dyDescent="0.25">
      <c r="A336" s="3">
        <v>45709.560972222222</v>
      </c>
      <c r="B336" t="s">
        <v>119</v>
      </c>
      <c r="C336" s="3">
        <v>45709.562361111108</v>
      </c>
      <c r="D336" t="s">
        <v>331</v>
      </c>
      <c r="E336" s="4">
        <v>0.85841621112823485</v>
      </c>
      <c r="F336" s="4">
        <v>349639.23298414046</v>
      </c>
      <c r="G336" s="4">
        <v>349640.09140035161</v>
      </c>
      <c r="H336" s="5">
        <f t="shared" si="3"/>
        <v>0</v>
      </c>
      <c r="I336" t="s">
        <v>231</v>
      </c>
      <c r="J336" t="s">
        <v>168</v>
      </c>
      <c r="K336" s="5">
        <f>120 / 86400</f>
        <v>1.3888888888888889E-3</v>
      </c>
      <c r="L336" s="5">
        <f>20 / 86400</f>
        <v>2.3148148148148149E-4</v>
      </c>
    </row>
    <row r="337" spans="1:12" x14ac:dyDescent="0.25">
      <c r="A337" s="3">
        <v>45709.562592592592</v>
      </c>
      <c r="B337" t="s">
        <v>331</v>
      </c>
      <c r="C337" s="3">
        <v>45709.564363425925</v>
      </c>
      <c r="D337" t="s">
        <v>332</v>
      </c>
      <c r="E337" s="4">
        <v>1.3346216269731521</v>
      </c>
      <c r="F337" s="4">
        <v>349640.19083392987</v>
      </c>
      <c r="G337" s="4">
        <v>349641.52545555687</v>
      </c>
      <c r="H337" s="5">
        <f t="shared" si="3"/>
        <v>0</v>
      </c>
      <c r="I337" t="s">
        <v>232</v>
      </c>
      <c r="J337" t="s">
        <v>29</v>
      </c>
      <c r="K337" s="5">
        <f>153 / 86400</f>
        <v>1.7708333333333332E-3</v>
      </c>
      <c r="L337" s="5">
        <f>20 / 86400</f>
        <v>2.3148148148148149E-4</v>
      </c>
    </row>
    <row r="338" spans="1:12" x14ac:dyDescent="0.25">
      <c r="A338" s="3">
        <v>45709.56459490741</v>
      </c>
      <c r="B338" t="s">
        <v>332</v>
      </c>
      <c r="C338" s="3">
        <v>45709.564826388887</v>
      </c>
      <c r="D338" t="s">
        <v>332</v>
      </c>
      <c r="E338" s="4">
        <v>1.0263821423053741E-2</v>
      </c>
      <c r="F338" s="4">
        <v>349641.53800519754</v>
      </c>
      <c r="G338" s="4">
        <v>349641.54826901894</v>
      </c>
      <c r="H338" s="5">
        <f t="shared" si="3"/>
        <v>0</v>
      </c>
      <c r="I338" t="s">
        <v>47</v>
      </c>
      <c r="J338" t="s">
        <v>122</v>
      </c>
      <c r="K338" s="5">
        <f>20 / 86400</f>
        <v>2.3148148148148149E-4</v>
      </c>
      <c r="L338" s="5">
        <f>4 / 86400</f>
        <v>4.6296296296296294E-5</v>
      </c>
    </row>
    <row r="339" spans="1:12" x14ac:dyDescent="0.25">
      <c r="A339" s="3">
        <v>45709.564872685187</v>
      </c>
      <c r="B339" t="s">
        <v>331</v>
      </c>
      <c r="C339" s="3">
        <v>45709.565104166672</v>
      </c>
      <c r="D339" t="s">
        <v>333</v>
      </c>
      <c r="E339" s="4">
        <v>2.7577758371829988E-2</v>
      </c>
      <c r="F339" s="4">
        <v>349641.55269734841</v>
      </c>
      <c r="G339" s="4">
        <v>349641.58027510677</v>
      </c>
      <c r="H339" s="5">
        <f t="shared" si="3"/>
        <v>0</v>
      </c>
      <c r="I339" t="s">
        <v>134</v>
      </c>
      <c r="J339" t="s">
        <v>121</v>
      </c>
      <c r="K339" s="5">
        <f>20 / 86400</f>
        <v>2.3148148148148149E-4</v>
      </c>
      <c r="L339" s="5">
        <f>54 / 86400</f>
        <v>6.2500000000000001E-4</v>
      </c>
    </row>
    <row r="340" spans="1:12" x14ac:dyDescent="0.25">
      <c r="A340" s="3">
        <v>45709.565729166672</v>
      </c>
      <c r="B340" t="s">
        <v>334</v>
      </c>
      <c r="C340" s="3">
        <v>45709.56722222222</v>
      </c>
      <c r="D340" t="s">
        <v>243</v>
      </c>
      <c r="E340" s="4">
        <v>0.26269441294670104</v>
      </c>
      <c r="F340" s="4">
        <v>349641.61578668864</v>
      </c>
      <c r="G340" s="4">
        <v>349641.87848110159</v>
      </c>
      <c r="H340" s="5">
        <f t="shared" si="3"/>
        <v>0</v>
      </c>
      <c r="I340" t="s">
        <v>77</v>
      </c>
      <c r="J340" t="s">
        <v>88</v>
      </c>
      <c r="K340" s="5">
        <f>129 / 86400</f>
        <v>1.4930555555555556E-3</v>
      </c>
      <c r="L340" s="5">
        <f>29 / 86400</f>
        <v>3.3564814814814812E-4</v>
      </c>
    </row>
    <row r="341" spans="1:12" x14ac:dyDescent="0.25">
      <c r="A341" s="3">
        <v>45709.567557870367</v>
      </c>
      <c r="B341" t="s">
        <v>244</v>
      </c>
      <c r="C341" s="3">
        <v>45709.568483796298</v>
      </c>
      <c r="D341" t="s">
        <v>335</v>
      </c>
      <c r="E341" s="4">
        <v>0.14975235766172409</v>
      </c>
      <c r="F341" s="4">
        <v>349641.91817587777</v>
      </c>
      <c r="G341" s="4">
        <v>349642.0679282354</v>
      </c>
      <c r="H341" s="5">
        <f t="shared" si="3"/>
        <v>0</v>
      </c>
      <c r="I341" t="s">
        <v>26</v>
      </c>
      <c r="J341" t="s">
        <v>88</v>
      </c>
      <c r="K341" s="5">
        <f>80 / 86400</f>
        <v>9.2592592592592596E-4</v>
      </c>
      <c r="L341" s="5">
        <f>40 / 86400</f>
        <v>4.6296296296296298E-4</v>
      </c>
    </row>
    <row r="342" spans="1:12" x14ac:dyDescent="0.25">
      <c r="A342" s="3">
        <v>45709.56894675926</v>
      </c>
      <c r="B342" t="s">
        <v>336</v>
      </c>
      <c r="C342" s="3">
        <v>45709.569409722222</v>
      </c>
      <c r="D342" t="s">
        <v>119</v>
      </c>
      <c r="E342" s="4">
        <v>0.15685468006134035</v>
      </c>
      <c r="F342" s="4">
        <v>349642.15971150564</v>
      </c>
      <c r="G342" s="4">
        <v>349642.31656618573</v>
      </c>
      <c r="H342" s="5">
        <f t="shared" si="3"/>
        <v>0</v>
      </c>
      <c r="I342" t="s">
        <v>33</v>
      </c>
      <c r="J342" t="s">
        <v>57</v>
      </c>
      <c r="K342" s="5">
        <f>40 / 86400</f>
        <v>4.6296296296296298E-4</v>
      </c>
      <c r="L342" s="5">
        <f>20 / 86400</f>
        <v>2.3148148148148149E-4</v>
      </c>
    </row>
    <row r="343" spans="1:12" x14ac:dyDescent="0.25">
      <c r="A343" s="3">
        <v>45709.569641203707</v>
      </c>
      <c r="B343" t="s">
        <v>119</v>
      </c>
      <c r="C343" s="3">
        <v>45709.571006944447</v>
      </c>
      <c r="D343" t="s">
        <v>119</v>
      </c>
      <c r="E343" s="4">
        <v>0.33338600492477416</v>
      </c>
      <c r="F343" s="4">
        <v>349642.33632807434</v>
      </c>
      <c r="G343" s="4">
        <v>349642.66971407924</v>
      </c>
      <c r="H343" s="5">
        <f t="shared" si="3"/>
        <v>0</v>
      </c>
      <c r="I343" t="s">
        <v>41</v>
      </c>
      <c r="J343" t="s">
        <v>60</v>
      </c>
      <c r="K343" s="5">
        <f>118 / 86400</f>
        <v>1.3657407407407407E-3</v>
      </c>
      <c r="L343" s="5">
        <f>12 / 86400</f>
        <v>1.3888888888888889E-4</v>
      </c>
    </row>
    <row r="344" spans="1:12" x14ac:dyDescent="0.25">
      <c r="A344" s="3">
        <v>45709.571145833332</v>
      </c>
      <c r="B344" t="s">
        <v>119</v>
      </c>
      <c r="C344" s="3">
        <v>45709.571608796294</v>
      </c>
      <c r="D344" t="s">
        <v>337</v>
      </c>
      <c r="E344" s="4">
        <v>0.13015856069326401</v>
      </c>
      <c r="F344" s="4">
        <v>349642.67703643086</v>
      </c>
      <c r="G344" s="4">
        <v>349642.8071949915</v>
      </c>
      <c r="H344" s="5">
        <f t="shared" si="3"/>
        <v>0</v>
      </c>
      <c r="I344" t="s">
        <v>134</v>
      </c>
      <c r="J344" t="s">
        <v>55</v>
      </c>
      <c r="K344" s="5">
        <f>40 / 86400</f>
        <v>4.6296296296296298E-4</v>
      </c>
      <c r="L344" s="5">
        <f>38 / 86400</f>
        <v>4.3981481481481481E-4</v>
      </c>
    </row>
    <row r="345" spans="1:12" x14ac:dyDescent="0.25">
      <c r="A345" s="3">
        <v>45709.572048611109</v>
      </c>
      <c r="B345" t="s">
        <v>338</v>
      </c>
      <c r="C345" s="3">
        <v>45709.572511574079</v>
      </c>
      <c r="D345" t="s">
        <v>339</v>
      </c>
      <c r="E345" s="4">
        <v>0.11877375769615173</v>
      </c>
      <c r="F345" s="4">
        <v>349642.81378689205</v>
      </c>
      <c r="G345" s="4">
        <v>349642.93256064976</v>
      </c>
      <c r="H345" s="5">
        <f t="shared" si="3"/>
        <v>0</v>
      </c>
      <c r="I345" t="s">
        <v>20</v>
      </c>
      <c r="J345" t="s">
        <v>128</v>
      </c>
      <c r="K345" s="5">
        <f>40 / 86400</f>
        <v>4.6296296296296298E-4</v>
      </c>
      <c r="L345" s="5">
        <f>28 / 86400</f>
        <v>3.2407407407407406E-4</v>
      </c>
    </row>
    <row r="346" spans="1:12" x14ac:dyDescent="0.25">
      <c r="A346" s="3">
        <v>45709.572835648149</v>
      </c>
      <c r="B346" t="s">
        <v>339</v>
      </c>
      <c r="C346" s="3">
        <v>45709.573993055557</v>
      </c>
      <c r="D346" t="s">
        <v>92</v>
      </c>
      <c r="E346" s="4">
        <v>0.23625711363554</v>
      </c>
      <c r="F346" s="4">
        <v>349642.94915053924</v>
      </c>
      <c r="G346" s="4">
        <v>349643.18540765287</v>
      </c>
      <c r="H346" s="5">
        <f t="shared" si="3"/>
        <v>0</v>
      </c>
      <c r="I346" t="s">
        <v>26</v>
      </c>
      <c r="J346" t="s">
        <v>125</v>
      </c>
      <c r="K346" s="5">
        <f>100 / 86400</f>
        <v>1.1574074074074073E-3</v>
      </c>
      <c r="L346" s="5">
        <f>3 / 86400</f>
        <v>3.4722222222222222E-5</v>
      </c>
    </row>
    <row r="347" spans="1:12" x14ac:dyDescent="0.25">
      <c r="A347" s="3">
        <v>45709.57402777778</v>
      </c>
      <c r="B347" t="s">
        <v>92</v>
      </c>
      <c r="C347" s="3">
        <v>45709.574953703705</v>
      </c>
      <c r="D347" t="s">
        <v>92</v>
      </c>
      <c r="E347" s="4">
        <v>0.20204222947359085</v>
      </c>
      <c r="F347" s="4">
        <v>349643.1889795966</v>
      </c>
      <c r="G347" s="4">
        <v>349643.39102182607</v>
      </c>
      <c r="H347" s="5">
        <f t="shared" si="3"/>
        <v>0</v>
      </c>
      <c r="I347" t="s">
        <v>55</v>
      </c>
      <c r="J347" t="s">
        <v>125</v>
      </c>
      <c r="K347" s="5">
        <f>80 / 86400</f>
        <v>9.2592592592592596E-4</v>
      </c>
      <c r="L347" s="5">
        <f>4 / 86400</f>
        <v>4.6296296296296294E-5</v>
      </c>
    </row>
    <row r="348" spans="1:12" x14ac:dyDescent="0.25">
      <c r="A348" s="3">
        <v>45709.574999999997</v>
      </c>
      <c r="B348" t="s">
        <v>92</v>
      </c>
      <c r="C348" s="3">
        <v>45709.575231481482</v>
      </c>
      <c r="D348" t="s">
        <v>92</v>
      </c>
      <c r="E348" s="4">
        <v>7.290754252672195E-2</v>
      </c>
      <c r="F348" s="4">
        <v>349643.39510722592</v>
      </c>
      <c r="G348" s="4">
        <v>349643.46801476844</v>
      </c>
      <c r="H348" s="5">
        <f t="shared" si="3"/>
        <v>0</v>
      </c>
      <c r="I348" t="s">
        <v>125</v>
      </c>
      <c r="J348" t="s">
        <v>26</v>
      </c>
      <c r="K348" s="5">
        <f>20 / 86400</f>
        <v>2.3148148148148149E-4</v>
      </c>
      <c r="L348" s="5">
        <f>20 / 86400</f>
        <v>2.3148148148148149E-4</v>
      </c>
    </row>
    <row r="349" spans="1:12" x14ac:dyDescent="0.25">
      <c r="A349" s="3">
        <v>45709.575462962966</v>
      </c>
      <c r="B349" t="s">
        <v>92</v>
      </c>
      <c r="C349" s="3">
        <v>45709.577303240745</v>
      </c>
      <c r="D349" t="s">
        <v>340</v>
      </c>
      <c r="E349" s="4">
        <v>0.79524135673046115</v>
      </c>
      <c r="F349" s="4">
        <v>349643.52072391956</v>
      </c>
      <c r="G349" s="4">
        <v>349644.31596527633</v>
      </c>
      <c r="H349" s="5">
        <f t="shared" ref="H349:H412" si="4">0 / 86400</f>
        <v>0</v>
      </c>
      <c r="I349" t="s">
        <v>162</v>
      </c>
      <c r="J349" t="s">
        <v>20</v>
      </c>
      <c r="K349" s="5">
        <f>159 / 86400</f>
        <v>1.8402777777777777E-3</v>
      </c>
      <c r="L349" s="5">
        <f>20 / 86400</f>
        <v>2.3148148148148149E-4</v>
      </c>
    </row>
    <row r="350" spans="1:12" x14ac:dyDescent="0.25">
      <c r="A350" s="3">
        <v>45709.577534722222</v>
      </c>
      <c r="B350" t="s">
        <v>340</v>
      </c>
      <c r="C350" s="3">
        <v>45709.579618055555</v>
      </c>
      <c r="D350" t="s">
        <v>75</v>
      </c>
      <c r="E350" s="4">
        <v>1.1102310461401939</v>
      </c>
      <c r="F350" s="4">
        <v>349644.32889629301</v>
      </c>
      <c r="G350" s="4">
        <v>349645.43912733911</v>
      </c>
      <c r="H350" s="5">
        <f t="shared" si="4"/>
        <v>0</v>
      </c>
      <c r="I350" t="s">
        <v>200</v>
      </c>
      <c r="J350" t="s">
        <v>143</v>
      </c>
      <c r="K350" s="5">
        <f>180 / 86400</f>
        <v>2.0833333333333333E-3</v>
      </c>
      <c r="L350" s="5">
        <f>40 / 86400</f>
        <v>4.6296296296296298E-4</v>
      </c>
    </row>
    <row r="351" spans="1:12" x14ac:dyDescent="0.25">
      <c r="A351" s="3">
        <v>45709.580081018517</v>
      </c>
      <c r="B351" t="s">
        <v>75</v>
      </c>
      <c r="C351" s="3">
        <v>45709.58216435185</v>
      </c>
      <c r="D351" t="s">
        <v>75</v>
      </c>
      <c r="E351" s="4">
        <v>0.62630880898237229</v>
      </c>
      <c r="F351" s="4">
        <v>349645.45291298523</v>
      </c>
      <c r="G351" s="4">
        <v>349646.07922179421</v>
      </c>
      <c r="H351" s="5">
        <f t="shared" si="4"/>
        <v>0</v>
      </c>
      <c r="I351" t="s">
        <v>171</v>
      </c>
      <c r="J351" t="s">
        <v>26</v>
      </c>
      <c r="K351" s="5">
        <f>180 / 86400</f>
        <v>2.0833333333333333E-3</v>
      </c>
      <c r="L351" s="5">
        <f>40 / 86400</f>
        <v>4.6296296296296298E-4</v>
      </c>
    </row>
    <row r="352" spans="1:12" x14ac:dyDescent="0.25">
      <c r="A352" s="3">
        <v>45709.582627314812</v>
      </c>
      <c r="B352" t="s">
        <v>75</v>
      </c>
      <c r="C352" s="3">
        <v>45709.583553240736</v>
      </c>
      <c r="D352" t="s">
        <v>75</v>
      </c>
      <c r="E352" s="4">
        <v>3.9445647120475769E-2</v>
      </c>
      <c r="F352" s="4">
        <v>349646.09859756724</v>
      </c>
      <c r="G352" s="4">
        <v>349646.13804321439</v>
      </c>
      <c r="H352" s="5">
        <f t="shared" si="4"/>
        <v>0</v>
      </c>
      <c r="I352" t="s">
        <v>30</v>
      </c>
      <c r="J352" t="s">
        <v>122</v>
      </c>
      <c r="K352" s="5">
        <f>80 / 86400</f>
        <v>9.2592592592592596E-4</v>
      </c>
      <c r="L352" s="5">
        <f>40 / 86400</f>
        <v>4.6296296296296298E-4</v>
      </c>
    </row>
    <row r="353" spans="1:12" x14ac:dyDescent="0.25">
      <c r="A353" s="3">
        <v>45709.584016203706</v>
      </c>
      <c r="B353" t="s">
        <v>237</v>
      </c>
      <c r="C353" s="3">
        <v>45709.587071759262</v>
      </c>
      <c r="D353" t="s">
        <v>75</v>
      </c>
      <c r="E353" s="4">
        <v>2.2601446344852447</v>
      </c>
      <c r="F353" s="4">
        <v>349646.22481857066</v>
      </c>
      <c r="G353" s="4">
        <v>349648.48496320518</v>
      </c>
      <c r="H353" s="5">
        <f t="shared" si="4"/>
        <v>0</v>
      </c>
      <c r="I353" t="s">
        <v>200</v>
      </c>
      <c r="J353" t="s">
        <v>29</v>
      </c>
      <c r="K353" s="5">
        <f>264 / 86400</f>
        <v>3.0555555555555557E-3</v>
      </c>
      <c r="L353" s="5">
        <f>6 / 86400</f>
        <v>6.9444444444444444E-5</v>
      </c>
    </row>
    <row r="354" spans="1:12" x14ac:dyDescent="0.25">
      <c r="A354" s="3">
        <v>45709.587141203709</v>
      </c>
      <c r="B354" t="s">
        <v>75</v>
      </c>
      <c r="C354" s="3">
        <v>45709.588761574079</v>
      </c>
      <c r="D354" t="s">
        <v>75</v>
      </c>
      <c r="E354" s="4">
        <v>1.2506988584995269</v>
      </c>
      <c r="F354" s="4">
        <v>349648.4888766408</v>
      </c>
      <c r="G354" s="4">
        <v>349649.73957549932</v>
      </c>
      <c r="H354" s="5">
        <f t="shared" si="4"/>
        <v>0</v>
      </c>
      <c r="I354" t="s">
        <v>200</v>
      </c>
      <c r="J354" t="s">
        <v>87</v>
      </c>
      <c r="K354" s="5">
        <f>140 / 86400</f>
        <v>1.6203703703703703E-3</v>
      </c>
      <c r="L354" s="5">
        <f>34 / 86400</f>
        <v>3.9351851851851852E-4</v>
      </c>
    </row>
    <row r="355" spans="1:12" x14ac:dyDescent="0.25">
      <c r="A355" s="3">
        <v>45709.589155092588</v>
      </c>
      <c r="B355" t="s">
        <v>75</v>
      </c>
      <c r="C355" s="3">
        <v>45709.589618055557</v>
      </c>
      <c r="D355" t="s">
        <v>236</v>
      </c>
      <c r="E355" s="4">
        <v>0.31758818149566648</v>
      </c>
      <c r="F355" s="4">
        <v>349649.74180081824</v>
      </c>
      <c r="G355" s="4">
        <v>349650.05938899977</v>
      </c>
      <c r="H355" s="5">
        <f t="shared" si="4"/>
        <v>0</v>
      </c>
      <c r="I355" t="s">
        <v>230</v>
      </c>
      <c r="J355" t="s">
        <v>171</v>
      </c>
      <c r="K355" s="5">
        <f>40 / 86400</f>
        <v>4.6296296296296298E-4</v>
      </c>
      <c r="L355" s="5">
        <f>20 / 86400</f>
        <v>2.3148148148148149E-4</v>
      </c>
    </row>
    <row r="356" spans="1:12" x14ac:dyDescent="0.25">
      <c r="A356" s="3">
        <v>45709.589849537035</v>
      </c>
      <c r="B356" t="s">
        <v>236</v>
      </c>
      <c r="C356" s="3">
        <v>45709.591469907406</v>
      </c>
      <c r="D356" t="s">
        <v>192</v>
      </c>
      <c r="E356" s="4">
        <v>1.3485291770100594</v>
      </c>
      <c r="F356" s="4">
        <v>349650.12923301285</v>
      </c>
      <c r="G356" s="4">
        <v>349651.47776218987</v>
      </c>
      <c r="H356" s="5">
        <f t="shared" si="4"/>
        <v>0</v>
      </c>
      <c r="I356" t="s">
        <v>71</v>
      </c>
      <c r="J356" t="s">
        <v>201</v>
      </c>
      <c r="K356" s="5">
        <f>140 / 86400</f>
        <v>1.6203703703703703E-3</v>
      </c>
      <c r="L356" s="5">
        <f>11 / 86400</f>
        <v>1.273148148148148E-4</v>
      </c>
    </row>
    <row r="357" spans="1:12" x14ac:dyDescent="0.25">
      <c r="A357" s="3">
        <v>45709.591597222221</v>
      </c>
      <c r="B357" t="s">
        <v>192</v>
      </c>
      <c r="C357" s="3">
        <v>45709.595497685186</v>
      </c>
      <c r="D357" t="s">
        <v>199</v>
      </c>
      <c r="E357" s="4">
        <v>2.5523622873425484</v>
      </c>
      <c r="F357" s="4">
        <v>349651.48091017629</v>
      </c>
      <c r="G357" s="4">
        <v>349654.0332724636</v>
      </c>
      <c r="H357" s="5">
        <f t="shared" si="4"/>
        <v>0</v>
      </c>
      <c r="I357" t="s">
        <v>25</v>
      </c>
      <c r="J357" t="s">
        <v>150</v>
      </c>
      <c r="K357" s="5">
        <f>337 / 86400</f>
        <v>3.9004629629629628E-3</v>
      </c>
      <c r="L357" s="5">
        <f>53 / 86400</f>
        <v>6.134259259259259E-4</v>
      </c>
    </row>
    <row r="358" spans="1:12" x14ac:dyDescent="0.25">
      <c r="A358" s="3">
        <v>45709.59611111111</v>
      </c>
      <c r="B358" t="s">
        <v>199</v>
      </c>
      <c r="C358" s="3">
        <v>45709.597500000003</v>
      </c>
      <c r="D358" t="s">
        <v>137</v>
      </c>
      <c r="E358" s="4">
        <v>1.3317535580396653</v>
      </c>
      <c r="F358" s="4">
        <v>349654.04579289199</v>
      </c>
      <c r="G358" s="4">
        <v>349655.37754645001</v>
      </c>
      <c r="H358" s="5">
        <f t="shared" si="4"/>
        <v>0</v>
      </c>
      <c r="I358" t="s">
        <v>156</v>
      </c>
      <c r="J358" t="s">
        <v>230</v>
      </c>
      <c r="K358" s="5">
        <f>120 / 86400</f>
        <v>1.3888888888888889E-3</v>
      </c>
      <c r="L358" s="5">
        <f>8 / 86400</f>
        <v>9.2592592592592588E-5</v>
      </c>
    </row>
    <row r="359" spans="1:12" x14ac:dyDescent="0.25">
      <c r="A359" s="3">
        <v>45709.597592592589</v>
      </c>
      <c r="B359" t="s">
        <v>137</v>
      </c>
      <c r="C359" s="3">
        <v>45709.599212962959</v>
      </c>
      <c r="D359" t="s">
        <v>137</v>
      </c>
      <c r="E359" s="4">
        <v>1.1179049876332283</v>
      </c>
      <c r="F359" s="4">
        <v>349655.37903225096</v>
      </c>
      <c r="G359" s="4">
        <v>349656.49693723855</v>
      </c>
      <c r="H359" s="5">
        <f t="shared" si="4"/>
        <v>0</v>
      </c>
      <c r="I359" t="s">
        <v>96</v>
      </c>
      <c r="J359" t="s">
        <v>171</v>
      </c>
      <c r="K359" s="5">
        <f>140 / 86400</f>
        <v>1.6203703703703703E-3</v>
      </c>
      <c r="L359" s="5">
        <f>20 / 86400</f>
        <v>2.3148148148148149E-4</v>
      </c>
    </row>
    <row r="360" spans="1:12" x14ac:dyDescent="0.25">
      <c r="A360" s="3">
        <v>45709.599444444444</v>
      </c>
      <c r="B360" t="s">
        <v>137</v>
      </c>
      <c r="C360" s="3">
        <v>45709.601041666669</v>
      </c>
      <c r="D360" t="s">
        <v>34</v>
      </c>
      <c r="E360" s="4">
        <v>1.4096834031343459</v>
      </c>
      <c r="F360" s="4">
        <v>349656.5255902902</v>
      </c>
      <c r="G360" s="4">
        <v>349657.93527369335</v>
      </c>
      <c r="H360" s="5">
        <f t="shared" si="4"/>
        <v>0</v>
      </c>
      <c r="I360" t="s">
        <v>156</v>
      </c>
      <c r="J360" t="s">
        <v>247</v>
      </c>
      <c r="K360" s="5">
        <f>138 / 86400</f>
        <v>1.5972222222222223E-3</v>
      </c>
      <c r="L360" s="5">
        <f>20 / 86400</f>
        <v>2.3148148148148149E-4</v>
      </c>
    </row>
    <row r="361" spans="1:12" x14ac:dyDescent="0.25">
      <c r="A361" s="3">
        <v>45709.601273148146</v>
      </c>
      <c r="B361" t="s">
        <v>341</v>
      </c>
      <c r="C361" s="3">
        <v>45709.60219907407</v>
      </c>
      <c r="D361" t="s">
        <v>342</v>
      </c>
      <c r="E361" s="4">
        <v>0.57693298691511152</v>
      </c>
      <c r="F361" s="4">
        <v>349658.06165007519</v>
      </c>
      <c r="G361" s="4">
        <v>349658.6385830621</v>
      </c>
      <c r="H361" s="5">
        <f t="shared" si="4"/>
        <v>0</v>
      </c>
      <c r="I361" t="s">
        <v>154</v>
      </c>
      <c r="J361" t="s">
        <v>168</v>
      </c>
      <c r="K361" s="5">
        <f>80 / 86400</f>
        <v>9.2592592592592596E-4</v>
      </c>
      <c r="L361" s="5">
        <f>20 / 86400</f>
        <v>2.3148148148148149E-4</v>
      </c>
    </row>
    <row r="362" spans="1:12" x14ac:dyDescent="0.25">
      <c r="A362" s="3">
        <v>45709.602430555555</v>
      </c>
      <c r="B362" t="s">
        <v>342</v>
      </c>
      <c r="C362" s="3">
        <v>45709.607071759259</v>
      </c>
      <c r="D362" t="s">
        <v>207</v>
      </c>
      <c r="E362" s="4">
        <v>2.9371692984700202</v>
      </c>
      <c r="F362" s="4">
        <v>349658.76905978465</v>
      </c>
      <c r="G362" s="4">
        <v>349661.70622908312</v>
      </c>
      <c r="H362" s="5">
        <f t="shared" si="4"/>
        <v>0</v>
      </c>
      <c r="I362" t="s">
        <v>146</v>
      </c>
      <c r="J362" t="s">
        <v>168</v>
      </c>
      <c r="K362" s="5">
        <f>401 / 86400</f>
        <v>4.6412037037037038E-3</v>
      </c>
      <c r="L362" s="5">
        <f>20 / 86400</f>
        <v>2.3148148148148149E-4</v>
      </c>
    </row>
    <row r="363" spans="1:12" x14ac:dyDescent="0.25">
      <c r="A363" s="3">
        <v>45709.607303240744</v>
      </c>
      <c r="B363" t="s">
        <v>207</v>
      </c>
      <c r="C363" s="3">
        <v>45709.610960648148</v>
      </c>
      <c r="D363" t="s">
        <v>343</v>
      </c>
      <c r="E363" s="4">
        <v>2.2197448279261591</v>
      </c>
      <c r="F363" s="4">
        <v>349661.84760265396</v>
      </c>
      <c r="G363" s="4">
        <v>349664.06734748191</v>
      </c>
      <c r="H363" s="5">
        <f t="shared" si="4"/>
        <v>0</v>
      </c>
      <c r="I363" t="s">
        <v>196</v>
      </c>
      <c r="J363" t="s">
        <v>66</v>
      </c>
      <c r="K363" s="5">
        <f>316 / 86400</f>
        <v>3.6574074074074074E-3</v>
      </c>
      <c r="L363" s="5">
        <f>7 / 86400</f>
        <v>8.1018518518518516E-5</v>
      </c>
    </row>
    <row r="364" spans="1:12" x14ac:dyDescent="0.25">
      <c r="A364" s="3">
        <v>45709.611041666663</v>
      </c>
      <c r="B364" t="s">
        <v>343</v>
      </c>
      <c r="C364" s="3">
        <v>45709.614745370374</v>
      </c>
      <c r="D364" t="s">
        <v>214</v>
      </c>
      <c r="E364" s="4">
        <v>3.1656315415501592</v>
      </c>
      <c r="F364" s="4">
        <v>349664.07158370229</v>
      </c>
      <c r="G364" s="4">
        <v>349667.2372152438</v>
      </c>
      <c r="H364" s="5">
        <f t="shared" si="4"/>
        <v>0</v>
      </c>
      <c r="I364" t="s">
        <v>148</v>
      </c>
      <c r="J364" t="s">
        <v>141</v>
      </c>
      <c r="K364" s="5">
        <f>320 / 86400</f>
        <v>3.7037037037037038E-3</v>
      </c>
      <c r="L364" s="5">
        <f>18 / 86400</f>
        <v>2.0833333333333335E-4</v>
      </c>
    </row>
    <row r="365" spans="1:12" x14ac:dyDescent="0.25">
      <c r="A365" s="3">
        <v>45709.614953703705</v>
      </c>
      <c r="B365" t="s">
        <v>214</v>
      </c>
      <c r="C365" s="3">
        <v>45709.615532407406</v>
      </c>
      <c r="D365" t="s">
        <v>344</v>
      </c>
      <c r="E365" s="4">
        <v>0.35212531149387361</v>
      </c>
      <c r="F365" s="4">
        <v>349667.24364888162</v>
      </c>
      <c r="G365" s="4">
        <v>349667.59577419312</v>
      </c>
      <c r="H365" s="5">
        <f t="shared" si="4"/>
        <v>0</v>
      </c>
      <c r="I365" t="s">
        <v>212</v>
      </c>
      <c r="J365" t="s">
        <v>66</v>
      </c>
      <c r="K365" s="5">
        <f>50 / 86400</f>
        <v>5.7870370370370367E-4</v>
      </c>
      <c r="L365" s="5">
        <f>30 / 86400</f>
        <v>3.4722222222222224E-4</v>
      </c>
    </row>
    <row r="366" spans="1:12" x14ac:dyDescent="0.25">
      <c r="A366" s="3">
        <v>45709.615879629629</v>
      </c>
      <c r="B366" t="s">
        <v>344</v>
      </c>
      <c r="C366" s="3">
        <v>45709.617268518516</v>
      </c>
      <c r="D366" t="s">
        <v>227</v>
      </c>
      <c r="E366" s="4">
        <v>0.95775351077318194</v>
      </c>
      <c r="F366" s="4">
        <v>349667.60074531788</v>
      </c>
      <c r="G366" s="4">
        <v>349668.55849882867</v>
      </c>
      <c r="H366" s="5">
        <f t="shared" si="4"/>
        <v>0</v>
      </c>
      <c r="I366" t="s">
        <v>204</v>
      </c>
      <c r="J366" t="s">
        <v>171</v>
      </c>
      <c r="K366" s="5">
        <f>120 / 86400</f>
        <v>1.3888888888888889E-3</v>
      </c>
      <c r="L366" s="5">
        <f>12 / 86400</f>
        <v>1.3888888888888889E-4</v>
      </c>
    </row>
    <row r="367" spans="1:12" x14ac:dyDescent="0.25">
      <c r="A367" s="3">
        <v>45709.617407407408</v>
      </c>
      <c r="B367" t="s">
        <v>227</v>
      </c>
      <c r="C367" s="3">
        <v>45709.618148148147</v>
      </c>
      <c r="D367" t="s">
        <v>214</v>
      </c>
      <c r="E367" s="4">
        <v>0.24562116450071333</v>
      </c>
      <c r="F367" s="4">
        <v>349668.56481111777</v>
      </c>
      <c r="G367" s="4">
        <v>349668.81043228228</v>
      </c>
      <c r="H367" s="5">
        <f t="shared" si="4"/>
        <v>0</v>
      </c>
      <c r="I367" t="s">
        <v>150</v>
      </c>
      <c r="J367" t="s">
        <v>57</v>
      </c>
      <c r="K367" s="5">
        <f>64 / 86400</f>
        <v>7.407407407407407E-4</v>
      </c>
      <c r="L367" s="5">
        <f>20 / 86400</f>
        <v>2.3148148148148149E-4</v>
      </c>
    </row>
    <row r="368" spans="1:12" x14ac:dyDescent="0.25">
      <c r="A368" s="3">
        <v>45709.618379629625</v>
      </c>
      <c r="B368" t="s">
        <v>214</v>
      </c>
      <c r="C368" s="3">
        <v>45709.618842592594</v>
      </c>
      <c r="D368" t="s">
        <v>345</v>
      </c>
      <c r="E368" s="4">
        <v>0.14762492990493775</v>
      </c>
      <c r="F368" s="4">
        <v>349668.86773896037</v>
      </c>
      <c r="G368" s="4">
        <v>349669.01536389027</v>
      </c>
      <c r="H368" s="5">
        <f t="shared" si="4"/>
        <v>0</v>
      </c>
      <c r="I368" t="s">
        <v>66</v>
      </c>
      <c r="J368" t="s">
        <v>26</v>
      </c>
      <c r="K368" s="5">
        <f>40 / 86400</f>
        <v>4.6296296296296298E-4</v>
      </c>
      <c r="L368" s="5">
        <f>20 / 86400</f>
        <v>2.3148148148148149E-4</v>
      </c>
    </row>
    <row r="369" spans="1:12" x14ac:dyDescent="0.25">
      <c r="A369" s="3">
        <v>45709.619074074071</v>
      </c>
      <c r="B369" t="s">
        <v>345</v>
      </c>
      <c r="C369" s="3">
        <v>45709.619305555556</v>
      </c>
      <c r="D369" t="s">
        <v>345</v>
      </c>
      <c r="E369" s="4">
        <v>3.1742080807685855E-2</v>
      </c>
      <c r="F369" s="4">
        <v>349669.0304643063</v>
      </c>
      <c r="G369" s="4">
        <v>349669.06220638711</v>
      </c>
      <c r="H369" s="5">
        <f t="shared" si="4"/>
        <v>0</v>
      </c>
      <c r="I369" t="s">
        <v>59</v>
      </c>
      <c r="J369" t="s">
        <v>134</v>
      </c>
      <c r="K369" s="5">
        <f>20 / 86400</f>
        <v>2.3148148148148149E-4</v>
      </c>
      <c r="L369" s="5">
        <f>20 / 86400</f>
        <v>2.3148148148148149E-4</v>
      </c>
    </row>
    <row r="370" spans="1:12" x14ac:dyDescent="0.25">
      <c r="A370" s="3">
        <v>45709.619537037041</v>
      </c>
      <c r="B370" t="s">
        <v>346</v>
      </c>
      <c r="C370" s="3">
        <v>45709.619999999995</v>
      </c>
      <c r="D370" t="s">
        <v>346</v>
      </c>
      <c r="E370" s="4">
        <v>5.7829308927059175E-2</v>
      </c>
      <c r="F370" s="4">
        <v>349669.07043635269</v>
      </c>
      <c r="G370" s="4">
        <v>349669.12826566159</v>
      </c>
      <c r="H370" s="5">
        <f t="shared" si="4"/>
        <v>0</v>
      </c>
      <c r="I370" t="s">
        <v>125</v>
      </c>
      <c r="J370" t="s">
        <v>121</v>
      </c>
      <c r="K370" s="5">
        <f>40 / 86400</f>
        <v>4.6296296296296298E-4</v>
      </c>
      <c r="L370" s="5">
        <f>20 / 86400</f>
        <v>2.3148148148148149E-4</v>
      </c>
    </row>
    <row r="371" spans="1:12" x14ac:dyDescent="0.25">
      <c r="A371" s="3">
        <v>45709.62023148148</v>
      </c>
      <c r="B371" t="s">
        <v>345</v>
      </c>
      <c r="C371" s="3">
        <v>45709.620462962965</v>
      </c>
      <c r="D371" t="s">
        <v>214</v>
      </c>
      <c r="E371" s="4">
        <v>3.0638226211071016E-2</v>
      </c>
      <c r="F371" s="4">
        <v>349669.15645198291</v>
      </c>
      <c r="G371" s="4">
        <v>349669.1870902091</v>
      </c>
      <c r="H371" s="5">
        <f t="shared" si="4"/>
        <v>0</v>
      </c>
      <c r="I371" t="s">
        <v>125</v>
      </c>
      <c r="J371" t="s">
        <v>134</v>
      </c>
      <c r="K371" s="5">
        <f>20 / 86400</f>
        <v>2.3148148148148149E-4</v>
      </c>
      <c r="L371" s="5">
        <f>40 / 86400</f>
        <v>4.6296296296296298E-4</v>
      </c>
    </row>
    <row r="372" spans="1:12" x14ac:dyDescent="0.25">
      <c r="A372" s="3">
        <v>45709.620925925927</v>
      </c>
      <c r="B372" t="s">
        <v>214</v>
      </c>
      <c r="C372" s="3">
        <v>45709.621388888889</v>
      </c>
      <c r="D372" t="s">
        <v>214</v>
      </c>
      <c r="E372" s="4">
        <v>3.4250869691371914E-2</v>
      </c>
      <c r="F372" s="4">
        <v>349669.1985681178</v>
      </c>
      <c r="G372" s="4">
        <v>349669.23281898751</v>
      </c>
      <c r="H372" s="5">
        <f t="shared" si="4"/>
        <v>0</v>
      </c>
      <c r="I372" t="s">
        <v>47</v>
      </c>
      <c r="J372" t="s">
        <v>135</v>
      </c>
      <c r="K372" s="5">
        <f>40 / 86400</f>
        <v>4.6296296296296298E-4</v>
      </c>
      <c r="L372" s="5">
        <f>60 / 86400</f>
        <v>6.9444444444444447E-4</v>
      </c>
    </row>
    <row r="373" spans="1:12" x14ac:dyDescent="0.25">
      <c r="A373" s="3">
        <v>45709.622083333335</v>
      </c>
      <c r="B373" t="s">
        <v>215</v>
      </c>
      <c r="C373" s="3">
        <v>45709.622546296298</v>
      </c>
      <c r="D373" t="s">
        <v>214</v>
      </c>
      <c r="E373" s="4">
        <v>5.4858644723892215E-2</v>
      </c>
      <c r="F373" s="4">
        <v>349669.29234778229</v>
      </c>
      <c r="G373" s="4">
        <v>349669.34720642702</v>
      </c>
      <c r="H373" s="5">
        <f t="shared" si="4"/>
        <v>0</v>
      </c>
      <c r="I373" t="s">
        <v>60</v>
      </c>
      <c r="J373" t="s">
        <v>121</v>
      </c>
      <c r="K373" s="5">
        <f>40 / 86400</f>
        <v>4.6296296296296298E-4</v>
      </c>
      <c r="L373" s="5">
        <f>20 / 86400</f>
        <v>2.3148148148148149E-4</v>
      </c>
    </row>
    <row r="374" spans="1:12" x14ac:dyDescent="0.25">
      <c r="A374" s="3">
        <v>45709.622777777782</v>
      </c>
      <c r="B374" t="s">
        <v>214</v>
      </c>
      <c r="C374" s="3">
        <v>45709.623703703706</v>
      </c>
      <c r="D374" t="s">
        <v>214</v>
      </c>
      <c r="E374" s="4">
        <v>0.12955481171607972</v>
      </c>
      <c r="F374" s="4">
        <v>349669.35262460005</v>
      </c>
      <c r="G374" s="4">
        <v>349669.48217941175</v>
      </c>
      <c r="H374" s="5">
        <f t="shared" si="4"/>
        <v>0</v>
      </c>
      <c r="I374" t="s">
        <v>128</v>
      </c>
      <c r="J374" t="s">
        <v>134</v>
      </c>
      <c r="K374" s="5">
        <f>80 / 86400</f>
        <v>9.2592592592592596E-4</v>
      </c>
      <c r="L374" s="5">
        <f>20 / 86400</f>
        <v>2.3148148148148149E-4</v>
      </c>
    </row>
    <row r="375" spans="1:12" x14ac:dyDescent="0.25">
      <c r="A375" s="3">
        <v>45709.623935185184</v>
      </c>
      <c r="B375" t="s">
        <v>214</v>
      </c>
      <c r="C375" s="3">
        <v>45709.627129629633</v>
      </c>
      <c r="D375" t="s">
        <v>347</v>
      </c>
      <c r="E375" s="4">
        <v>2.034101394891739</v>
      </c>
      <c r="F375" s="4">
        <v>349669.48564360035</v>
      </c>
      <c r="G375" s="4">
        <v>349671.51974499522</v>
      </c>
      <c r="H375" s="5">
        <f t="shared" si="4"/>
        <v>0</v>
      </c>
      <c r="I375" t="s">
        <v>147</v>
      </c>
      <c r="J375" t="s">
        <v>150</v>
      </c>
      <c r="K375" s="5">
        <f>276 / 86400</f>
        <v>3.1944444444444446E-3</v>
      </c>
      <c r="L375" s="5">
        <f>2 / 86400</f>
        <v>2.3148148148148147E-5</v>
      </c>
    </row>
    <row r="376" spans="1:12" x14ac:dyDescent="0.25">
      <c r="A376" s="3">
        <v>45709.627152777779</v>
      </c>
      <c r="B376" t="s">
        <v>347</v>
      </c>
      <c r="C376" s="3">
        <v>45709.627847222218</v>
      </c>
      <c r="D376" t="s">
        <v>348</v>
      </c>
      <c r="E376" s="4">
        <v>0.43590878510475156</v>
      </c>
      <c r="F376" s="4">
        <v>349671.5224708608</v>
      </c>
      <c r="G376" s="4">
        <v>349671.95837964589</v>
      </c>
      <c r="H376" s="5">
        <f t="shared" si="4"/>
        <v>0</v>
      </c>
      <c r="I376" t="s">
        <v>175</v>
      </c>
      <c r="J376" t="s">
        <v>168</v>
      </c>
      <c r="K376" s="5">
        <f>60 / 86400</f>
        <v>6.9444444444444447E-4</v>
      </c>
      <c r="L376" s="5">
        <f>18 / 86400</f>
        <v>2.0833333333333335E-4</v>
      </c>
    </row>
    <row r="377" spans="1:12" x14ac:dyDescent="0.25">
      <c r="A377" s="3">
        <v>45709.628055555557</v>
      </c>
      <c r="B377" t="s">
        <v>348</v>
      </c>
      <c r="C377" s="3">
        <v>45709.630370370374</v>
      </c>
      <c r="D377" t="s">
        <v>349</v>
      </c>
      <c r="E377" s="4">
        <v>1.2392502168416977</v>
      </c>
      <c r="F377" s="4">
        <v>349671.96338517248</v>
      </c>
      <c r="G377" s="4">
        <v>349673.20263538935</v>
      </c>
      <c r="H377" s="5">
        <f t="shared" si="4"/>
        <v>0</v>
      </c>
      <c r="I377" t="s">
        <v>154</v>
      </c>
      <c r="J377" t="s">
        <v>143</v>
      </c>
      <c r="K377" s="5">
        <f>200 / 86400</f>
        <v>2.3148148148148147E-3</v>
      </c>
      <c r="L377" s="5">
        <f>20 / 86400</f>
        <v>2.3148148148148149E-4</v>
      </c>
    </row>
    <row r="378" spans="1:12" x14ac:dyDescent="0.25">
      <c r="A378" s="3">
        <v>45709.630601851852</v>
      </c>
      <c r="B378" t="s">
        <v>140</v>
      </c>
      <c r="C378" s="3">
        <v>45709.630833333329</v>
      </c>
      <c r="D378" t="s">
        <v>140</v>
      </c>
      <c r="E378" s="4">
        <v>2.1408951640129091E-2</v>
      </c>
      <c r="F378" s="4">
        <v>349673.32027882576</v>
      </c>
      <c r="G378" s="4">
        <v>349673.34168777743</v>
      </c>
      <c r="H378" s="5">
        <f t="shared" si="4"/>
        <v>0</v>
      </c>
      <c r="I378" t="s">
        <v>124</v>
      </c>
      <c r="J378" t="s">
        <v>30</v>
      </c>
      <c r="K378" s="5">
        <f>20 / 86400</f>
        <v>2.3148148148148149E-4</v>
      </c>
      <c r="L378" s="5">
        <f>20 / 86400</f>
        <v>2.3148148148148149E-4</v>
      </c>
    </row>
    <row r="379" spans="1:12" x14ac:dyDescent="0.25">
      <c r="A379" s="3">
        <v>45709.631064814814</v>
      </c>
      <c r="B379" t="s">
        <v>349</v>
      </c>
      <c r="C379" s="3">
        <v>45709.632199074069</v>
      </c>
      <c r="D379" t="s">
        <v>70</v>
      </c>
      <c r="E379" s="4">
        <v>0.60142397141456605</v>
      </c>
      <c r="F379" s="4">
        <v>349673.52610236948</v>
      </c>
      <c r="G379" s="4">
        <v>349674.12752634089</v>
      </c>
      <c r="H379" s="5">
        <f t="shared" si="4"/>
        <v>0</v>
      </c>
      <c r="I379" t="s">
        <v>162</v>
      </c>
      <c r="J379" t="s">
        <v>143</v>
      </c>
      <c r="K379" s="5">
        <f>98 / 86400</f>
        <v>1.1342592592592593E-3</v>
      </c>
      <c r="L379" s="5">
        <f>347 / 86400</f>
        <v>4.0162037037037041E-3</v>
      </c>
    </row>
    <row r="380" spans="1:12" x14ac:dyDescent="0.25">
      <c r="A380" s="3">
        <v>45709.636215277773</v>
      </c>
      <c r="B380" t="s">
        <v>70</v>
      </c>
      <c r="C380" s="3">
        <v>45709.636446759258</v>
      </c>
      <c r="D380" t="s">
        <v>70</v>
      </c>
      <c r="E380" s="4">
        <v>1.0133206069469452E-2</v>
      </c>
      <c r="F380" s="4">
        <v>349674.14028207294</v>
      </c>
      <c r="G380" s="4">
        <v>349674.15041527903</v>
      </c>
      <c r="H380" s="5">
        <f t="shared" si="4"/>
        <v>0</v>
      </c>
      <c r="I380" t="s">
        <v>47</v>
      </c>
      <c r="J380" t="s">
        <v>122</v>
      </c>
      <c r="K380" s="5">
        <f>20 / 86400</f>
        <v>2.3148148148148149E-4</v>
      </c>
      <c r="L380" s="5">
        <f>32 / 86400</f>
        <v>3.7037037037037035E-4</v>
      </c>
    </row>
    <row r="381" spans="1:12" x14ac:dyDescent="0.25">
      <c r="A381" s="3">
        <v>45709.636817129634</v>
      </c>
      <c r="B381" t="s">
        <v>140</v>
      </c>
      <c r="C381" s="3">
        <v>45709.637430555551</v>
      </c>
      <c r="D381" t="s">
        <v>350</v>
      </c>
      <c r="E381" s="4">
        <v>0.18393479663133622</v>
      </c>
      <c r="F381" s="4">
        <v>349674.15720995842</v>
      </c>
      <c r="G381" s="4">
        <v>349674.34114475508</v>
      </c>
      <c r="H381" s="5">
        <f t="shared" si="4"/>
        <v>0</v>
      </c>
      <c r="I381" t="s">
        <v>26</v>
      </c>
      <c r="J381" t="s">
        <v>55</v>
      </c>
      <c r="K381" s="5">
        <f>53 / 86400</f>
        <v>6.134259259259259E-4</v>
      </c>
      <c r="L381" s="5">
        <f>360 / 86400</f>
        <v>4.1666666666666666E-3</v>
      </c>
    </row>
    <row r="382" spans="1:12" x14ac:dyDescent="0.25">
      <c r="A382" s="3">
        <v>45709.641597222224</v>
      </c>
      <c r="B382" t="s">
        <v>350</v>
      </c>
      <c r="C382" s="3">
        <v>45709.644525462965</v>
      </c>
      <c r="D382" t="s">
        <v>126</v>
      </c>
      <c r="E382" s="4">
        <v>1.166329577744007</v>
      </c>
      <c r="F382" s="4">
        <v>349674.35146369232</v>
      </c>
      <c r="G382" s="4">
        <v>349675.51779327006</v>
      </c>
      <c r="H382" s="5">
        <f t="shared" si="4"/>
        <v>0</v>
      </c>
      <c r="I382" t="s">
        <v>87</v>
      </c>
      <c r="J382" t="s">
        <v>52</v>
      </c>
      <c r="K382" s="5">
        <f>253 / 86400</f>
        <v>2.9282407407407408E-3</v>
      </c>
      <c r="L382" s="5">
        <f>667 / 86400</f>
        <v>7.7199074074074071E-3</v>
      </c>
    </row>
    <row r="383" spans="1:12" x14ac:dyDescent="0.25">
      <c r="A383" s="3">
        <v>45709.652245370366</v>
      </c>
      <c r="B383" t="s">
        <v>126</v>
      </c>
      <c r="C383" s="3">
        <v>45709.653622685189</v>
      </c>
      <c r="D383" t="s">
        <v>149</v>
      </c>
      <c r="E383" s="4">
        <v>0.65112435990571971</v>
      </c>
      <c r="F383" s="4">
        <v>349675.55719679873</v>
      </c>
      <c r="G383" s="4">
        <v>349676.20832115866</v>
      </c>
      <c r="H383" s="5">
        <f t="shared" si="4"/>
        <v>0</v>
      </c>
      <c r="I383" t="s">
        <v>247</v>
      </c>
      <c r="J383" t="s">
        <v>33</v>
      </c>
      <c r="K383" s="5">
        <f>119 / 86400</f>
        <v>1.3773148148148147E-3</v>
      </c>
      <c r="L383" s="5">
        <f>365 / 86400</f>
        <v>4.2245370370370371E-3</v>
      </c>
    </row>
    <row r="384" spans="1:12" x14ac:dyDescent="0.25">
      <c r="A384" s="3">
        <v>45709.657847222217</v>
      </c>
      <c r="B384" t="s">
        <v>151</v>
      </c>
      <c r="C384" s="3">
        <v>45709.658078703702</v>
      </c>
      <c r="D384" t="s">
        <v>351</v>
      </c>
      <c r="E384" s="4">
        <v>8.1710695624351501E-3</v>
      </c>
      <c r="F384" s="4">
        <v>349676.27857759292</v>
      </c>
      <c r="G384" s="4">
        <v>349676.28674866247</v>
      </c>
      <c r="H384" s="5">
        <f t="shared" si="4"/>
        <v>0</v>
      </c>
      <c r="I384" t="s">
        <v>134</v>
      </c>
      <c r="J384" t="s">
        <v>47</v>
      </c>
      <c r="K384" s="5">
        <f>20 / 86400</f>
        <v>2.3148148148148149E-4</v>
      </c>
      <c r="L384" s="5">
        <f>558 / 86400</f>
        <v>6.4583333333333333E-3</v>
      </c>
    </row>
    <row r="385" spans="1:12" x14ac:dyDescent="0.25">
      <c r="A385" s="3">
        <v>45709.664537037039</v>
      </c>
      <c r="B385" t="s">
        <v>151</v>
      </c>
      <c r="C385" s="3">
        <v>45709.664768518516</v>
      </c>
      <c r="D385" t="s">
        <v>151</v>
      </c>
      <c r="E385" s="4">
        <v>1.9732367992401122E-3</v>
      </c>
      <c r="F385" s="4">
        <v>349676.32759778458</v>
      </c>
      <c r="G385" s="4">
        <v>349676.32957102137</v>
      </c>
      <c r="H385" s="5">
        <f t="shared" si="4"/>
        <v>0</v>
      </c>
      <c r="I385" t="s">
        <v>122</v>
      </c>
      <c r="J385" t="s">
        <v>48</v>
      </c>
      <c r="K385" s="5">
        <f>20 / 86400</f>
        <v>2.3148148148148149E-4</v>
      </c>
      <c r="L385" s="5">
        <f>580 / 86400</f>
        <v>6.7129629629629631E-3</v>
      </c>
    </row>
    <row r="386" spans="1:12" x14ac:dyDescent="0.25">
      <c r="A386" s="3">
        <v>45709.671481481477</v>
      </c>
      <c r="B386" t="s">
        <v>151</v>
      </c>
      <c r="C386" s="3">
        <v>45709.672916666663</v>
      </c>
      <c r="D386" t="s">
        <v>352</v>
      </c>
      <c r="E386" s="4">
        <v>0.70284098273515705</v>
      </c>
      <c r="F386" s="4">
        <v>349676.40517285041</v>
      </c>
      <c r="G386" s="4">
        <v>349677.10801383317</v>
      </c>
      <c r="H386" s="5">
        <f t="shared" si="4"/>
        <v>0</v>
      </c>
      <c r="I386" t="s">
        <v>87</v>
      </c>
      <c r="J386" t="s">
        <v>33</v>
      </c>
      <c r="K386" s="5">
        <f>124 / 86400</f>
        <v>1.4351851851851852E-3</v>
      </c>
      <c r="L386" s="5">
        <f>20 / 86400</f>
        <v>2.3148148148148149E-4</v>
      </c>
    </row>
    <row r="387" spans="1:12" x14ac:dyDescent="0.25">
      <c r="A387" s="3">
        <v>45709.673148148147</v>
      </c>
      <c r="B387" t="s">
        <v>352</v>
      </c>
      <c r="C387" s="3">
        <v>45709.673379629632</v>
      </c>
      <c r="D387" t="s">
        <v>352</v>
      </c>
      <c r="E387" s="4">
        <v>7.7123434603214261E-2</v>
      </c>
      <c r="F387" s="4">
        <v>349677.11510453571</v>
      </c>
      <c r="G387" s="4">
        <v>349677.19222797028</v>
      </c>
      <c r="H387" s="5">
        <f t="shared" si="4"/>
        <v>0</v>
      </c>
      <c r="I387" t="s">
        <v>88</v>
      </c>
      <c r="J387" t="s">
        <v>57</v>
      </c>
      <c r="K387" s="5">
        <f>20 / 86400</f>
        <v>2.3148148148148149E-4</v>
      </c>
      <c r="L387" s="5">
        <f>20 / 86400</f>
        <v>2.3148148148148149E-4</v>
      </c>
    </row>
    <row r="388" spans="1:12" x14ac:dyDescent="0.25">
      <c r="A388" s="3">
        <v>45709.673611111109</v>
      </c>
      <c r="B388" t="s">
        <v>353</v>
      </c>
      <c r="C388" s="3">
        <v>45709.67569444445</v>
      </c>
      <c r="D388" t="s">
        <v>354</v>
      </c>
      <c r="E388" s="4">
        <v>1.1536884089708328</v>
      </c>
      <c r="F388" s="4">
        <v>349677.27819803415</v>
      </c>
      <c r="G388" s="4">
        <v>349678.43188644311</v>
      </c>
      <c r="H388" s="5">
        <f t="shared" si="4"/>
        <v>0</v>
      </c>
      <c r="I388" t="s">
        <v>175</v>
      </c>
      <c r="J388" t="s">
        <v>124</v>
      </c>
      <c r="K388" s="5">
        <f>180 / 86400</f>
        <v>2.0833333333333333E-3</v>
      </c>
      <c r="L388" s="5">
        <f>20 / 86400</f>
        <v>2.3148148148148149E-4</v>
      </c>
    </row>
    <row r="389" spans="1:12" x14ac:dyDescent="0.25">
      <c r="A389" s="3">
        <v>45709.675925925927</v>
      </c>
      <c r="B389" t="s">
        <v>347</v>
      </c>
      <c r="C389" s="3">
        <v>45709.678703703699</v>
      </c>
      <c r="D389" t="s">
        <v>114</v>
      </c>
      <c r="E389" s="4">
        <v>1.7151598590612411</v>
      </c>
      <c r="F389" s="4">
        <v>349678.46508012316</v>
      </c>
      <c r="G389" s="4">
        <v>349680.18023998226</v>
      </c>
      <c r="H389" s="5">
        <f t="shared" si="4"/>
        <v>0</v>
      </c>
      <c r="I389" t="s">
        <v>162</v>
      </c>
      <c r="J389" t="s">
        <v>168</v>
      </c>
      <c r="K389" s="5">
        <f>240 / 86400</f>
        <v>2.7777777777777779E-3</v>
      </c>
      <c r="L389" s="5">
        <f>20 / 86400</f>
        <v>2.3148148148148149E-4</v>
      </c>
    </row>
    <row r="390" spans="1:12" x14ac:dyDescent="0.25">
      <c r="A390" s="3">
        <v>45709.678935185184</v>
      </c>
      <c r="B390" t="s">
        <v>114</v>
      </c>
      <c r="C390" s="3">
        <v>45709.679398148146</v>
      </c>
      <c r="D390" t="s">
        <v>114</v>
      </c>
      <c r="E390" s="4">
        <v>9.4886710047721867E-3</v>
      </c>
      <c r="F390" s="4">
        <v>349680.23901933443</v>
      </c>
      <c r="G390" s="4">
        <v>349680.24850800546</v>
      </c>
      <c r="H390" s="5">
        <f t="shared" si="4"/>
        <v>0</v>
      </c>
      <c r="I390" t="s">
        <v>88</v>
      </c>
      <c r="J390" t="s">
        <v>47</v>
      </c>
      <c r="K390" s="5">
        <f>40 / 86400</f>
        <v>4.6296296296296298E-4</v>
      </c>
      <c r="L390" s="5">
        <f>24 / 86400</f>
        <v>2.7777777777777778E-4</v>
      </c>
    </row>
    <row r="391" spans="1:12" x14ac:dyDescent="0.25">
      <c r="A391" s="3">
        <v>45709.67967592593</v>
      </c>
      <c r="B391" t="s">
        <v>114</v>
      </c>
      <c r="C391" s="3">
        <v>45709.681168981479</v>
      </c>
      <c r="D391" t="s">
        <v>355</v>
      </c>
      <c r="E391" s="4">
        <v>0.42847249794006348</v>
      </c>
      <c r="F391" s="4">
        <v>349680.25559445063</v>
      </c>
      <c r="G391" s="4">
        <v>349680.6840669486</v>
      </c>
      <c r="H391" s="5">
        <f t="shared" si="4"/>
        <v>0</v>
      </c>
      <c r="I391" t="s">
        <v>52</v>
      </c>
      <c r="J391" t="s">
        <v>55</v>
      </c>
      <c r="K391" s="5">
        <f>129 / 86400</f>
        <v>1.4930555555555556E-3</v>
      </c>
      <c r="L391" s="5">
        <f>20 / 86400</f>
        <v>2.3148148148148149E-4</v>
      </c>
    </row>
    <row r="392" spans="1:12" x14ac:dyDescent="0.25">
      <c r="A392" s="3">
        <v>45709.681400462963</v>
      </c>
      <c r="B392" t="s">
        <v>355</v>
      </c>
      <c r="C392" s="3">
        <v>45709.682326388887</v>
      </c>
      <c r="D392" t="s">
        <v>223</v>
      </c>
      <c r="E392" s="4">
        <v>0.24655808365345</v>
      </c>
      <c r="F392" s="4">
        <v>349680.74709925568</v>
      </c>
      <c r="G392" s="4">
        <v>349680.99365733931</v>
      </c>
      <c r="H392" s="5">
        <f t="shared" si="4"/>
        <v>0</v>
      </c>
      <c r="I392" t="s">
        <v>66</v>
      </c>
      <c r="J392" t="s">
        <v>128</v>
      </c>
      <c r="K392" s="5">
        <f>80 / 86400</f>
        <v>9.2592592592592596E-4</v>
      </c>
      <c r="L392" s="5">
        <f>20 / 86400</f>
        <v>2.3148148148148149E-4</v>
      </c>
    </row>
    <row r="393" spans="1:12" x14ac:dyDescent="0.25">
      <c r="A393" s="3">
        <v>45709.682557870372</v>
      </c>
      <c r="B393" t="s">
        <v>223</v>
      </c>
      <c r="C393" s="3">
        <v>45709.683275462958</v>
      </c>
      <c r="D393" t="s">
        <v>356</v>
      </c>
      <c r="E393" s="4">
        <v>0.22623419904708864</v>
      </c>
      <c r="F393" s="4">
        <v>349681.03029146831</v>
      </c>
      <c r="G393" s="4">
        <v>349681.25652566738</v>
      </c>
      <c r="H393" s="5">
        <f t="shared" si="4"/>
        <v>0</v>
      </c>
      <c r="I393" t="s">
        <v>33</v>
      </c>
      <c r="J393" t="s">
        <v>26</v>
      </c>
      <c r="K393" s="5">
        <f>62 / 86400</f>
        <v>7.1759259259259259E-4</v>
      </c>
      <c r="L393" s="5">
        <f>251 / 86400</f>
        <v>2.9050925925925928E-3</v>
      </c>
    </row>
    <row r="394" spans="1:12" x14ac:dyDescent="0.25">
      <c r="A394" s="3">
        <v>45709.686180555553</v>
      </c>
      <c r="B394" t="s">
        <v>357</v>
      </c>
      <c r="C394" s="3">
        <v>45709.686643518522</v>
      </c>
      <c r="D394" t="s">
        <v>357</v>
      </c>
      <c r="E394" s="4">
        <v>5.402653992176056E-3</v>
      </c>
      <c r="F394" s="4">
        <v>349681.29288935033</v>
      </c>
      <c r="G394" s="4">
        <v>349681.29829200433</v>
      </c>
      <c r="H394" s="5">
        <f t="shared" si="4"/>
        <v>0</v>
      </c>
      <c r="I394" t="s">
        <v>30</v>
      </c>
      <c r="J394" t="s">
        <v>48</v>
      </c>
      <c r="K394" s="5">
        <f>40 / 86400</f>
        <v>4.6296296296296298E-4</v>
      </c>
      <c r="L394" s="5">
        <f>60 / 86400</f>
        <v>6.9444444444444447E-4</v>
      </c>
    </row>
    <row r="395" spans="1:12" x14ac:dyDescent="0.25">
      <c r="A395" s="3">
        <v>45709.687337962961</v>
      </c>
      <c r="B395" t="s">
        <v>357</v>
      </c>
      <c r="C395" s="3">
        <v>45709.687569444446</v>
      </c>
      <c r="D395" t="s">
        <v>357</v>
      </c>
      <c r="E395" s="4">
        <v>2.9476966857910156E-3</v>
      </c>
      <c r="F395" s="4">
        <v>349681.30550033698</v>
      </c>
      <c r="G395" s="4">
        <v>349681.3084480337</v>
      </c>
      <c r="H395" s="5">
        <f t="shared" si="4"/>
        <v>0</v>
      </c>
      <c r="I395" t="s">
        <v>47</v>
      </c>
      <c r="J395" t="s">
        <v>47</v>
      </c>
      <c r="K395" s="5">
        <f>20 / 86400</f>
        <v>2.3148148148148149E-4</v>
      </c>
      <c r="L395" s="5">
        <f>20 / 86400</f>
        <v>2.3148148148148149E-4</v>
      </c>
    </row>
    <row r="396" spans="1:12" x14ac:dyDescent="0.25">
      <c r="A396" s="3">
        <v>45709.687800925924</v>
      </c>
      <c r="B396" t="s">
        <v>357</v>
      </c>
      <c r="C396" s="3">
        <v>45709.688263888893</v>
      </c>
      <c r="D396" t="s">
        <v>357</v>
      </c>
      <c r="E396" s="4">
        <v>9.6091636419296262E-3</v>
      </c>
      <c r="F396" s="4">
        <v>349681.31080087041</v>
      </c>
      <c r="G396" s="4">
        <v>349681.32041003404</v>
      </c>
      <c r="H396" s="5">
        <f t="shared" si="4"/>
        <v>0</v>
      </c>
      <c r="I396" t="s">
        <v>47</v>
      </c>
      <c r="J396" t="s">
        <v>47</v>
      </c>
      <c r="K396" s="5">
        <f>40 / 86400</f>
        <v>4.6296296296296298E-4</v>
      </c>
      <c r="L396" s="5">
        <f>14 / 86400</f>
        <v>1.6203703703703703E-4</v>
      </c>
    </row>
    <row r="397" spans="1:12" x14ac:dyDescent="0.25">
      <c r="A397" s="3">
        <v>45709.688425925924</v>
      </c>
      <c r="B397" t="s">
        <v>357</v>
      </c>
      <c r="C397" s="3">
        <v>45709.688981481479</v>
      </c>
      <c r="D397" t="s">
        <v>213</v>
      </c>
      <c r="E397" s="4">
        <v>0.2277984243631363</v>
      </c>
      <c r="F397" s="4">
        <v>349681.33367018017</v>
      </c>
      <c r="G397" s="4">
        <v>349681.56146860454</v>
      </c>
      <c r="H397" s="5">
        <f t="shared" si="4"/>
        <v>0</v>
      </c>
      <c r="I397" t="s">
        <v>91</v>
      </c>
      <c r="J397" t="s">
        <v>52</v>
      </c>
      <c r="K397" s="5">
        <f>48 / 86400</f>
        <v>5.5555555555555556E-4</v>
      </c>
      <c r="L397" s="5">
        <f>20 / 86400</f>
        <v>2.3148148148148149E-4</v>
      </c>
    </row>
    <row r="398" spans="1:12" x14ac:dyDescent="0.25">
      <c r="A398" s="3">
        <v>45709.689212962963</v>
      </c>
      <c r="B398" t="s">
        <v>227</v>
      </c>
      <c r="C398" s="3">
        <v>45709.691377314812</v>
      </c>
      <c r="D398" t="s">
        <v>214</v>
      </c>
      <c r="E398" s="4">
        <v>1.2267821462750435</v>
      </c>
      <c r="F398" s="4">
        <v>349681.67027004639</v>
      </c>
      <c r="G398" s="4">
        <v>349682.89705219271</v>
      </c>
      <c r="H398" s="5">
        <f t="shared" si="4"/>
        <v>0</v>
      </c>
      <c r="I398" t="s">
        <v>162</v>
      </c>
      <c r="J398" t="s">
        <v>127</v>
      </c>
      <c r="K398" s="5">
        <f>187 / 86400</f>
        <v>2.1643518518518518E-3</v>
      </c>
      <c r="L398" s="5">
        <f>32 / 86400</f>
        <v>3.7037037037037035E-4</v>
      </c>
    </row>
    <row r="399" spans="1:12" x14ac:dyDescent="0.25">
      <c r="A399" s="3">
        <v>45709.691747685181</v>
      </c>
      <c r="B399" t="s">
        <v>214</v>
      </c>
      <c r="C399" s="3">
        <v>45709.692395833335</v>
      </c>
      <c r="D399" t="s">
        <v>358</v>
      </c>
      <c r="E399" s="4">
        <v>0.7874733528494835</v>
      </c>
      <c r="F399" s="4">
        <v>349682.95607175602</v>
      </c>
      <c r="G399" s="4">
        <v>349683.74354510888</v>
      </c>
      <c r="H399" s="5">
        <f t="shared" si="4"/>
        <v>0</v>
      </c>
      <c r="I399" t="s">
        <v>130</v>
      </c>
      <c r="J399" t="s">
        <v>181</v>
      </c>
      <c r="K399" s="5">
        <f>56 / 86400</f>
        <v>6.4814814814814813E-4</v>
      </c>
      <c r="L399" s="5">
        <f>20 / 86400</f>
        <v>2.3148148148148149E-4</v>
      </c>
    </row>
    <row r="400" spans="1:12" x14ac:dyDescent="0.25">
      <c r="A400" s="3">
        <v>45709.692627314813</v>
      </c>
      <c r="B400" t="s">
        <v>358</v>
      </c>
      <c r="C400" s="3">
        <v>45709.693090277782</v>
      </c>
      <c r="D400" t="s">
        <v>359</v>
      </c>
      <c r="E400" s="4">
        <v>0.48097263890504838</v>
      </c>
      <c r="F400" s="4">
        <v>349683.92276405607</v>
      </c>
      <c r="G400" s="4">
        <v>349684.40373669501</v>
      </c>
      <c r="H400" s="5">
        <f t="shared" si="4"/>
        <v>0</v>
      </c>
      <c r="I400" t="s">
        <v>234</v>
      </c>
      <c r="J400" t="s">
        <v>212</v>
      </c>
      <c r="K400" s="5">
        <f>40 / 86400</f>
        <v>4.6296296296296298E-4</v>
      </c>
      <c r="L400" s="5">
        <f>40 / 86400</f>
        <v>4.6296296296296298E-4</v>
      </c>
    </row>
    <row r="401" spans="1:12" x14ac:dyDescent="0.25">
      <c r="A401" s="3">
        <v>45709.693553240737</v>
      </c>
      <c r="B401" t="s">
        <v>358</v>
      </c>
      <c r="C401" s="3">
        <v>45709.698518518519</v>
      </c>
      <c r="D401" t="s">
        <v>207</v>
      </c>
      <c r="E401" s="4">
        <v>4.9882039503455164</v>
      </c>
      <c r="F401" s="4">
        <v>349684.55622771132</v>
      </c>
      <c r="G401" s="4">
        <v>349689.54443166166</v>
      </c>
      <c r="H401" s="5">
        <f t="shared" si="4"/>
        <v>0</v>
      </c>
      <c r="I401" t="s">
        <v>93</v>
      </c>
      <c r="J401" t="s">
        <v>204</v>
      </c>
      <c r="K401" s="5">
        <f>429 / 86400</f>
        <v>4.9652777777777777E-3</v>
      </c>
      <c r="L401" s="5">
        <f>40 / 86400</f>
        <v>4.6296296296296298E-4</v>
      </c>
    </row>
    <row r="402" spans="1:12" x14ac:dyDescent="0.25">
      <c r="A402" s="3">
        <v>45709.698981481481</v>
      </c>
      <c r="B402" t="s">
        <v>207</v>
      </c>
      <c r="C402" s="3">
        <v>45709.70376157407</v>
      </c>
      <c r="D402" t="s">
        <v>137</v>
      </c>
      <c r="E402" s="4">
        <v>5.1046629222631452</v>
      </c>
      <c r="F402" s="4">
        <v>349689.69933749438</v>
      </c>
      <c r="G402" s="4">
        <v>349694.80400041665</v>
      </c>
      <c r="H402" s="5">
        <f t="shared" si="4"/>
        <v>0</v>
      </c>
      <c r="I402" t="s">
        <v>68</v>
      </c>
      <c r="J402" t="s">
        <v>120</v>
      </c>
      <c r="K402" s="5">
        <f>413 / 86400</f>
        <v>4.7800925925925927E-3</v>
      </c>
      <c r="L402" s="5">
        <f>20 / 86400</f>
        <v>2.3148148148148149E-4</v>
      </c>
    </row>
    <row r="403" spans="1:12" x14ac:dyDescent="0.25">
      <c r="A403" s="3">
        <v>45709.703993055555</v>
      </c>
      <c r="B403" t="s">
        <v>137</v>
      </c>
      <c r="C403" s="3">
        <v>45709.704687500001</v>
      </c>
      <c r="D403" t="s">
        <v>137</v>
      </c>
      <c r="E403" s="4">
        <v>0.66626345837116241</v>
      </c>
      <c r="F403" s="4">
        <v>349694.86108085274</v>
      </c>
      <c r="G403" s="4">
        <v>349695.52734431112</v>
      </c>
      <c r="H403" s="5">
        <f t="shared" si="4"/>
        <v>0</v>
      </c>
      <c r="I403" t="s">
        <v>165</v>
      </c>
      <c r="J403" t="s">
        <v>230</v>
      </c>
      <c r="K403" s="5">
        <f>60 / 86400</f>
        <v>6.9444444444444447E-4</v>
      </c>
      <c r="L403" s="5">
        <f>20 / 86400</f>
        <v>2.3148148148148149E-4</v>
      </c>
    </row>
    <row r="404" spans="1:12" x14ac:dyDescent="0.25">
      <c r="A404" s="3">
        <v>45709.704918981486</v>
      </c>
      <c r="B404" t="s">
        <v>137</v>
      </c>
      <c r="C404" s="3">
        <v>45709.705613425926</v>
      </c>
      <c r="D404" t="s">
        <v>170</v>
      </c>
      <c r="E404" s="4">
        <v>0.48578271198272704</v>
      </c>
      <c r="F404" s="4">
        <v>349695.56385285576</v>
      </c>
      <c r="G404" s="4">
        <v>349696.0496355677</v>
      </c>
      <c r="H404" s="5">
        <f t="shared" si="4"/>
        <v>0</v>
      </c>
      <c r="I404" t="s">
        <v>228</v>
      </c>
      <c r="J404" t="s">
        <v>171</v>
      </c>
      <c r="K404" s="5">
        <f>60 / 86400</f>
        <v>6.9444444444444447E-4</v>
      </c>
      <c r="L404" s="5">
        <f>20 / 86400</f>
        <v>2.3148148148148149E-4</v>
      </c>
    </row>
    <row r="405" spans="1:12" x14ac:dyDescent="0.25">
      <c r="A405" s="3">
        <v>45709.70584490741</v>
      </c>
      <c r="B405" t="s">
        <v>199</v>
      </c>
      <c r="C405" s="3">
        <v>45709.706076388888</v>
      </c>
      <c r="D405" t="s">
        <v>199</v>
      </c>
      <c r="E405" s="4">
        <v>9.3096689581871027E-3</v>
      </c>
      <c r="F405" s="4">
        <v>349696.10675112664</v>
      </c>
      <c r="G405" s="4">
        <v>349696.11606079561</v>
      </c>
      <c r="H405" s="5">
        <f t="shared" si="4"/>
        <v>0</v>
      </c>
      <c r="I405" t="s">
        <v>88</v>
      </c>
      <c r="J405" t="s">
        <v>122</v>
      </c>
      <c r="K405" s="5">
        <f>20 / 86400</f>
        <v>2.3148148148148149E-4</v>
      </c>
      <c r="L405" s="5">
        <f>80 / 86400</f>
        <v>9.2592592592592596E-4</v>
      </c>
    </row>
    <row r="406" spans="1:12" x14ac:dyDescent="0.25">
      <c r="A406" s="3">
        <v>45709.707002314812</v>
      </c>
      <c r="B406" t="s">
        <v>199</v>
      </c>
      <c r="C406" s="3">
        <v>45709.709548611107</v>
      </c>
      <c r="D406" t="s">
        <v>197</v>
      </c>
      <c r="E406" s="4">
        <v>1.9394823829531669</v>
      </c>
      <c r="F406" s="4">
        <v>349696.14734101639</v>
      </c>
      <c r="G406" s="4">
        <v>349698.08682339935</v>
      </c>
      <c r="H406" s="5">
        <f t="shared" si="4"/>
        <v>0</v>
      </c>
      <c r="I406" t="s">
        <v>200</v>
      </c>
      <c r="J406" t="s">
        <v>87</v>
      </c>
      <c r="K406" s="5">
        <f>220 / 86400</f>
        <v>2.5462962962962965E-3</v>
      </c>
      <c r="L406" s="5">
        <f>20 / 86400</f>
        <v>2.3148148148148149E-4</v>
      </c>
    </row>
    <row r="407" spans="1:12" x14ac:dyDescent="0.25">
      <c r="A407" s="3">
        <v>45709.709780092591</v>
      </c>
      <c r="B407" t="s">
        <v>197</v>
      </c>
      <c r="C407" s="3">
        <v>45709.710011574076</v>
      </c>
      <c r="D407" t="s">
        <v>197</v>
      </c>
      <c r="E407" s="4">
        <v>2.889050829410553E-2</v>
      </c>
      <c r="F407" s="4">
        <v>349698.09675407596</v>
      </c>
      <c r="G407" s="4">
        <v>349698.12564458424</v>
      </c>
      <c r="H407" s="5">
        <f t="shared" si="4"/>
        <v>0</v>
      </c>
      <c r="I407" t="s">
        <v>41</v>
      </c>
      <c r="J407" t="s">
        <v>121</v>
      </c>
      <c r="K407" s="5">
        <f>20 / 86400</f>
        <v>2.3148148148148149E-4</v>
      </c>
      <c r="L407" s="5">
        <f>20 / 86400</f>
        <v>2.3148148148148149E-4</v>
      </c>
    </row>
    <row r="408" spans="1:12" x14ac:dyDescent="0.25">
      <c r="A408" s="3">
        <v>45709.710243055553</v>
      </c>
      <c r="B408" t="s">
        <v>197</v>
      </c>
      <c r="C408" s="3">
        <v>45709.710706018523</v>
      </c>
      <c r="D408" t="s">
        <v>194</v>
      </c>
      <c r="E408" s="4">
        <v>0.42264870363473894</v>
      </c>
      <c r="F408" s="4">
        <v>349698.23727623303</v>
      </c>
      <c r="G408" s="4">
        <v>349698.65992493666</v>
      </c>
      <c r="H408" s="5">
        <f t="shared" si="4"/>
        <v>0</v>
      </c>
      <c r="I408" t="s">
        <v>54</v>
      </c>
      <c r="J408" t="s">
        <v>235</v>
      </c>
      <c r="K408" s="5">
        <f>40 / 86400</f>
        <v>4.6296296296296298E-4</v>
      </c>
      <c r="L408" s="5">
        <f>20 / 86400</f>
        <v>2.3148148148148149E-4</v>
      </c>
    </row>
    <row r="409" spans="1:12" x14ac:dyDescent="0.25">
      <c r="A409" s="3">
        <v>45709.7109375</v>
      </c>
      <c r="B409" t="s">
        <v>197</v>
      </c>
      <c r="C409" s="3">
        <v>45709.711863425924</v>
      </c>
      <c r="D409" t="s">
        <v>197</v>
      </c>
      <c r="E409" s="4">
        <v>0.54950439447164534</v>
      </c>
      <c r="F409" s="4">
        <v>349698.7556780724</v>
      </c>
      <c r="G409" s="4">
        <v>349699.30518246687</v>
      </c>
      <c r="H409" s="5">
        <f t="shared" si="4"/>
        <v>0</v>
      </c>
      <c r="I409" t="s">
        <v>156</v>
      </c>
      <c r="J409" t="s">
        <v>66</v>
      </c>
      <c r="K409" s="5">
        <f>80 / 86400</f>
        <v>9.2592592592592596E-4</v>
      </c>
      <c r="L409" s="5">
        <f>60 / 86400</f>
        <v>6.9444444444444447E-4</v>
      </c>
    </row>
    <row r="410" spans="1:12" x14ac:dyDescent="0.25">
      <c r="A410" s="3">
        <v>45709.712557870371</v>
      </c>
      <c r="B410" t="s">
        <v>197</v>
      </c>
      <c r="C410" s="3">
        <v>45709.713252314818</v>
      </c>
      <c r="D410" t="s">
        <v>197</v>
      </c>
      <c r="E410" s="4">
        <v>5.240604496002197E-2</v>
      </c>
      <c r="F410" s="4">
        <v>349699.35275066301</v>
      </c>
      <c r="G410" s="4">
        <v>349699.40515670792</v>
      </c>
      <c r="H410" s="5">
        <f t="shared" si="4"/>
        <v>0</v>
      </c>
      <c r="I410" t="s">
        <v>59</v>
      </c>
      <c r="J410" t="s">
        <v>135</v>
      </c>
      <c r="K410" s="5">
        <f>60 / 86400</f>
        <v>6.9444444444444447E-4</v>
      </c>
      <c r="L410" s="5">
        <f t="shared" ref="L410:L415" si="5">20 / 86400</f>
        <v>2.3148148148148149E-4</v>
      </c>
    </row>
    <row r="411" spans="1:12" x14ac:dyDescent="0.25">
      <c r="A411" s="3">
        <v>45709.713483796295</v>
      </c>
      <c r="B411" t="s">
        <v>360</v>
      </c>
      <c r="C411" s="3">
        <v>45709.71371527778</v>
      </c>
      <c r="D411" t="s">
        <v>197</v>
      </c>
      <c r="E411" s="4">
        <v>2.8034223556518554E-2</v>
      </c>
      <c r="F411" s="4">
        <v>349699.42476609757</v>
      </c>
      <c r="G411" s="4">
        <v>349699.4528003211</v>
      </c>
      <c r="H411" s="5">
        <f t="shared" si="4"/>
        <v>0</v>
      </c>
      <c r="I411" t="s">
        <v>122</v>
      </c>
      <c r="J411" t="s">
        <v>121</v>
      </c>
      <c r="K411" s="5">
        <f>20 / 86400</f>
        <v>2.3148148148148149E-4</v>
      </c>
      <c r="L411" s="5">
        <f t="shared" si="5"/>
        <v>2.3148148148148149E-4</v>
      </c>
    </row>
    <row r="412" spans="1:12" x14ac:dyDescent="0.25">
      <c r="A412" s="3">
        <v>45709.713946759264</v>
      </c>
      <c r="B412" t="s">
        <v>197</v>
      </c>
      <c r="C412" s="3">
        <v>45709.714178240742</v>
      </c>
      <c r="D412" t="s">
        <v>197</v>
      </c>
      <c r="E412" s="4">
        <v>1.287943422794342E-3</v>
      </c>
      <c r="F412" s="4">
        <v>349699.45780479314</v>
      </c>
      <c r="G412" s="4">
        <v>349699.45909273654</v>
      </c>
      <c r="H412" s="5">
        <f t="shared" si="4"/>
        <v>0</v>
      </c>
      <c r="I412" t="s">
        <v>30</v>
      </c>
      <c r="J412" t="s">
        <v>48</v>
      </c>
      <c r="K412" s="5">
        <f>20 / 86400</f>
        <v>2.3148148148148149E-4</v>
      </c>
      <c r="L412" s="5">
        <f t="shared" si="5"/>
        <v>2.3148148148148149E-4</v>
      </c>
    </row>
    <row r="413" spans="1:12" x14ac:dyDescent="0.25">
      <c r="A413" s="3">
        <v>45709.714409722219</v>
      </c>
      <c r="B413" t="s">
        <v>197</v>
      </c>
      <c r="C413" s="3">
        <v>45709.718807870369</v>
      </c>
      <c r="D413" t="s">
        <v>75</v>
      </c>
      <c r="E413" s="4">
        <v>4.0516019396781919</v>
      </c>
      <c r="F413" s="4">
        <v>349699.46628932684</v>
      </c>
      <c r="G413" s="4">
        <v>349703.5178912665</v>
      </c>
      <c r="H413" s="5">
        <f t="shared" ref="H413:H476" si="6">0 / 86400</f>
        <v>0</v>
      </c>
      <c r="I413" t="s">
        <v>73</v>
      </c>
      <c r="J413" t="s">
        <v>235</v>
      </c>
      <c r="K413" s="5">
        <f>380 / 86400</f>
        <v>4.3981481481481484E-3</v>
      </c>
      <c r="L413" s="5">
        <f t="shared" si="5"/>
        <v>2.3148148148148149E-4</v>
      </c>
    </row>
    <row r="414" spans="1:12" x14ac:dyDescent="0.25">
      <c r="A414" s="3">
        <v>45709.719039351854</v>
      </c>
      <c r="B414" t="s">
        <v>75</v>
      </c>
      <c r="C414" s="3">
        <v>45709.719270833331</v>
      </c>
      <c r="D414" t="s">
        <v>75</v>
      </c>
      <c r="E414" s="4">
        <v>5.6513543248176576E-2</v>
      </c>
      <c r="F414" s="4">
        <v>349703.57966959779</v>
      </c>
      <c r="G414" s="4">
        <v>349703.63618314103</v>
      </c>
      <c r="H414" s="5">
        <f t="shared" si="6"/>
        <v>0</v>
      </c>
      <c r="I414" t="s">
        <v>143</v>
      </c>
      <c r="J414" t="s">
        <v>60</v>
      </c>
      <c r="K414" s="5">
        <f>20 / 86400</f>
        <v>2.3148148148148149E-4</v>
      </c>
      <c r="L414" s="5">
        <f t="shared" si="5"/>
        <v>2.3148148148148149E-4</v>
      </c>
    </row>
    <row r="415" spans="1:12" x14ac:dyDescent="0.25">
      <c r="A415" s="3">
        <v>45709.719502314816</v>
      </c>
      <c r="B415" t="s">
        <v>75</v>
      </c>
      <c r="C415" s="3">
        <v>45709.720162037032</v>
      </c>
      <c r="D415" t="s">
        <v>75</v>
      </c>
      <c r="E415" s="4">
        <v>0.12677612739801408</v>
      </c>
      <c r="F415" s="4">
        <v>349703.63930499856</v>
      </c>
      <c r="G415" s="4">
        <v>349703.766081126</v>
      </c>
      <c r="H415" s="5">
        <f t="shared" si="6"/>
        <v>0</v>
      </c>
      <c r="I415" t="s">
        <v>55</v>
      </c>
      <c r="J415" t="s">
        <v>59</v>
      </c>
      <c r="K415" s="5">
        <f>57 / 86400</f>
        <v>6.5972222222222224E-4</v>
      </c>
      <c r="L415" s="5">
        <f t="shared" si="5"/>
        <v>2.3148148148148149E-4</v>
      </c>
    </row>
    <row r="416" spans="1:12" x14ac:dyDescent="0.25">
      <c r="A416" s="3">
        <v>45709.720393518517</v>
      </c>
      <c r="B416" t="s">
        <v>75</v>
      </c>
      <c r="C416" s="3">
        <v>45709.721550925926</v>
      </c>
      <c r="D416" t="s">
        <v>237</v>
      </c>
      <c r="E416" s="4">
        <v>0.20102105689048766</v>
      </c>
      <c r="F416" s="4">
        <v>349703.79563100083</v>
      </c>
      <c r="G416" s="4">
        <v>349703.99665205769</v>
      </c>
      <c r="H416" s="5">
        <f t="shared" si="6"/>
        <v>0</v>
      </c>
      <c r="I416" t="s">
        <v>55</v>
      </c>
      <c r="J416" t="s">
        <v>88</v>
      </c>
      <c r="K416" s="5">
        <f>100 / 86400</f>
        <v>1.1574074074074073E-3</v>
      </c>
      <c r="L416" s="5">
        <f>60 / 86400</f>
        <v>6.9444444444444447E-4</v>
      </c>
    </row>
    <row r="417" spans="1:12" x14ac:dyDescent="0.25">
      <c r="A417" s="3">
        <v>45709.722245370373</v>
      </c>
      <c r="B417" t="s">
        <v>237</v>
      </c>
      <c r="C417" s="3">
        <v>45709.722708333335</v>
      </c>
      <c r="D417" t="s">
        <v>237</v>
      </c>
      <c r="E417" s="4">
        <v>3.1248491644859315E-2</v>
      </c>
      <c r="F417" s="4">
        <v>349704.0012574438</v>
      </c>
      <c r="G417" s="4">
        <v>349704.03250593541</v>
      </c>
      <c r="H417" s="5">
        <f t="shared" si="6"/>
        <v>0</v>
      </c>
      <c r="I417" t="s">
        <v>135</v>
      </c>
      <c r="J417" t="s">
        <v>135</v>
      </c>
      <c r="K417" s="5">
        <f>40 / 86400</f>
        <v>4.6296296296296298E-4</v>
      </c>
      <c r="L417" s="5">
        <f>20 / 86400</f>
        <v>2.3148148148148149E-4</v>
      </c>
    </row>
    <row r="418" spans="1:12" x14ac:dyDescent="0.25">
      <c r="A418" s="3">
        <v>45709.722939814819</v>
      </c>
      <c r="B418" t="s">
        <v>237</v>
      </c>
      <c r="C418" s="3">
        <v>45709.72320601852</v>
      </c>
      <c r="D418" t="s">
        <v>237</v>
      </c>
      <c r="E418" s="4">
        <v>1.3926857590675353E-2</v>
      </c>
      <c r="F418" s="4">
        <v>349704.04118923499</v>
      </c>
      <c r="G418" s="4">
        <v>349704.05511609255</v>
      </c>
      <c r="H418" s="5">
        <f t="shared" si="6"/>
        <v>0</v>
      </c>
      <c r="I418" t="s">
        <v>88</v>
      </c>
      <c r="J418" t="s">
        <v>122</v>
      </c>
      <c r="K418" s="5">
        <f>23 / 86400</f>
        <v>2.6620370370370372E-4</v>
      </c>
      <c r="L418" s="5">
        <f>60 / 86400</f>
        <v>6.9444444444444447E-4</v>
      </c>
    </row>
    <row r="419" spans="1:12" x14ac:dyDescent="0.25">
      <c r="A419" s="3">
        <v>45709.723900462966</v>
      </c>
      <c r="B419" t="s">
        <v>75</v>
      </c>
      <c r="C419" s="3">
        <v>45709.724131944444</v>
      </c>
      <c r="D419" t="s">
        <v>75</v>
      </c>
      <c r="E419" s="4">
        <v>1.5522833466529845E-3</v>
      </c>
      <c r="F419" s="4">
        <v>349704.06166020047</v>
      </c>
      <c r="G419" s="4">
        <v>349704.06321248383</v>
      </c>
      <c r="H419" s="5">
        <f t="shared" si="6"/>
        <v>0</v>
      </c>
      <c r="I419" t="s">
        <v>47</v>
      </c>
      <c r="J419" t="s">
        <v>48</v>
      </c>
      <c r="K419" s="5">
        <f>20 / 86400</f>
        <v>2.3148148148148149E-4</v>
      </c>
      <c r="L419" s="5">
        <f>120 / 86400</f>
        <v>1.3888888888888889E-3</v>
      </c>
    </row>
    <row r="420" spans="1:12" x14ac:dyDescent="0.25">
      <c r="A420" s="3">
        <v>45709.725520833337</v>
      </c>
      <c r="B420" t="s">
        <v>75</v>
      </c>
      <c r="C420" s="3">
        <v>45709.727731481486</v>
      </c>
      <c r="D420" t="s">
        <v>92</v>
      </c>
      <c r="E420" s="4">
        <v>1.7279883065819741</v>
      </c>
      <c r="F420" s="4">
        <v>349704.11179520102</v>
      </c>
      <c r="G420" s="4">
        <v>349705.83978350757</v>
      </c>
      <c r="H420" s="5">
        <f t="shared" si="6"/>
        <v>0</v>
      </c>
      <c r="I420" t="s">
        <v>178</v>
      </c>
      <c r="J420" t="s">
        <v>182</v>
      </c>
      <c r="K420" s="5">
        <f>191 / 86400</f>
        <v>2.2106481481481482E-3</v>
      </c>
      <c r="L420" s="5">
        <f>20 / 86400</f>
        <v>2.3148148148148149E-4</v>
      </c>
    </row>
    <row r="421" spans="1:12" x14ac:dyDescent="0.25">
      <c r="A421" s="3">
        <v>45709.727962962963</v>
      </c>
      <c r="B421" t="s">
        <v>92</v>
      </c>
      <c r="C421" s="3">
        <v>45709.730046296296</v>
      </c>
      <c r="D421" t="s">
        <v>339</v>
      </c>
      <c r="E421" s="4">
        <v>1.3015831053853035</v>
      </c>
      <c r="F421" s="4">
        <v>349705.94589616283</v>
      </c>
      <c r="G421" s="4">
        <v>349707.24747926818</v>
      </c>
      <c r="H421" s="5">
        <f t="shared" si="6"/>
        <v>0</v>
      </c>
      <c r="I421" t="s">
        <v>196</v>
      </c>
      <c r="J421" t="s">
        <v>168</v>
      </c>
      <c r="K421" s="5">
        <f>180 / 86400</f>
        <v>2.0833333333333333E-3</v>
      </c>
      <c r="L421" s="5">
        <f>20 / 86400</f>
        <v>2.3148148148148149E-4</v>
      </c>
    </row>
    <row r="422" spans="1:12" x14ac:dyDescent="0.25">
      <c r="A422" s="3">
        <v>45709.73027777778</v>
      </c>
      <c r="B422" t="s">
        <v>339</v>
      </c>
      <c r="C422" s="3">
        <v>45709.731203703705</v>
      </c>
      <c r="D422" t="s">
        <v>240</v>
      </c>
      <c r="E422" s="4">
        <v>0.19520145577192308</v>
      </c>
      <c r="F422" s="4">
        <v>349707.25782582921</v>
      </c>
      <c r="G422" s="4">
        <v>349707.453027285</v>
      </c>
      <c r="H422" s="5">
        <f t="shared" si="6"/>
        <v>0</v>
      </c>
      <c r="I422" t="s">
        <v>26</v>
      </c>
      <c r="J422" t="s">
        <v>125</v>
      </c>
      <c r="K422" s="5">
        <f>80 / 86400</f>
        <v>9.2592592592592596E-4</v>
      </c>
      <c r="L422" s="5">
        <f>40 / 86400</f>
        <v>4.6296296296296298E-4</v>
      </c>
    </row>
    <row r="423" spans="1:12" x14ac:dyDescent="0.25">
      <c r="A423" s="3">
        <v>45709.731666666667</v>
      </c>
      <c r="B423" t="s">
        <v>361</v>
      </c>
      <c r="C423" s="3">
        <v>45709.732129629629</v>
      </c>
      <c r="D423" t="s">
        <v>362</v>
      </c>
      <c r="E423" s="4">
        <v>0.24235973954200746</v>
      </c>
      <c r="F423" s="4">
        <v>349707.52144572628</v>
      </c>
      <c r="G423" s="4">
        <v>349707.76380546583</v>
      </c>
      <c r="H423" s="5">
        <f t="shared" si="6"/>
        <v>0</v>
      </c>
      <c r="I423" t="s">
        <v>168</v>
      </c>
      <c r="J423" t="s">
        <v>143</v>
      </c>
      <c r="K423" s="5">
        <f>40 / 86400</f>
        <v>4.6296296296296298E-4</v>
      </c>
      <c r="L423" s="5">
        <f>20 / 86400</f>
        <v>2.3148148148148149E-4</v>
      </c>
    </row>
    <row r="424" spans="1:12" x14ac:dyDescent="0.25">
      <c r="A424" s="3">
        <v>45709.732361111106</v>
      </c>
      <c r="B424" t="s">
        <v>119</v>
      </c>
      <c r="C424" s="3">
        <v>45709.733055555553</v>
      </c>
      <c r="D424" t="s">
        <v>363</v>
      </c>
      <c r="E424" s="4">
        <v>0.28233349788188933</v>
      </c>
      <c r="F424" s="4">
        <v>349707.81862950511</v>
      </c>
      <c r="G424" s="4">
        <v>349708.100963003</v>
      </c>
      <c r="H424" s="5">
        <f t="shared" si="6"/>
        <v>0</v>
      </c>
      <c r="I424" t="s">
        <v>230</v>
      </c>
      <c r="J424" t="s">
        <v>52</v>
      </c>
      <c r="K424" s="5">
        <f>60 / 86400</f>
        <v>6.9444444444444447E-4</v>
      </c>
      <c r="L424" s="5">
        <f>16 / 86400</f>
        <v>1.8518518518518518E-4</v>
      </c>
    </row>
    <row r="425" spans="1:12" x14ac:dyDescent="0.25">
      <c r="A425" s="3">
        <v>45709.733240740738</v>
      </c>
      <c r="B425" t="s">
        <v>363</v>
      </c>
      <c r="C425" s="3">
        <v>45709.733703703707</v>
      </c>
      <c r="D425" t="s">
        <v>240</v>
      </c>
      <c r="E425" s="4">
        <v>0.16071989274024964</v>
      </c>
      <c r="F425" s="4">
        <v>349708.10531868937</v>
      </c>
      <c r="G425" s="4">
        <v>349708.26603858208</v>
      </c>
      <c r="H425" s="5">
        <f t="shared" si="6"/>
        <v>0</v>
      </c>
      <c r="I425" t="s">
        <v>26</v>
      </c>
      <c r="J425" t="s">
        <v>57</v>
      </c>
      <c r="K425" s="5">
        <f>40 / 86400</f>
        <v>4.6296296296296298E-4</v>
      </c>
      <c r="L425" s="5">
        <f>60 / 86400</f>
        <v>6.9444444444444447E-4</v>
      </c>
    </row>
    <row r="426" spans="1:12" x14ac:dyDescent="0.25">
      <c r="A426" s="3">
        <v>45709.734398148154</v>
      </c>
      <c r="B426" t="s">
        <v>243</v>
      </c>
      <c r="C426" s="3">
        <v>45709.734629629631</v>
      </c>
      <c r="D426" t="s">
        <v>240</v>
      </c>
      <c r="E426" s="4">
        <v>2.3005052983760835E-2</v>
      </c>
      <c r="F426" s="4">
        <v>349708.28308623697</v>
      </c>
      <c r="G426" s="4">
        <v>349708.30609128991</v>
      </c>
      <c r="H426" s="5">
        <f t="shared" si="6"/>
        <v>0</v>
      </c>
      <c r="I426" t="s">
        <v>59</v>
      </c>
      <c r="J426" t="s">
        <v>30</v>
      </c>
      <c r="K426" s="5">
        <f>20 / 86400</f>
        <v>2.3148148148148149E-4</v>
      </c>
      <c r="L426" s="5">
        <f>20 / 86400</f>
        <v>2.3148148148148149E-4</v>
      </c>
    </row>
    <row r="427" spans="1:12" x14ac:dyDescent="0.25">
      <c r="A427" s="3">
        <v>45709.734861111108</v>
      </c>
      <c r="B427" t="s">
        <v>240</v>
      </c>
      <c r="C427" s="3">
        <v>45709.737268518518</v>
      </c>
      <c r="D427" t="s">
        <v>142</v>
      </c>
      <c r="E427" s="4">
        <v>0.71400780814886089</v>
      </c>
      <c r="F427" s="4">
        <v>349708.31156718906</v>
      </c>
      <c r="G427" s="4">
        <v>349709.02557499718</v>
      </c>
      <c r="H427" s="5">
        <f t="shared" si="6"/>
        <v>0</v>
      </c>
      <c r="I427" t="s">
        <v>143</v>
      </c>
      <c r="J427" t="s">
        <v>55</v>
      </c>
      <c r="K427" s="5">
        <f>208 / 86400</f>
        <v>2.4074074074074076E-3</v>
      </c>
      <c r="L427" s="5">
        <f>100 / 86400</f>
        <v>1.1574074074074073E-3</v>
      </c>
    </row>
    <row r="428" spans="1:12" x14ac:dyDescent="0.25">
      <c r="A428" s="3">
        <v>45709.738425925927</v>
      </c>
      <c r="B428" t="s">
        <v>177</v>
      </c>
      <c r="C428" s="3">
        <v>45709.738888888889</v>
      </c>
      <c r="D428" t="s">
        <v>99</v>
      </c>
      <c r="E428" s="4">
        <v>3.5343586087226868E-2</v>
      </c>
      <c r="F428" s="4">
        <v>349709.0476610777</v>
      </c>
      <c r="G428" s="4">
        <v>349709.08300466376</v>
      </c>
      <c r="H428" s="5">
        <f t="shared" si="6"/>
        <v>0</v>
      </c>
      <c r="I428" t="s">
        <v>134</v>
      </c>
      <c r="J428" t="s">
        <v>135</v>
      </c>
      <c r="K428" s="5">
        <f>40 / 86400</f>
        <v>4.6296296296296298E-4</v>
      </c>
      <c r="L428" s="5">
        <f>100 / 86400</f>
        <v>1.1574074074074073E-3</v>
      </c>
    </row>
    <row r="429" spans="1:12" x14ac:dyDescent="0.25">
      <c r="A429" s="3">
        <v>45709.740046296298</v>
      </c>
      <c r="B429" t="s">
        <v>177</v>
      </c>
      <c r="C429" s="3">
        <v>45709.741666666669</v>
      </c>
      <c r="D429" t="s">
        <v>177</v>
      </c>
      <c r="E429" s="4">
        <v>0.75204660838842396</v>
      </c>
      <c r="F429" s="4">
        <v>349709.25002788333</v>
      </c>
      <c r="G429" s="4">
        <v>349710.00207449176</v>
      </c>
      <c r="H429" s="5">
        <f t="shared" si="6"/>
        <v>0</v>
      </c>
      <c r="I429" t="s">
        <v>230</v>
      </c>
      <c r="J429" t="s">
        <v>77</v>
      </c>
      <c r="K429" s="5">
        <f>140 / 86400</f>
        <v>1.6203703703703703E-3</v>
      </c>
      <c r="L429" s="5">
        <f>20 / 86400</f>
        <v>2.3148148148148149E-4</v>
      </c>
    </row>
    <row r="430" spans="1:12" x14ac:dyDescent="0.25">
      <c r="A430" s="3">
        <v>45709.741898148146</v>
      </c>
      <c r="B430" t="s">
        <v>177</v>
      </c>
      <c r="C430" s="3">
        <v>45709.742847222224</v>
      </c>
      <c r="D430" t="s">
        <v>177</v>
      </c>
      <c r="E430" s="4">
        <v>0.56044681835174559</v>
      </c>
      <c r="F430" s="4">
        <v>349710.09922617709</v>
      </c>
      <c r="G430" s="4">
        <v>349710.65967299545</v>
      </c>
      <c r="H430" s="5">
        <f t="shared" si="6"/>
        <v>0</v>
      </c>
      <c r="I430" t="s">
        <v>196</v>
      </c>
      <c r="J430" t="s">
        <v>66</v>
      </c>
      <c r="K430" s="5">
        <f>82 / 86400</f>
        <v>9.4907407407407408E-4</v>
      </c>
      <c r="L430" s="5">
        <f>80 / 86400</f>
        <v>9.2592592592592596E-4</v>
      </c>
    </row>
    <row r="431" spans="1:12" x14ac:dyDescent="0.25">
      <c r="A431" s="3">
        <v>45709.743773148148</v>
      </c>
      <c r="B431" t="s">
        <v>79</v>
      </c>
      <c r="C431" s="3">
        <v>45709.74423611111</v>
      </c>
      <c r="D431" t="s">
        <v>79</v>
      </c>
      <c r="E431" s="4">
        <v>0.61350339788198471</v>
      </c>
      <c r="F431" s="4">
        <v>349710.85945314786</v>
      </c>
      <c r="G431" s="4">
        <v>349711.47295654577</v>
      </c>
      <c r="H431" s="5">
        <f t="shared" si="6"/>
        <v>0</v>
      </c>
      <c r="I431" t="s">
        <v>131</v>
      </c>
      <c r="J431" t="s">
        <v>76</v>
      </c>
      <c r="K431" s="5">
        <f>40 / 86400</f>
        <v>4.6296296296296298E-4</v>
      </c>
      <c r="L431" s="5">
        <f>60 / 86400</f>
        <v>6.9444444444444447E-4</v>
      </c>
    </row>
    <row r="432" spans="1:12" x14ac:dyDescent="0.25">
      <c r="A432" s="3">
        <v>45709.744930555556</v>
      </c>
      <c r="B432" t="s">
        <v>364</v>
      </c>
      <c r="C432" s="3">
        <v>45709.746087962965</v>
      </c>
      <c r="D432" t="s">
        <v>364</v>
      </c>
      <c r="E432" s="4">
        <v>0.45852170985937118</v>
      </c>
      <c r="F432" s="4">
        <v>349711.62689786387</v>
      </c>
      <c r="G432" s="4">
        <v>349712.0854195737</v>
      </c>
      <c r="H432" s="5">
        <f t="shared" si="6"/>
        <v>0</v>
      </c>
      <c r="I432" t="s">
        <v>201</v>
      </c>
      <c r="J432" t="s">
        <v>52</v>
      </c>
      <c r="K432" s="5">
        <f>100 / 86400</f>
        <v>1.1574074074074073E-3</v>
      </c>
      <c r="L432" s="5">
        <f>20 / 86400</f>
        <v>2.3148148148148149E-4</v>
      </c>
    </row>
    <row r="433" spans="1:12" x14ac:dyDescent="0.25">
      <c r="A433" s="3">
        <v>45709.746319444443</v>
      </c>
      <c r="B433" t="s">
        <v>364</v>
      </c>
      <c r="C433" s="3">
        <v>45709.748171296298</v>
      </c>
      <c r="D433" t="s">
        <v>365</v>
      </c>
      <c r="E433" s="4">
        <v>0.73603830206394194</v>
      </c>
      <c r="F433" s="4">
        <v>349712.12709973857</v>
      </c>
      <c r="G433" s="4">
        <v>349712.86313804064</v>
      </c>
      <c r="H433" s="5">
        <f t="shared" si="6"/>
        <v>0</v>
      </c>
      <c r="I433" t="s">
        <v>191</v>
      </c>
      <c r="J433" t="s">
        <v>52</v>
      </c>
      <c r="K433" s="5">
        <f>160 / 86400</f>
        <v>1.8518518518518519E-3</v>
      </c>
      <c r="L433" s="5">
        <f>33 / 86400</f>
        <v>3.8194444444444446E-4</v>
      </c>
    </row>
    <row r="434" spans="1:12" x14ac:dyDescent="0.25">
      <c r="A434" s="3">
        <v>45709.748553240745</v>
      </c>
      <c r="B434" t="s">
        <v>365</v>
      </c>
      <c r="C434" s="3">
        <v>45709.75072916667</v>
      </c>
      <c r="D434" t="s">
        <v>366</v>
      </c>
      <c r="E434" s="4">
        <v>1.3656749153137206</v>
      </c>
      <c r="F434" s="4">
        <v>349712.86951786984</v>
      </c>
      <c r="G434" s="4">
        <v>349714.23519278516</v>
      </c>
      <c r="H434" s="5">
        <f t="shared" si="6"/>
        <v>0</v>
      </c>
      <c r="I434" t="s">
        <v>212</v>
      </c>
      <c r="J434" t="s">
        <v>168</v>
      </c>
      <c r="K434" s="5">
        <f>188 / 86400</f>
        <v>2.1759259259259258E-3</v>
      </c>
      <c r="L434" s="5">
        <f>20 / 86400</f>
        <v>2.3148148148148149E-4</v>
      </c>
    </row>
    <row r="435" spans="1:12" x14ac:dyDescent="0.25">
      <c r="A435" s="3">
        <v>45709.750960648147</v>
      </c>
      <c r="B435" t="s">
        <v>366</v>
      </c>
      <c r="C435" s="3">
        <v>45709.751192129625</v>
      </c>
      <c r="D435" t="s">
        <v>366</v>
      </c>
      <c r="E435" s="4">
        <v>4.5404958128929139E-3</v>
      </c>
      <c r="F435" s="4">
        <v>349714.30044369807</v>
      </c>
      <c r="G435" s="4">
        <v>349714.30498419388</v>
      </c>
      <c r="H435" s="5">
        <f t="shared" si="6"/>
        <v>0</v>
      </c>
      <c r="I435" t="s">
        <v>41</v>
      </c>
      <c r="J435" t="s">
        <v>47</v>
      </c>
      <c r="K435" s="5">
        <f>20 / 86400</f>
        <v>2.3148148148148149E-4</v>
      </c>
      <c r="L435" s="5">
        <f>10 / 86400</f>
        <v>1.1574074074074075E-4</v>
      </c>
    </row>
    <row r="436" spans="1:12" x14ac:dyDescent="0.25">
      <c r="A436" s="3">
        <v>45709.751307870371</v>
      </c>
      <c r="B436" t="s">
        <v>366</v>
      </c>
      <c r="C436" s="3">
        <v>45709.751770833333</v>
      </c>
      <c r="D436" t="s">
        <v>366</v>
      </c>
      <c r="E436" s="4">
        <v>3.8920777916908261E-2</v>
      </c>
      <c r="F436" s="4">
        <v>349714.31186397944</v>
      </c>
      <c r="G436" s="4">
        <v>349714.35078475735</v>
      </c>
      <c r="H436" s="5">
        <f t="shared" si="6"/>
        <v>0</v>
      </c>
      <c r="I436" t="s">
        <v>134</v>
      </c>
      <c r="J436" t="s">
        <v>30</v>
      </c>
      <c r="K436" s="5">
        <f>40 / 86400</f>
        <v>4.6296296296296298E-4</v>
      </c>
      <c r="L436" s="5">
        <f>60 / 86400</f>
        <v>6.9444444444444447E-4</v>
      </c>
    </row>
    <row r="437" spans="1:12" x14ac:dyDescent="0.25">
      <c r="A437" s="3">
        <v>45709.752465277779</v>
      </c>
      <c r="B437" t="s">
        <v>366</v>
      </c>
      <c r="C437" s="3">
        <v>45709.752696759257</v>
      </c>
      <c r="D437" t="s">
        <v>366</v>
      </c>
      <c r="E437" s="4">
        <v>2.2468395233154297E-3</v>
      </c>
      <c r="F437" s="4">
        <v>349714.36736238748</v>
      </c>
      <c r="G437" s="4">
        <v>349714.369609227</v>
      </c>
      <c r="H437" s="5">
        <f t="shared" si="6"/>
        <v>0</v>
      </c>
      <c r="I437" t="s">
        <v>121</v>
      </c>
      <c r="J437" t="s">
        <v>48</v>
      </c>
      <c r="K437" s="5">
        <f>20 / 86400</f>
        <v>2.3148148148148149E-4</v>
      </c>
      <c r="L437" s="5">
        <f>14 / 86400</f>
        <v>1.6203703703703703E-4</v>
      </c>
    </row>
    <row r="438" spans="1:12" x14ac:dyDescent="0.25">
      <c r="A438" s="3">
        <v>45709.752858796295</v>
      </c>
      <c r="B438" t="s">
        <v>366</v>
      </c>
      <c r="C438" s="3">
        <v>45709.75309027778</v>
      </c>
      <c r="D438" t="s">
        <v>366</v>
      </c>
      <c r="E438" s="4">
        <v>1.1521552383899689E-2</v>
      </c>
      <c r="F438" s="4">
        <v>349714.37366274447</v>
      </c>
      <c r="G438" s="4">
        <v>349714.38518429687</v>
      </c>
      <c r="H438" s="5">
        <f t="shared" si="6"/>
        <v>0</v>
      </c>
      <c r="I438" t="s">
        <v>88</v>
      </c>
      <c r="J438" t="s">
        <v>122</v>
      </c>
      <c r="K438" s="5">
        <f>20 / 86400</f>
        <v>2.3148148148148149E-4</v>
      </c>
      <c r="L438" s="5">
        <f>6 / 86400</f>
        <v>6.9444444444444444E-5</v>
      </c>
    </row>
    <row r="439" spans="1:12" x14ac:dyDescent="0.25">
      <c r="A439" s="3">
        <v>45709.753159722226</v>
      </c>
      <c r="B439" t="s">
        <v>366</v>
      </c>
      <c r="C439" s="3">
        <v>45709.754027777773</v>
      </c>
      <c r="D439" t="s">
        <v>367</v>
      </c>
      <c r="E439" s="4">
        <v>0.40047935831546783</v>
      </c>
      <c r="F439" s="4">
        <v>349714.3929965205</v>
      </c>
      <c r="G439" s="4">
        <v>349714.79347587883</v>
      </c>
      <c r="H439" s="5">
        <f t="shared" si="6"/>
        <v>0</v>
      </c>
      <c r="I439" t="s">
        <v>247</v>
      </c>
      <c r="J439" t="s">
        <v>77</v>
      </c>
      <c r="K439" s="5">
        <f>75 / 86400</f>
        <v>8.6805555555555551E-4</v>
      </c>
      <c r="L439" s="5">
        <f>44 / 86400</f>
        <v>5.0925925925925921E-4</v>
      </c>
    </row>
    <row r="440" spans="1:12" x14ac:dyDescent="0.25">
      <c r="A440" s="3">
        <v>45709.754537037035</v>
      </c>
      <c r="B440" t="s">
        <v>368</v>
      </c>
      <c r="C440" s="3">
        <v>45709.756122685183</v>
      </c>
      <c r="D440" t="s">
        <v>369</v>
      </c>
      <c r="E440" s="4">
        <v>0.80283043211698535</v>
      </c>
      <c r="F440" s="4">
        <v>349714.88927266997</v>
      </c>
      <c r="G440" s="4">
        <v>349715.6921031021</v>
      </c>
      <c r="H440" s="5">
        <f t="shared" si="6"/>
        <v>0</v>
      </c>
      <c r="I440" t="s">
        <v>191</v>
      </c>
      <c r="J440" t="s">
        <v>136</v>
      </c>
      <c r="K440" s="5">
        <f>137 / 86400</f>
        <v>1.5856481481481481E-3</v>
      </c>
      <c r="L440" s="5">
        <f>51 / 86400</f>
        <v>5.9027777777777778E-4</v>
      </c>
    </row>
    <row r="441" spans="1:12" x14ac:dyDescent="0.25">
      <c r="A441" s="3">
        <v>45709.756712962961</v>
      </c>
      <c r="B441" t="s">
        <v>369</v>
      </c>
      <c r="C441" s="3">
        <v>45709.757638888885</v>
      </c>
      <c r="D441" t="s">
        <v>370</v>
      </c>
      <c r="E441" s="4">
        <v>0.32998355525732043</v>
      </c>
      <c r="F441" s="4">
        <v>349715.70451078046</v>
      </c>
      <c r="G441" s="4">
        <v>349716.0344943357</v>
      </c>
      <c r="H441" s="5">
        <f t="shared" si="6"/>
        <v>0</v>
      </c>
      <c r="I441" t="s">
        <v>247</v>
      </c>
      <c r="J441" t="s">
        <v>41</v>
      </c>
      <c r="K441" s="5">
        <f>80 / 86400</f>
        <v>9.2592592592592596E-4</v>
      </c>
      <c r="L441" s="5">
        <f>36 / 86400</f>
        <v>4.1666666666666669E-4</v>
      </c>
    </row>
    <row r="442" spans="1:12" x14ac:dyDescent="0.25">
      <c r="A442" s="3">
        <v>45709.758055555554</v>
      </c>
      <c r="B442" t="s">
        <v>371</v>
      </c>
      <c r="C442" s="3">
        <v>45709.758379629631</v>
      </c>
      <c r="D442" t="s">
        <v>370</v>
      </c>
      <c r="E442" s="4">
        <v>7.1007560968399053E-2</v>
      </c>
      <c r="F442" s="4">
        <v>349716.04497369169</v>
      </c>
      <c r="G442" s="4">
        <v>349716.11598125269</v>
      </c>
      <c r="H442" s="5">
        <f t="shared" si="6"/>
        <v>0</v>
      </c>
      <c r="I442" t="s">
        <v>134</v>
      </c>
      <c r="J442" t="s">
        <v>125</v>
      </c>
      <c r="K442" s="5">
        <f>28 / 86400</f>
        <v>3.2407407407407406E-4</v>
      </c>
      <c r="L442" s="5">
        <f>159 / 86400</f>
        <v>1.8402777777777777E-3</v>
      </c>
    </row>
    <row r="443" spans="1:12" x14ac:dyDescent="0.25">
      <c r="A443" s="3">
        <v>45709.760219907403</v>
      </c>
      <c r="B443" t="s">
        <v>371</v>
      </c>
      <c r="C443" s="3">
        <v>45709.760682870372</v>
      </c>
      <c r="D443" t="s">
        <v>172</v>
      </c>
      <c r="E443" s="4">
        <v>3.3017788529396054E-2</v>
      </c>
      <c r="F443" s="4">
        <v>349716.14320657006</v>
      </c>
      <c r="G443" s="4">
        <v>349716.17622435861</v>
      </c>
      <c r="H443" s="5">
        <f t="shared" si="6"/>
        <v>0</v>
      </c>
      <c r="I443" t="s">
        <v>88</v>
      </c>
      <c r="J443" t="s">
        <v>135</v>
      </c>
      <c r="K443" s="5">
        <f>40 / 86400</f>
        <v>4.6296296296296298E-4</v>
      </c>
      <c r="L443" s="5">
        <f>40 / 86400</f>
        <v>4.6296296296296298E-4</v>
      </c>
    </row>
    <row r="444" spans="1:12" x14ac:dyDescent="0.25">
      <c r="A444" s="3">
        <v>45709.761145833334</v>
      </c>
      <c r="B444" t="s">
        <v>172</v>
      </c>
      <c r="C444" s="3">
        <v>45709.761377314819</v>
      </c>
      <c r="D444" t="s">
        <v>172</v>
      </c>
      <c r="E444" s="4">
        <v>6.3212946057319645E-3</v>
      </c>
      <c r="F444" s="4">
        <v>349716.19058470102</v>
      </c>
      <c r="G444" s="4">
        <v>349716.1969059956</v>
      </c>
      <c r="H444" s="5">
        <f t="shared" si="6"/>
        <v>0</v>
      </c>
      <c r="I444" t="s">
        <v>47</v>
      </c>
      <c r="J444" t="s">
        <v>47</v>
      </c>
      <c r="K444" s="5">
        <f>20 / 86400</f>
        <v>2.3148148148148149E-4</v>
      </c>
      <c r="L444" s="5">
        <f>120 / 86400</f>
        <v>1.3888888888888889E-3</v>
      </c>
    </row>
    <row r="445" spans="1:12" x14ac:dyDescent="0.25">
      <c r="A445" s="3">
        <v>45709.762766203705</v>
      </c>
      <c r="B445" t="s">
        <v>172</v>
      </c>
      <c r="C445" s="3">
        <v>45709.762997685189</v>
      </c>
      <c r="D445" t="s">
        <v>172</v>
      </c>
      <c r="E445" s="4">
        <v>4.6598401665687563E-3</v>
      </c>
      <c r="F445" s="4">
        <v>349716.24001809879</v>
      </c>
      <c r="G445" s="4">
        <v>349716.24467793893</v>
      </c>
      <c r="H445" s="5">
        <f t="shared" si="6"/>
        <v>0</v>
      </c>
      <c r="I445" t="s">
        <v>47</v>
      </c>
      <c r="J445" t="s">
        <v>47</v>
      </c>
      <c r="K445" s="5">
        <f>20 / 86400</f>
        <v>2.3148148148148149E-4</v>
      </c>
      <c r="L445" s="5">
        <f>60 / 86400</f>
        <v>6.9444444444444447E-4</v>
      </c>
    </row>
    <row r="446" spans="1:12" x14ac:dyDescent="0.25">
      <c r="A446" s="3">
        <v>45709.763692129629</v>
      </c>
      <c r="B446" t="s">
        <v>172</v>
      </c>
      <c r="C446" s="3">
        <v>45709.76461805556</v>
      </c>
      <c r="D446" t="s">
        <v>256</v>
      </c>
      <c r="E446" s="4">
        <v>0.4168297188282013</v>
      </c>
      <c r="F446" s="4">
        <v>349716.3642629364</v>
      </c>
      <c r="G446" s="4">
        <v>349716.78109265526</v>
      </c>
      <c r="H446" s="5">
        <f t="shared" si="6"/>
        <v>0</v>
      </c>
      <c r="I446" t="s">
        <v>230</v>
      </c>
      <c r="J446" t="s">
        <v>77</v>
      </c>
      <c r="K446" s="5">
        <f>80 / 86400</f>
        <v>9.2592592592592596E-4</v>
      </c>
      <c r="L446" s="5">
        <f>20 / 86400</f>
        <v>2.3148148148148149E-4</v>
      </c>
    </row>
    <row r="447" spans="1:12" x14ac:dyDescent="0.25">
      <c r="A447" s="3">
        <v>45709.764849537038</v>
      </c>
      <c r="B447" t="s">
        <v>372</v>
      </c>
      <c r="C447" s="3">
        <v>45709.765081018515</v>
      </c>
      <c r="D447" t="s">
        <v>373</v>
      </c>
      <c r="E447" s="4">
        <v>1.3689134299755096E-2</v>
      </c>
      <c r="F447" s="4">
        <v>349716.82027334039</v>
      </c>
      <c r="G447" s="4">
        <v>349716.83396247472</v>
      </c>
      <c r="H447" s="5">
        <f t="shared" si="6"/>
        <v>0</v>
      </c>
      <c r="I447" t="s">
        <v>134</v>
      </c>
      <c r="J447" t="s">
        <v>122</v>
      </c>
      <c r="K447" s="5">
        <f>20 / 86400</f>
        <v>2.3148148148148149E-4</v>
      </c>
      <c r="L447" s="5">
        <f>12 / 86400</f>
        <v>1.3888888888888889E-4</v>
      </c>
    </row>
    <row r="448" spans="1:12" x14ac:dyDescent="0.25">
      <c r="A448" s="3">
        <v>45709.765219907407</v>
      </c>
      <c r="B448" t="s">
        <v>373</v>
      </c>
      <c r="C448" s="3">
        <v>45709.770844907413</v>
      </c>
      <c r="D448" t="s">
        <v>258</v>
      </c>
      <c r="E448" s="4">
        <v>2.4375294818878173</v>
      </c>
      <c r="F448" s="4">
        <v>349716.84040577622</v>
      </c>
      <c r="G448" s="4">
        <v>349719.27793525811</v>
      </c>
      <c r="H448" s="5">
        <f t="shared" si="6"/>
        <v>0</v>
      </c>
      <c r="I448" t="s">
        <v>65</v>
      </c>
      <c r="J448" t="s">
        <v>20</v>
      </c>
      <c r="K448" s="5">
        <f>486 / 86400</f>
        <v>5.6249999999999998E-3</v>
      </c>
      <c r="L448" s="5">
        <f t="shared" ref="L448:L453" si="7">20 / 86400</f>
        <v>2.3148148148148149E-4</v>
      </c>
    </row>
    <row r="449" spans="1:12" x14ac:dyDescent="0.25">
      <c r="A449" s="3">
        <v>45709.77107638889</v>
      </c>
      <c r="B449" t="s">
        <v>258</v>
      </c>
      <c r="C449" s="3">
        <v>45709.772824074069</v>
      </c>
      <c r="D449" t="s">
        <v>261</v>
      </c>
      <c r="E449" s="4">
        <v>0.59224141925573348</v>
      </c>
      <c r="F449" s="4">
        <v>349719.31188778777</v>
      </c>
      <c r="G449" s="4">
        <v>349719.90412920702</v>
      </c>
      <c r="H449" s="5">
        <f t="shared" si="6"/>
        <v>0</v>
      </c>
      <c r="I449" t="s">
        <v>91</v>
      </c>
      <c r="J449" t="s">
        <v>57</v>
      </c>
      <c r="K449" s="5">
        <f>151 / 86400</f>
        <v>1.7476851851851852E-3</v>
      </c>
      <c r="L449" s="5">
        <f t="shared" si="7"/>
        <v>2.3148148148148149E-4</v>
      </c>
    </row>
    <row r="450" spans="1:12" x14ac:dyDescent="0.25">
      <c r="A450" s="3">
        <v>45709.773055555561</v>
      </c>
      <c r="B450" t="s">
        <v>262</v>
      </c>
      <c r="C450" s="3">
        <v>45709.773287037038</v>
      </c>
      <c r="D450" t="s">
        <v>262</v>
      </c>
      <c r="E450" s="4">
        <v>1.0054142355918885E-2</v>
      </c>
      <c r="F450" s="4">
        <v>349719.93339281715</v>
      </c>
      <c r="G450" s="4">
        <v>349719.94344695949</v>
      </c>
      <c r="H450" s="5">
        <f t="shared" si="6"/>
        <v>0</v>
      </c>
      <c r="I450" t="s">
        <v>47</v>
      </c>
      <c r="J450" t="s">
        <v>122</v>
      </c>
      <c r="K450" s="5">
        <f>20 / 86400</f>
        <v>2.3148148148148149E-4</v>
      </c>
      <c r="L450" s="5">
        <f t="shared" si="7"/>
        <v>2.3148148148148149E-4</v>
      </c>
    </row>
    <row r="451" spans="1:12" x14ac:dyDescent="0.25">
      <c r="A451" s="3">
        <v>45709.773518518516</v>
      </c>
      <c r="B451" t="s">
        <v>374</v>
      </c>
      <c r="C451" s="3">
        <v>45709.774212962962</v>
      </c>
      <c r="D451" t="s">
        <v>261</v>
      </c>
      <c r="E451" s="4">
        <v>5.1097222745418551E-2</v>
      </c>
      <c r="F451" s="4">
        <v>349719.96723877313</v>
      </c>
      <c r="G451" s="4">
        <v>349720.01833599585</v>
      </c>
      <c r="H451" s="5">
        <f t="shared" si="6"/>
        <v>0</v>
      </c>
      <c r="I451" t="s">
        <v>88</v>
      </c>
      <c r="J451" t="s">
        <v>135</v>
      </c>
      <c r="K451" s="5">
        <f>60 / 86400</f>
        <v>6.9444444444444447E-4</v>
      </c>
      <c r="L451" s="5">
        <f t="shared" si="7"/>
        <v>2.3148148148148149E-4</v>
      </c>
    </row>
    <row r="452" spans="1:12" x14ac:dyDescent="0.25">
      <c r="A452" s="3">
        <v>45709.77444444444</v>
      </c>
      <c r="B452" t="s">
        <v>375</v>
      </c>
      <c r="C452" s="3">
        <v>45709.776944444442</v>
      </c>
      <c r="D452" t="s">
        <v>263</v>
      </c>
      <c r="E452" s="4">
        <v>0.42094910258054735</v>
      </c>
      <c r="F452" s="4">
        <v>349720.04019731365</v>
      </c>
      <c r="G452" s="4">
        <v>349720.46114641626</v>
      </c>
      <c r="H452" s="5">
        <f t="shared" si="6"/>
        <v>0</v>
      </c>
      <c r="I452" t="s">
        <v>26</v>
      </c>
      <c r="J452" t="s">
        <v>88</v>
      </c>
      <c r="K452" s="5">
        <f>216 / 86400</f>
        <v>2.5000000000000001E-3</v>
      </c>
      <c r="L452" s="5">
        <f t="shared" si="7"/>
        <v>2.3148148148148149E-4</v>
      </c>
    </row>
    <row r="453" spans="1:12" x14ac:dyDescent="0.25">
      <c r="A453" s="3">
        <v>45709.777175925927</v>
      </c>
      <c r="B453" t="s">
        <v>263</v>
      </c>
      <c r="C453" s="3">
        <v>45709.777997685189</v>
      </c>
      <c r="D453" t="s">
        <v>376</v>
      </c>
      <c r="E453" s="4">
        <v>0.21577400827407836</v>
      </c>
      <c r="F453" s="4">
        <v>349720.4878102545</v>
      </c>
      <c r="G453" s="4">
        <v>349720.70358426281</v>
      </c>
      <c r="H453" s="5">
        <f t="shared" si="6"/>
        <v>0</v>
      </c>
      <c r="I453" t="s">
        <v>20</v>
      </c>
      <c r="J453" t="s">
        <v>128</v>
      </c>
      <c r="K453" s="5">
        <f>71 / 86400</f>
        <v>8.2175925925925927E-4</v>
      </c>
      <c r="L453" s="5">
        <f t="shared" si="7"/>
        <v>2.3148148148148149E-4</v>
      </c>
    </row>
    <row r="454" spans="1:12" x14ac:dyDescent="0.25">
      <c r="A454" s="3">
        <v>45709.778229166666</v>
      </c>
      <c r="B454" t="s">
        <v>263</v>
      </c>
      <c r="C454" s="3">
        <v>45709.779456018514</v>
      </c>
      <c r="D454" t="s">
        <v>377</v>
      </c>
      <c r="E454" s="4">
        <v>0.32668310481309892</v>
      </c>
      <c r="F454" s="4">
        <v>349720.76197799336</v>
      </c>
      <c r="G454" s="4">
        <v>349721.08866109815</v>
      </c>
      <c r="H454" s="5">
        <f t="shared" si="6"/>
        <v>0</v>
      </c>
      <c r="I454" t="s">
        <v>247</v>
      </c>
      <c r="J454" t="s">
        <v>128</v>
      </c>
      <c r="K454" s="5">
        <f>106 / 86400</f>
        <v>1.2268518518518518E-3</v>
      </c>
      <c r="L454" s="5">
        <f>41 / 86400</f>
        <v>4.7453703703703704E-4</v>
      </c>
    </row>
    <row r="455" spans="1:12" x14ac:dyDescent="0.25">
      <c r="A455" s="3">
        <v>45709.779930555553</v>
      </c>
      <c r="B455" t="s">
        <v>378</v>
      </c>
      <c r="C455" s="3">
        <v>45709.782372685186</v>
      </c>
      <c r="D455" t="s">
        <v>379</v>
      </c>
      <c r="E455" s="4">
        <v>1.1142278232574463</v>
      </c>
      <c r="F455" s="4">
        <v>349721.11906439153</v>
      </c>
      <c r="G455" s="4">
        <v>349722.23329221481</v>
      </c>
      <c r="H455" s="5">
        <f t="shared" si="6"/>
        <v>0</v>
      </c>
      <c r="I455" t="s">
        <v>191</v>
      </c>
      <c r="J455" t="s">
        <v>77</v>
      </c>
      <c r="K455" s="5">
        <f>211 / 86400</f>
        <v>2.4421296296296296E-3</v>
      </c>
      <c r="L455" s="5">
        <f>31 / 86400</f>
        <v>3.5879629629629629E-4</v>
      </c>
    </row>
    <row r="456" spans="1:12" x14ac:dyDescent="0.25">
      <c r="A456" s="3">
        <v>45709.782731481479</v>
      </c>
      <c r="B456" t="s">
        <v>379</v>
      </c>
      <c r="C456" s="3">
        <v>45709.783101851848</v>
      </c>
      <c r="D456" t="s">
        <v>379</v>
      </c>
      <c r="E456" s="4">
        <v>4.1483476638793947E-2</v>
      </c>
      <c r="F456" s="4">
        <v>349722.24439510342</v>
      </c>
      <c r="G456" s="4">
        <v>349722.28587858001</v>
      </c>
      <c r="H456" s="5">
        <f t="shared" si="6"/>
        <v>0</v>
      </c>
      <c r="I456" t="s">
        <v>60</v>
      </c>
      <c r="J456" t="s">
        <v>121</v>
      </c>
      <c r="K456" s="5">
        <f>32 / 86400</f>
        <v>3.7037037037037035E-4</v>
      </c>
      <c r="L456" s="5">
        <f>20 / 86400</f>
        <v>2.3148148148148149E-4</v>
      </c>
    </row>
    <row r="457" spans="1:12" x14ac:dyDescent="0.25">
      <c r="A457" s="3">
        <v>45709.783333333333</v>
      </c>
      <c r="B457" t="s">
        <v>379</v>
      </c>
      <c r="C457" s="3">
        <v>45709.784189814818</v>
      </c>
      <c r="D457" t="s">
        <v>310</v>
      </c>
      <c r="E457" s="4">
        <v>1.9848219931125642E-2</v>
      </c>
      <c r="F457" s="4">
        <v>349722.2894656136</v>
      </c>
      <c r="G457" s="4">
        <v>349722.30931383354</v>
      </c>
      <c r="H457" s="5">
        <f t="shared" si="6"/>
        <v>0</v>
      </c>
      <c r="I457" t="s">
        <v>121</v>
      </c>
      <c r="J457" t="s">
        <v>47</v>
      </c>
      <c r="K457" s="5">
        <f>74 / 86400</f>
        <v>8.564814814814815E-4</v>
      </c>
      <c r="L457" s="5">
        <f>20 / 86400</f>
        <v>2.3148148148148149E-4</v>
      </c>
    </row>
    <row r="458" spans="1:12" x14ac:dyDescent="0.25">
      <c r="A458" s="3">
        <v>45709.784421296295</v>
      </c>
      <c r="B458" t="s">
        <v>379</v>
      </c>
      <c r="C458" s="3">
        <v>45709.785381944443</v>
      </c>
      <c r="D458" t="s">
        <v>380</v>
      </c>
      <c r="E458" s="4">
        <v>0.11938108313083649</v>
      </c>
      <c r="F458" s="4">
        <v>349722.32275924686</v>
      </c>
      <c r="G458" s="4">
        <v>349722.44214033004</v>
      </c>
      <c r="H458" s="5">
        <f t="shared" si="6"/>
        <v>0</v>
      </c>
      <c r="I458" t="s">
        <v>88</v>
      </c>
      <c r="J458" t="s">
        <v>121</v>
      </c>
      <c r="K458" s="5">
        <f>83 / 86400</f>
        <v>9.6064814814814819E-4</v>
      </c>
      <c r="L458" s="5">
        <f>40 / 86400</f>
        <v>4.6296296296296298E-4</v>
      </c>
    </row>
    <row r="459" spans="1:12" x14ac:dyDescent="0.25">
      <c r="A459" s="3">
        <v>45709.785844907412</v>
      </c>
      <c r="B459" t="s">
        <v>310</v>
      </c>
      <c r="C459" s="3">
        <v>45709.786307870367</v>
      </c>
      <c r="D459" t="s">
        <v>379</v>
      </c>
      <c r="E459" s="4">
        <v>1.0744953155517578E-2</v>
      </c>
      <c r="F459" s="4">
        <v>349722.4690946968</v>
      </c>
      <c r="G459" s="4">
        <v>349722.47983964998</v>
      </c>
      <c r="H459" s="5">
        <f t="shared" si="6"/>
        <v>0</v>
      </c>
      <c r="I459" t="s">
        <v>122</v>
      </c>
      <c r="J459" t="s">
        <v>47</v>
      </c>
      <c r="K459" s="5">
        <f>40 / 86400</f>
        <v>4.6296296296296298E-4</v>
      </c>
      <c r="L459" s="5">
        <f>20 / 86400</f>
        <v>2.3148148148148149E-4</v>
      </c>
    </row>
    <row r="460" spans="1:12" x14ac:dyDescent="0.25">
      <c r="A460" s="3">
        <v>45709.786539351851</v>
      </c>
      <c r="B460" t="s">
        <v>379</v>
      </c>
      <c r="C460" s="3">
        <v>45709.786770833336</v>
      </c>
      <c r="D460" t="s">
        <v>310</v>
      </c>
      <c r="E460" s="4">
        <v>1.1320975840091705E-2</v>
      </c>
      <c r="F460" s="4">
        <v>349722.48465766641</v>
      </c>
      <c r="G460" s="4">
        <v>349722.4959786422</v>
      </c>
      <c r="H460" s="5">
        <f t="shared" si="6"/>
        <v>0</v>
      </c>
      <c r="I460" t="s">
        <v>47</v>
      </c>
      <c r="J460" t="s">
        <v>122</v>
      </c>
      <c r="K460" s="5">
        <f>20 / 86400</f>
        <v>2.3148148148148149E-4</v>
      </c>
      <c r="L460" s="5">
        <f>59 / 86400</f>
        <v>6.8287037037037036E-4</v>
      </c>
    </row>
    <row r="461" spans="1:12" x14ac:dyDescent="0.25">
      <c r="A461" s="3">
        <v>45709.787453703699</v>
      </c>
      <c r="B461" t="s">
        <v>379</v>
      </c>
      <c r="C461" s="3">
        <v>45709.78842592593</v>
      </c>
      <c r="D461" t="s">
        <v>381</v>
      </c>
      <c r="E461" s="4">
        <v>0.54052539944648748</v>
      </c>
      <c r="F461" s="4">
        <v>349722.51918051549</v>
      </c>
      <c r="G461" s="4">
        <v>349723.05970591493</v>
      </c>
      <c r="H461" s="5">
        <f t="shared" si="6"/>
        <v>0</v>
      </c>
      <c r="I461" t="s">
        <v>87</v>
      </c>
      <c r="J461" t="s">
        <v>124</v>
      </c>
      <c r="K461" s="5">
        <f>84 / 86400</f>
        <v>9.7222222222222219E-4</v>
      </c>
      <c r="L461" s="5">
        <f>39 / 86400</f>
        <v>4.5138888888888887E-4</v>
      </c>
    </row>
    <row r="462" spans="1:12" x14ac:dyDescent="0.25">
      <c r="A462" s="3">
        <v>45709.788877314815</v>
      </c>
      <c r="B462" t="s">
        <v>382</v>
      </c>
      <c r="C462" s="3">
        <v>45709.789803240739</v>
      </c>
      <c r="D462" t="s">
        <v>383</v>
      </c>
      <c r="E462" s="4">
        <v>0.62543419891595842</v>
      </c>
      <c r="F462" s="4">
        <v>349723.06574931287</v>
      </c>
      <c r="G462" s="4">
        <v>349723.69118351181</v>
      </c>
      <c r="H462" s="5">
        <f t="shared" si="6"/>
        <v>0</v>
      </c>
      <c r="I462" t="s">
        <v>120</v>
      </c>
      <c r="J462" t="s">
        <v>91</v>
      </c>
      <c r="K462" s="5">
        <f>80 / 86400</f>
        <v>9.2592592592592596E-4</v>
      </c>
      <c r="L462" s="5">
        <f>8 / 86400</f>
        <v>9.2592592592592588E-5</v>
      </c>
    </row>
    <row r="463" spans="1:12" x14ac:dyDescent="0.25">
      <c r="A463" s="3">
        <v>45709.789895833332</v>
      </c>
      <c r="B463" t="s">
        <v>383</v>
      </c>
      <c r="C463" s="3">
        <v>45709.790983796294</v>
      </c>
      <c r="D463" t="s">
        <v>384</v>
      </c>
      <c r="E463" s="4">
        <v>0.76984794163703918</v>
      </c>
      <c r="F463" s="4">
        <v>349723.69777939969</v>
      </c>
      <c r="G463" s="4">
        <v>349724.46762734134</v>
      </c>
      <c r="H463" s="5">
        <f t="shared" si="6"/>
        <v>0</v>
      </c>
      <c r="I463" t="s">
        <v>76</v>
      </c>
      <c r="J463" t="s">
        <v>171</v>
      </c>
      <c r="K463" s="5">
        <f>94 / 86400</f>
        <v>1.0879629629629629E-3</v>
      </c>
      <c r="L463" s="5">
        <f>5 / 86400</f>
        <v>5.7870370370370373E-5</v>
      </c>
    </row>
    <row r="464" spans="1:12" x14ac:dyDescent="0.25">
      <c r="A464" s="3">
        <v>45709.791041666671</v>
      </c>
      <c r="B464" t="s">
        <v>385</v>
      </c>
      <c r="C464" s="3">
        <v>45709.791932870372</v>
      </c>
      <c r="D464" t="s">
        <v>386</v>
      </c>
      <c r="E464" s="4">
        <v>0.51461691713333135</v>
      </c>
      <c r="F464" s="4">
        <v>349724.48266432242</v>
      </c>
      <c r="G464" s="4">
        <v>349724.99728123954</v>
      </c>
      <c r="H464" s="5">
        <f t="shared" si="6"/>
        <v>0</v>
      </c>
      <c r="I464" t="s">
        <v>184</v>
      </c>
      <c r="J464" t="s">
        <v>127</v>
      </c>
      <c r="K464" s="5">
        <f>77 / 86400</f>
        <v>8.9120370370370373E-4</v>
      </c>
      <c r="L464" s="5">
        <f>40 / 86400</f>
        <v>4.6296296296296298E-4</v>
      </c>
    </row>
    <row r="465" spans="1:12" x14ac:dyDescent="0.25">
      <c r="A465" s="3">
        <v>45709.792395833334</v>
      </c>
      <c r="B465" t="s">
        <v>387</v>
      </c>
      <c r="C465" s="3">
        <v>45709.792627314819</v>
      </c>
      <c r="D465" t="s">
        <v>387</v>
      </c>
      <c r="E465" s="4">
        <v>0</v>
      </c>
      <c r="F465" s="4">
        <v>349725.02273680578</v>
      </c>
      <c r="G465" s="4">
        <v>349725.02273680578</v>
      </c>
      <c r="H465" s="5">
        <f t="shared" si="6"/>
        <v>0</v>
      </c>
      <c r="I465" t="s">
        <v>47</v>
      </c>
      <c r="J465" t="s">
        <v>48</v>
      </c>
      <c r="K465" s="5">
        <f>20 / 86400</f>
        <v>2.3148148148148149E-4</v>
      </c>
      <c r="L465" s="5">
        <f>44 / 86400</f>
        <v>5.0925925925925921E-4</v>
      </c>
    </row>
    <row r="466" spans="1:12" x14ac:dyDescent="0.25">
      <c r="A466" s="3">
        <v>45709.793136574073</v>
      </c>
      <c r="B466" t="s">
        <v>388</v>
      </c>
      <c r="C466" s="3">
        <v>45709.79420138889</v>
      </c>
      <c r="D466" t="s">
        <v>389</v>
      </c>
      <c r="E466" s="4">
        <v>0.20503458434343338</v>
      </c>
      <c r="F466" s="4">
        <v>349725.07915521937</v>
      </c>
      <c r="G466" s="4">
        <v>349725.2841898037</v>
      </c>
      <c r="H466" s="5">
        <f t="shared" si="6"/>
        <v>0</v>
      </c>
      <c r="I466" t="s">
        <v>77</v>
      </c>
      <c r="J466" t="s">
        <v>59</v>
      </c>
      <c r="K466" s="5">
        <f>92 / 86400</f>
        <v>1.0648148148148149E-3</v>
      </c>
      <c r="L466" s="5">
        <f>125 / 86400</f>
        <v>1.4467592592592592E-3</v>
      </c>
    </row>
    <row r="467" spans="1:12" x14ac:dyDescent="0.25">
      <c r="A467" s="3">
        <v>45709.795648148152</v>
      </c>
      <c r="B467" t="s">
        <v>390</v>
      </c>
      <c r="C467" s="3">
        <v>45709.796574074076</v>
      </c>
      <c r="D467" t="s">
        <v>270</v>
      </c>
      <c r="E467" s="4">
        <v>0.14795393091440201</v>
      </c>
      <c r="F467" s="4">
        <v>349725.33073225775</v>
      </c>
      <c r="G467" s="4">
        <v>349725.47868618864</v>
      </c>
      <c r="H467" s="5">
        <f t="shared" si="6"/>
        <v>0</v>
      </c>
      <c r="I467" t="s">
        <v>143</v>
      </c>
      <c r="J467" t="s">
        <v>88</v>
      </c>
      <c r="K467" s="5">
        <f>80 / 86400</f>
        <v>9.2592592592592596E-4</v>
      </c>
      <c r="L467" s="5">
        <f>1 / 86400</f>
        <v>1.1574074074074073E-5</v>
      </c>
    </row>
    <row r="468" spans="1:12" x14ac:dyDescent="0.25">
      <c r="A468" s="3">
        <v>45709.796585648146</v>
      </c>
      <c r="B468" t="s">
        <v>270</v>
      </c>
      <c r="C468" s="3">
        <v>45709.799363425926</v>
      </c>
      <c r="D468" t="s">
        <v>308</v>
      </c>
      <c r="E468" s="4">
        <v>1.7449830386042595</v>
      </c>
      <c r="F468" s="4">
        <v>349725.47868618864</v>
      </c>
      <c r="G468" s="4">
        <v>349727.22366922727</v>
      </c>
      <c r="H468" s="5">
        <f t="shared" si="6"/>
        <v>0</v>
      </c>
      <c r="I468" t="s">
        <v>147</v>
      </c>
      <c r="J468" t="s">
        <v>168</v>
      </c>
      <c r="K468" s="5">
        <f>240 / 86400</f>
        <v>2.7777777777777779E-3</v>
      </c>
      <c r="L468" s="5">
        <f>62 / 86400</f>
        <v>7.1759259259259259E-4</v>
      </c>
    </row>
    <row r="469" spans="1:12" x14ac:dyDescent="0.25">
      <c r="A469" s="3">
        <v>45709.800081018519</v>
      </c>
      <c r="B469" t="s">
        <v>391</v>
      </c>
      <c r="C469" s="3">
        <v>45709.800543981481</v>
      </c>
      <c r="D469" t="s">
        <v>308</v>
      </c>
      <c r="E469" s="4">
        <v>9.4885143935680386E-2</v>
      </c>
      <c r="F469" s="4">
        <v>349727.27216987201</v>
      </c>
      <c r="G469" s="4">
        <v>349727.36705501593</v>
      </c>
      <c r="H469" s="5">
        <f t="shared" si="6"/>
        <v>0</v>
      </c>
      <c r="I469" t="s">
        <v>134</v>
      </c>
      <c r="J469" t="s">
        <v>125</v>
      </c>
      <c r="K469" s="5">
        <f>40 / 86400</f>
        <v>4.6296296296296298E-4</v>
      </c>
      <c r="L469" s="5">
        <f>5 / 86400</f>
        <v>5.7870370370370373E-5</v>
      </c>
    </row>
    <row r="470" spans="1:12" x14ac:dyDescent="0.25">
      <c r="A470" s="3">
        <v>45709.80060185185</v>
      </c>
      <c r="B470" t="s">
        <v>308</v>
      </c>
      <c r="C470" s="3">
        <v>45709.801296296297</v>
      </c>
      <c r="D470" t="s">
        <v>310</v>
      </c>
      <c r="E470" s="4">
        <v>0.41846846097707746</v>
      </c>
      <c r="F470" s="4">
        <v>349727.36957968946</v>
      </c>
      <c r="G470" s="4">
        <v>349727.78804815043</v>
      </c>
      <c r="H470" s="5">
        <f t="shared" si="6"/>
        <v>0</v>
      </c>
      <c r="I470" t="s">
        <v>235</v>
      </c>
      <c r="J470" t="s">
        <v>66</v>
      </c>
      <c r="K470" s="5">
        <f>60 / 86400</f>
        <v>6.9444444444444447E-4</v>
      </c>
      <c r="L470" s="5">
        <f>20 / 86400</f>
        <v>2.3148148148148149E-4</v>
      </c>
    </row>
    <row r="471" spans="1:12" x14ac:dyDescent="0.25">
      <c r="A471" s="3">
        <v>45709.801527777774</v>
      </c>
      <c r="B471" t="s">
        <v>157</v>
      </c>
      <c r="C471" s="3">
        <v>45709.801921296297</v>
      </c>
      <c r="D471" t="s">
        <v>157</v>
      </c>
      <c r="E471" s="4">
        <v>2.9131664633750914E-3</v>
      </c>
      <c r="F471" s="4">
        <v>349727.80358005915</v>
      </c>
      <c r="G471" s="4">
        <v>349727.80649322562</v>
      </c>
      <c r="H471" s="5">
        <f t="shared" si="6"/>
        <v>0</v>
      </c>
      <c r="I471" t="s">
        <v>121</v>
      </c>
      <c r="J471" t="s">
        <v>48</v>
      </c>
      <c r="K471" s="5">
        <f>34 / 86400</f>
        <v>3.9351851851851852E-4</v>
      </c>
      <c r="L471" s="5">
        <f>20 / 86400</f>
        <v>2.3148148148148149E-4</v>
      </c>
    </row>
    <row r="472" spans="1:12" x14ac:dyDescent="0.25">
      <c r="A472" s="3">
        <v>45709.802152777775</v>
      </c>
      <c r="B472" t="s">
        <v>157</v>
      </c>
      <c r="C472" s="3">
        <v>45709.807881944449</v>
      </c>
      <c r="D472" t="s">
        <v>374</v>
      </c>
      <c r="E472" s="4">
        <v>1.8810719930529594</v>
      </c>
      <c r="F472" s="4">
        <v>349727.81060721166</v>
      </c>
      <c r="G472" s="4">
        <v>349729.6916792047</v>
      </c>
      <c r="H472" s="5">
        <f t="shared" si="6"/>
        <v>0</v>
      </c>
      <c r="I472" t="s">
        <v>230</v>
      </c>
      <c r="J472" t="s">
        <v>57</v>
      </c>
      <c r="K472" s="5">
        <f>495 / 86400</f>
        <v>5.7291666666666663E-3</v>
      </c>
      <c r="L472" s="5">
        <f>3 / 86400</f>
        <v>3.4722222222222222E-5</v>
      </c>
    </row>
    <row r="473" spans="1:12" x14ac:dyDescent="0.25">
      <c r="A473" s="3">
        <v>45709.807916666672</v>
      </c>
      <c r="B473" t="s">
        <v>374</v>
      </c>
      <c r="C473" s="3">
        <v>45709.809849537036</v>
      </c>
      <c r="D473" t="s">
        <v>392</v>
      </c>
      <c r="E473" s="4">
        <v>0.76523432654142376</v>
      </c>
      <c r="F473" s="4">
        <v>349729.69445677695</v>
      </c>
      <c r="G473" s="4">
        <v>349730.45969110349</v>
      </c>
      <c r="H473" s="5">
        <f t="shared" si="6"/>
        <v>0</v>
      </c>
      <c r="I473" t="s">
        <v>91</v>
      </c>
      <c r="J473" t="s">
        <v>28</v>
      </c>
      <c r="K473" s="5">
        <f>167 / 86400</f>
        <v>1.9328703703703704E-3</v>
      </c>
      <c r="L473" s="5">
        <f>60 / 86400</f>
        <v>6.9444444444444447E-4</v>
      </c>
    </row>
    <row r="474" spans="1:12" x14ac:dyDescent="0.25">
      <c r="A474" s="3">
        <v>45709.810543981483</v>
      </c>
      <c r="B474" t="s">
        <v>317</v>
      </c>
      <c r="C474" s="3">
        <v>45709.81077546296</v>
      </c>
      <c r="D474" t="s">
        <v>317</v>
      </c>
      <c r="E474" s="4">
        <v>5.8396027684211732E-3</v>
      </c>
      <c r="F474" s="4">
        <v>349730.50254934659</v>
      </c>
      <c r="G474" s="4">
        <v>349730.50838894933</v>
      </c>
      <c r="H474" s="5">
        <f t="shared" si="6"/>
        <v>0</v>
      </c>
      <c r="I474" t="s">
        <v>121</v>
      </c>
      <c r="J474" t="s">
        <v>47</v>
      </c>
      <c r="K474" s="5">
        <f>20 / 86400</f>
        <v>2.3148148148148149E-4</v>
      </c>
      <c r="L474" s="5">
        <f>20 / 86400</f>
        <v>2.3148148148148149E-4</v>
      </c>
    </row>
    <row r="475" spans="1:12" x14ac:dyDescent="0.25">
      <c r="A475" s="3">
        <v>45709.811006944445</v>
      </c>
      <c r="B475" t="s">
        <v>317</v>
      </c>
      <c r="C475" s="3">
        <v>45709.811238425929</v>
      </c>
      <c r="D475" t="s">
        <v>317</v>
      </c>
      <c r="E475" s="4">
        <v>2.4761348962783814E-3</v>
      </c>
      <c r="F475" s="4">
        <v>349730.5302494216</v>
      </c>
      <c r="G475" s="4">
        <v>349730.53272555652</v>
      </c>
      <c r="H475" s="5">
        <f t="shared" si="6"/>
        <v>0</v>
      </c>
      <c r="I475" t="s">
        <v>122</v>
      </c>
      <c r="J475" t="s">
        <v>48</v>
      </c>
      <c r="K475" s="5">
        <f>20 / 86400</f>
        <v>2.3148148148148149E-4</v>
      </c>
      <c r="L475" s="5">
        <f>78 / 86400</f>
        <v>9.0277777777777774E-4</v>
      </c>
    </row>
    <row r="476" spans="1:12" x14ac:dyDescent="0.25">
      <c r="A476" s="3">
        <v>45709.8121412037</v>
      </c>
      <c r="B476" t="s">
        <v>317</v>
      </c>
      <c r="C476" s="3">
        <v>45709.814444444448</v>
      </c>
      <c r="D476" t="s">
        <v>393</v>
      </c>
      <c r="E476" s="4">
        <v>1.5031511207222938</v>
      </c>
      <c r="F476" s="4">
        <v>349730.54811436316</v>
      </c>
      <c r="G476" s="4">
        <v>349732.05126548384</v>
      </c>
      <c r="H476" s="5">
        <f t="shared" si="6"/>
        <v>0</v>
      </c>
      <c r="I476" t="s">
        <v>131</v>
      </c>
      <c r="J476" t="s">
        <v>150</v>
      </c>
      <c r="K476" s="5">
        <f>199 / 86400</f>
        <v>2.3032407407407407E-3</v>
      </c>
      <c r="L476" s="5">
        <f>20 / 86400</f>
        <v>2.3148148148148149E-4</v>
      </c>
    </row>
    <row r="477" spans="1:12" x14ac:dyDescent="0.25">
      <c r="A477" s="3">
        <v>45709.814675925925</v>
      </c>
      <c r="B477" t="s">
        <v>394</v>
      </c>
      <c r="C477" s="3">
        <v>45709.816296296296</v>
      </c>
      <c r="D477" t="s">
        <v>63</v>
      </c>
      <c r="E477" s="4">
        <v>0.86626335221529005</v>
      </c>
      <c r="F477" s="4">
        <v>349732.07598593924</v>
      </c>
      <c r="G477" s="4">
        <v>349732.94224929146</v>
      </c>
      <c r="H477" s="5">
        <f t="shared" ref="H477:H540" si="8">0 / 86400</f>
        <v>0</v>
      </c>
      <c r="I477" t="s">
        <v>196</v>
      </c>
      <c r="J477" t="s">
        <v>143</v>
      </c>
      <c r="K477" s="5">
        <f>140 / 86400</f>
        <v>1.6203703703703703E-3</v>
      </c>
      <c r="L477" s="5">
        <f>67 / 86400</f>
        <v>7.7546296296296293E-4</v>
      </c>
    </row>
    <row r="478" spans="1:12" x14ac:dyDescent="0.25">
      <c r="A478" s="3">
        <v>45709.817071759258</v>
      </c>
      <c r="B478" t="s">
        <v>63</v>
      </c>
      <c r="C478" s="3">
        <v>45709.817766203705</v>
      </c>
      <c r="D478" t="s">
        <v>395</v>
      </c>
      <c r="E478" s="4">
        <v>0.11237911140918731</v>
      </c>
      <c r="F478" s="4">
        <v>349732.9640993767</v>
      </c>
      <c r="G478" s="4">
        <v>349733.0764784881</v>
      </c>
      <c r="H478" s="5">
        <f t="shared" si="8"/>
        <v>0</v>
      </c>
      <c r="I478" t="s">
        <v>88</v>
      </c>
      <c r="J478" t="s">
        <v>88</v>
      </c>
      <c r="K478" s="5">
        <f>60 / 86400</f>
        <v>6.9444444444444447E-4</v>
      </c>
      <c r="L478" s="5">
        <f>103 / 86400</f>
        <v>1.1921296296296296E-3</v>
      </c>
    </row>
    <row r="479" spans="1:12" x14ac:dyDescent="0.25">
      <c r="A479" s="3">
        <v>45709.81895833333</v>
      </c>
      <c r="B479" t="s">
        <v>395</v>
      </c>
      <c r="C479" s="3">
        <v>45709.819189814814</v>
      </c>
      <c r="D479" t="s">
        <v>63</v>
      </c>
      <c r="E479" s="4">
        <v>1.507313871383667E-2</v>
      </c>
      <c r="F479" s="4">
        <v>349733.10209293652</v>
      </c>
      <c r="G479" s="4">
        <v>349733.11716607522</v>
      </c>
      <c r="H479" s="5">
        <f t="shared" si="8"/>
        <v>0</v>
      </c>
      <c r="I479" t="s">
        <v>134</v>
      </c>
      <c r="J479" t="s">
        <v>135</v>
      </c>
      <c r="K479" s="5">
        <f>20 / 86400</f>
        <v>2.3148148148148149E-4</v>
      </c>
      <c r="L479" s="5">
        <f>56 / 86400</f>
        <v>6.4814814814814813E-4</v>
      </c>
    </row>
    <row r="480" spans="1:12" x14ac:dyDescent="0.25">
      <c r="A480" s="3">
        <v>45709.819837962961</v>
      </c>
      <c r="B480" t="s">
        <v>63</v>
      </c>
      <c r="C480" s="3">
        <v>45709.821087962962</v>
      </c>
      <c r="D480" t="s">
        <v>396</v>
      </c>
      <c r="E480" s="4">
        <v>0.16756321388483048</v>
      </c>
      <c r="F480" s="4">
        <v>349733.12836846936</v>
      </c>
      <c r="G480" s="4">
        <v>349733.29593168327</v>
      </c>
      <c r="H480" s="5">
        <f t="shared" si="8"/>
        <v>0</v>
      </c>
      <c r="I480" t="s">
        <v>60</v>
      </c>
      <c r="J480" t="s">
        <v>134</v>
      </c>
      <c r="K480" s="5">
        <f>108 / 86400</f>
        <v>1.25E-3</v>
      </c>
      <c r="L480" s="5">
        <f>17 / 86400</f>
        <v>1.9675925925925926E-4</v>
      </c>
    </row>
    <row r="481" spans="1:12" x14ac:dyDescent="0.25">
      <c r="A481" s="3">
        <v>45709.821284722224</v>
      </c>
      <c r="B481" t="s">
        <v>63</v>
      </c>
      <c r="C481" s="3">
        <v>45709.822083333333</v>
      </c>
      <c r="D481" t="s">
        <v>63</v>
      </c>
      <c r="E481" s="4">
        <v>8.1220399916172026E-2</v>
      </c>
      <c r="F481" s="4">
        <v>349733.32247255452</v>
      </c>
      <c r="G481" s="4">
        <v>349733.40369295439</v>
      </c>
      <c r="H481" s="5">
        <f t="shared" si="8"/>
        <v>0</v>
      </c>
      <c r="I481" t="s">
        <v>28</v>
      </c>
      <c r="J481" t="s">
        <v>30</v>
      </c>
      <c r="K481" s="5">
        <f>69 / 86400</f>
        <v>7.9861111111111116E-4</v>
      </c>
      <c r="L481" s="5">
        <f>20 / 86400</f>
        <v>2.3148148148148149E-4</v>
      </c>
    </row>
    <row r="482" spans="1:12" x14ac:dyDescent="0.25">
      <c r="A482" s="3">
        <v>45709.82231481481</v>
      </c>
      <c r="B482" t="s">
        <v>63</v>
      </c>
      <c r="C482" s="3">
        <v>45709.823009259257</v>
      </c>
      <c r="D482" t="s">
        <v>63</v>
      </c>
      <c r="E482" s="4">
        <v>9.0375685870647426E-2</v>
      </c>
      <c r="F482" s="4">
        <v>349733.41893166915</v>
      </c>
      <c r="G482" s="4">
        <v>349733.50930735504</v>
      </c>
      <c r="H482" s="5">
        <f t="shared" si="8"/>
        <v>0</v>
      </c>
      <c r="I482" t="s">
        <v>60</v>
      </c>
      <c r="J482" t="s">
        <v>121</v>
      </c>
      <c r="K482" s="5">
        <f>60 / 86400</f>
        <v>6.9444444444444447E-4</v>
      </c>
      <c r="L482" s="5">
        <f>59 / 86400</f>
        <v>6.8287037037037036E-4</v>
      </c>
    </row>
    <row r="483" spans="1:12" x14ac:dyDescent="0.25">
      <c r="A483" s="3">
        <v>45709.823692129634</v>
      </c>
      <c r="B483" t="s">
        <v>373</v>
      </c>
      <c r="C483" s="3">
        <v>45709.824710648143</v>
      </c>
      <c r="D483" t="s">
        <v>397</v>
      </c>
      <c r="E483" s="4">
        <v>0.22885634684562683</v>
      </c>
      <c r="F483" s="4">
        <v>349733.54497928085</v>
      </c>
      <c r="G483" s="4">
        <v>349733.77383562765</v>
      </c>
      <c r="H483" s="5">
        <f t="shared" si="8"/>
        <v>0</v>
      </c>
      <c r="I483" t="s">
        <v>60</v>
      </c>
      <c r="J483" t="s">
        <v>125</v>
      </c>
      <c r="K483" s="5">
        <f>88 / 86400</f>
        <v>1.0185185185185184E-3</v>
      </c>
      <c r="L483" s="5">
        <f>9 / 86400</f>
        <v>1.0416666666666667E-4</v>
      </c>
    </row>
    <row r="484" spans="1:12" x14ac:dyDescent="0.25">
      <c r="A484" s="3">
        <v>45709.824814814812</v>
      </c>
      <c r="B484" t="s">
        <v>397</v>
      </c>
      <c r="C484" s="3">
        <v>45709.826111111106</v>
      </c>
      <c r="D484" t="s">
        <v>252</v>
      </c>
      <c r="E484" s="4">
        <v>0.38686384725570677</v>
      </c>
      <c r="F484" s="4">
        <v>349733.79361984821</v>
      </c>
      <c r="G484" s="4">
        <v>349734.18048369547</v>
      </c>
      <c r="H484" s="5">
        <f t="shared" si="8"/>
        <v>0</v>
      </c>
      <c r="I484" t="s">
        <v>29</v>
      </c>
      <c r="J484" t="s">
        <v>55</v>
      </c>
      <c r="K484" s="5">
        <f>112 / 86400</f>
        <v>1.2962962962962963E-3</v>
      </c>
      <c r="L484" s="5">
        <f>9 / 86400</f>
        <v>1.0416666666666667E-4</v>
      </c>
    </row>
    <row r="485" spans="1:12" x14ac:dyDescent="0.25">
      <c r="A485" s="3">
        <v>45709.826215277775</v>
      </c>
      <c r="B485" t="s">
        <v>398</v>
      </c>
      <c r="C485" s="3">
        <v>45709.826608796298</v>
      </c>
      <c r="D485" t="s">
        <v>101</v>
      </c>
      <c r="E485" s="4">
        <v>0.10499457913637161</v>
      </c>
      <c r="F485" s="4">
        <v>349734.2007957201</v>
      </c>
      <c r="G485" s="4">
        <v>349734.30579029926</v>
      </c>
      <c r="H485" s="5">
        <f t="shared" si="8"/>
        <v>0</v>
      </c>
      <c r="I485" t="s">
        <v>77</v>
      </c>
      <c r="J485" t="s">
        <v>128</v>
      </c>
      <c r="K485" s="5">
        <f>34 / 86400</f>
        <v>3.9351851851851852E-4</v>
      </c>
      <c r="L485" s="5">
        <f>20 / 86400</f>
        <v>2.3148148148148149E-4</v>
      </c>
    </row>
    <row r="486" spans="1:12" x14ac:dyDescent="0.25">
      <c r="A486" s="3">
        <v>45709.826840277776</v>
      </c>
      <c r="B486" t="s">
        <v>101</v>
      </c>
      <c r="C486" s="3">
        <v>45709.828726851847</v>
      </c>
      <c r="D486" t="s">
        <v>327</v>
      </c>
      <c r="E486" s="4">
        <v>0.60612953299283978</v>
      </c>
      <c r="F486" s="4">
        <v>349734.31627663702</v>
      </c>
      <c r="G486" s="4">
        <v>349734.92240616999</v>
      </c>
      <c r="H486" s="5">
        <f t="shared" si="8"/>
        <v>0</v>
      </c>
      <c r="I486" t="s">
        <v>247</v>
      </c>
      <c r="J486" t="s">
        <v>26</v>
      </c>
      <c r="K486" s="5">
        <f>163 / 86400</f>
        <v>1.8865740740740742E-3</v>
      </c>
      <c r="L486" s="5">
        <f>19 / 86400</f>
        <v>2.199074074074074E-4</v>
      </c>
    </row>
    <row r="487" spans="1:12" x14ac:dyDescent="0.25">
      <c r="A487" s="3">
        <v>45709.828946759255</v>
      </c>
      <c r="B487" t="s">
        <v>327</v>
      </c>
      <c r="C487" s="3">
        <v>45709.829409722224</v>
      </c>
      <c r="D487" t="s">
        <v>327</v>
      </c>
      <c r="E487" s="4">
        <v>1.9139301776885987E-2</v>
      </c>
      <c r="F487" s="4">
        <v>349734.92477635067</v>
      </c>
      <c r="G487" s="4">
        <v>349734.94391565246</v>
      </c>
      <c r="H487" s="5">
        <f t="shared" si="8"/>
        <v>0</v>
      </c>
      <c r="I487" t="s">
        <v>125</v>
      </c>
      <c r="J487" t="s">
        <v>122</v>
      </c>
      <c r="K487" s="5">
        <f>40 / 86400</f>
        <v>4.6296296296296298E-4</v>
      </c>
      <c r="L487" s="5">
        <f>19 / 86400</f>
        <v>2.199074074074074E-4</v>
      </c>
    </row>
    <row r="488" spans="1:12" x14ac:dyDescent="0.25">
      <c r="A488" s="3">
        <v>45709.829629629632</v>
      </c>
      <c r="B488" t="s">
        <v>327</v>
      </c>
      <c r="C488" s="3">
        <v>45709.838206018518</v>
      </c>
      <c r="D488" t="s">
        <v>331</v>
      </c>
      <c r="E488" s="4">
        <v>4.0771648806333545</v>
      </c>
      <c r="F488" s="4">
        <v>349734.94616241119</v>
      </c>
      <c r="G488" s="4">
        <v>349739.02332729183</v>
      </c>
      <c r="H488" s="5">
        <f t="shared" si="8"/>
        <v>0</v>
      </c>
      <c r="I488" t="s">
        <v>181</v>
      </c>
      <c r="J488" t="s">
        <v>33</v>
      </c>
      <c r="K488" s="5">
        <f>741 / 86400</f>
        <v>8.5763888888888886E-3</v>
      </c>
      <c r="L488" s="5">
        <f>13 / 86400</f>
        <v>1.5046296296296297E-4</v>
      </c>
    </row>
    <row r="489" spans="1:12" x14ac:dyDescent="0.25">
      <c r="A489" s="3">
        <v>45709.838356481487</v>
      </c>
      <c r="B489" t="s">
        <v>331</v>
      </c>
      <c r="C489" s="3">
        <v>45709.838587962964</v>
      </c>
      <c r="D489" t="s">
        <v>331</v>
      </c>
      <c r="E489" s="4">
        <v>1.4279724597930908E-2</v>
      </c>
      <c r="F489" s="4">
        <v>349739.0318738051</v>
      </c>
      <c r="G489" s="4">
        <v>349739.04615352972</v>
      </c>
      <c r="H489" s="5">
        <f t="shared" si="8"/>
        <v>0</v>
      </c>
      <c r="I489" t="s">
        <v>88</v>
      </c>
      <c r="J489" t="s">
        <v>135</v>
      </c>
      <c r="K489" s="5">
        <f>20 / 86400</f>
        <v>2.3148148148148149E-4</v>
      </c>
      <c r="L489" s="5">
        <f>12 / 86400</f>
        <v>1.3888888888888889E-4</v>
      </c>
    </row>
    <row r="490" spans="1:12" x14ac:dyDescent="0.25">
      <c r="A490" s="3">
        <v>45709.838726851856</v>
      </c>
      <c r="B490" t="s">
        <v>331</v>
      </c>
      <c r="C490" s="3">
        <v>45709.838958333334</v>
      </c>
      <c r="D490" t="s">
        <v>331</v>
      </c>
      <c r="E490" s="4">
        <v>3.1004428327083586E-2</v>
      </c>
      <c r="F490" s="4">
        <v>349739.05058186204</v>
      </c>
      <c r="G490" s="4">
        <v>349739.08158629038</v>
      </c>
      <c r="H490" s="5">
        <f t="shared" si="8"/>
        <v>0</v>
      </c>
      <c r="I490" t="s">
        <v>134</v>
      </c>
      <c r="J490" t="s">
        <v>134</v>
      </c>
      <c r="K490" s="5">
        <f>20 / 86400</f>
        <v>2.3148148148148149E-4</v>
      </c>
      <c r="L490" s="5">
        <f>20 / 86400</f>
        <v>2.3148148148148149E-4</v>
      </c>
    </row>
    <row r="491" spans="1:12" x14ac:dyDescent="0.25">
      <c r="A491" s="3">
        <v>45709.839189814811</v>
      </c>
      <c r="B491" t="s">
        <v>331</v>
      </c>
      <c r="C491" s="3">
        <v>45709.839479166665</v>
      </c>
      <c r="D491" t="s">
        <v>331</v>
      </c>
      <c r="E491" s="4">
        <v>1.2144172310829163E-2</v>
      </c>
      <c r="F491" s="4">
        <v>349739.09934751072</v>
      </c>
      <c r="G491" s="4">
        <v>349739.111491683</v>
      </c>
      <c r="H491" s="5">
        <f t="shared" si="8"/>
        <v>0</v>
      </c>
      <c r="I491" t="s">
        <v>88</v>
      </c>
      <c r="J491" t="s">
        <v>122</v>
      </c>
      <c r="K491" s="5">
        <f>25 / 86400</f>
        <v>2.8935185185185184E-4</v>
      </c>
      <c r="L491" s="5">
        <f>7 / 86400</f>
        <v>8.1018518518518516E-5</v>
      </c>
    </row>
    <row r="492" spans="1:12" x14ac:dyDescent="0.25">
      <c r="A492" s="3">
        <v>45709.839560185181</v>
      </c>
      <c r="B492" t="s">
        <v>331</v>
      </c>
      <c r="C492" s="3">
        <v>45709.839791666665</v>
      </c>
      <c r="D492" t="s">
        <v>331</v>
      </c>
      <c r="E492" s="4">
        <v>3.5078775286674501E-3</v>
      </c>
      <c r="F492" s="4">
        <v>349739.11556768458</v>
      </c>
      <c r="G492" s="4">
        <v>349739.11907556211</v>
      </c>
      <c r="H492" s="5">
        <f t="shared" si="8"/>
        <v>0</v>
      </c>
      <c r="I492" t="s">
        <v>121</v>
      </c>
      <c r="J492" t="s">
        <v>47</v>
      </c>
      <c r="K492" s="5">
        <f>20 / 86400</f>
        <v>2.3148148148148149E-4</v>
      </c>
      <c r="L492" s="5">
        <f>20 / 86400</f>
        <v>2.3148148148148149E-4</v>
      </c>
    </row>
    <row r="493" spans="1:12" x14ac:dyDescent="0.25">
      <c r="A493" s="3">
        <v>45709.84002314815</v>
      </c>
      <c r="B493" t="s">
        <v>331</v>
      </c>
      <c r="C493" s="3">
        <v>45709.840682870374</v>
      </c>
      <c r="D493" t="s">
        <v>331</v>
      </c>
      <c r="E493" s="4">
        <v>9.0983613908290864E-2</v>
      </c>
      <c r="F493" s="4">
        <v>349739.13633212546</v>
      </c>
      <c r="G493" s="4">
        <v>349739.22731573938</v>
      </c>
      <c r="H493" s="5">
        <f t="shared" si="8"/>
        <v>0</v>
      </c>
      <c r="I493" t="s">
        <v>88</v>
      </c>
      <c r="J493" t="s">
        <v>134</v>
      </c>
      <c r="K493" s="5">
        <f>57 / 86400</f>
        <v>6.5972222222222224E-4</v>
      </c>
      <c r="L493" s="5">
        <f>4 / 86400</f>
        <v>4.6296296296296294E-5</v>
      </c>
    </row>
    <row r="494" spans="1:12" x14ac:dyDescent="0.25">
      <c r="A494" s="3">
        <v>45709.840729166666</v>
      </c>
      <c r="B494" t="s">
        <v>331</v>
      </c>
      <c r="C494" s="3">
        <v>45709.842430555553</v>
      </c>
      <c r="D494" t="s">
        <v>399</v>
      </c>
      <c r="E494" s="4">
        <v>0.8091742133498192</v>
      </c>
      <c r="F494" s="4">
        <v>349739.22961615917</v>
      </c>
      <c r="G494" s="4">
        <v>349740.03879037249</v>
      </c>
      <c r="H494" s="5">
        <f t="shared" si="8"/>
        <v>0</v>
      </c>
      <c r="I494" t="s">
        <v>228</v>
      </c>
      <c r="J494" t="s">
        <v>33</v>
      </c>
      <c r="K494" s="5">
        <f>147 / 86400</f>
        <v>1.7013888888888888E-3</v>
      </c>
      <c r="L494" s="5">
        <f>109 / 86400</f>
        <v>1.261574074074074E-3</v>
      </c>
    </row>
    <row r="495" spans="1:12" x14ac:dyDescent="0.25">
      <c r="A495" s="3">
        <v>45709.843692129631</v>
      </c>
      <c r="B495" t="s">
        <v>331</v>
      </c>
      <c r="C495" s="3">
        <v>45709.844988425924</v>
      </c>
      <c r="D495" t="s">
        <v>243</v>
      </c>
      <c r="E495" s="4">
        <v>0.35516465765237809</v>
      </c>
      <c r="F495" s="4">
        <v>349740.49237411184</v>
      </c>
      <c r="G495" s="4">
        <v>349740.84753876948</v>
      </c>
      <c r="H495" s="5">
        <f t="shared" si="8"/>
        <v>0</v>
      </c>
      <c r="I495" t="s">
        <v>91</v>
      </c>
      <c r="J495" t="s">
        <v>128</v>
      </c>
      <c r="K495" s="5">
        <f>112 / 86400</f>
        <v>1.2962962962962963E-3</v>
      </c>
      <c r="L495" s="5">
        <f>11 / 86400</f>
        <v>1.273148148148148E-4</v>
      </c>
    </row>
    <row r="496" spans="1:12" x14ac:dyDescent="0.25">
      <c r="A496" s="3">
        <v>45709.84511574074</v>
      </c>
      <c r="B496" t="s">
        <v>240</v>
      </c>
      <c r="C496" s="3">
        <v>45709.845891203702</v>
      </c>
      <c r="D496" t="s">
        <v>363</v>
      </c>
      <c r="E496" s="4">
        <v>0.14937733650207519</v>
      </c>
      <c r="F496" s="4">
        <v>349740.86367252603</v>
      </c>
      <c r="G496" s="4">
        <v>349741.01304986252</v>
      </c>
      <c r="H496" s="5">
        <f t="shared" si="8"/>
        <v>0</v>
      </c>
      <c r="I496" t="s">
        <v>128</v>
      </c>
      <c r="J496" t="s">
        <v>59</v>
      </c>
      <c r="K496" s="5">
        <f>67 / 86400</f>
        <v>7.7546296296296293E-4</v>
      </c>
      <c r="L496" s="5">
        <f>20 / 86400</f>
        <v>2.3148148148148149E-4</v>
      </c>
    </row>
    <row r="497" spans="1:12" x14ac:dyDescent="0.25">
      <c r="A497" s="3">
        <v>45709.846122685187</v>
      </c>
      <c r="B497" t="s">
        <v>363</v>
      </c>
      <c r="C497" s="3">
        <v>45709.846585648149</v>
      </c>
      <c r="D497" t="s">
        <v>18</v>
      </c>
      <c r="E497" s="4">
        <v>0.12751360487937927</v>
      </c>
      <c r="F497" s="4">
        <v>349741.02992423601</v>
      </c>
      <c r="G497" s="4">
        <v>349741.15743784088</v>
      </c>
      <c r="H497" s="5">
        <f t="shared" si="8"/>
        <v>0</v>
      </c>
      <c r="I497" t="s">
        <v>143</v>
      </c>
      <c r="J497" t="s">
        <v>128</v>
      </c>
      <c r="K497" s="5">
        <f>40 / 86400</f>
        <v>4.6296296296296298E-4</v>
      </c>
      <c r="L497" s="5">
        <f>12 / 86400</f>
        <v>1.3888888888888889E-4</v>
      </c>
    </row>
    <row r="498" spans="1:12" x14ac:dyDescent="0.25">
      <c r="A498" s="3">
        <v>45709.846724537041</v>
      </c>
      <c r="B498" t="s">
        <v>18</v>
      </c>
      <c r="C498" s="3">
        <v>45709.847881944443</v>
      </c>
      <c r="D498" t="s">
        <v>119</v>
      </c>
      <c r="E498" s="4">
        <v>0.4021696343421936</v>
      </c>
      <c r="F498" s="4">
        <v>349741.16112156992</v>
      </c>
      <c r="G498" s="4">
        <v>349741.56329120428</v>
      </c>
      <c r="H498" s="5">
        <f t="shared" si="8"/>
        <v>0</v>
      </c>
      <c r="I498" t="s">
        <v>91</v>
      </c>
      <c r="J498" t="s">
        <v>57</v>
      </c>
      <c r="K498" s="5">
        <f>100 / 86400</f>
        <v>1.1574074074074073E-3</v>
      </c>
      <c r="L498" s="5">
        <f>40 / 86400</f>
        <v>4.6296296296296298E-4</v>
      </c>
    </row>
    <row r="499" spans="1:12" x14ac:dyDescent="0.25">
      <c r="A499" s="3">
        <v>45709.848344907412</v>
      </c>
      <c r="B499" t="s">
        <v>119</v>
      </c>
      <c r="C499" s="3">
        <v>45709.849039351851</v>
      </c>
      <c r="D499" t="s">
        <v>240</v>
      </c>
      <c r="E499" s="4">
        <v>0.12909385383129121</v>
      </c>
      <c r="F499" s="4">
        <v>349741.58082432213</v>
      </c>
      <c r="G499" s="4">
        <v>349741.70991817594</v>
      </c>
      <c r="H499" s="5">
        <f t="shared" si="8"/>
        <v>0</v>
      </c>
      <c r="I499" t="s">
        <v>77</v>
      </c>
      <c r="J499" t="s">
        <v>59</v>
      </c>
      <c r="K499" s="5">
        <f>60 / 86400</f>
        <v>6.9444444444444447E-4</v>
      </c>
      <c r="L499" s="5">
        <f>40 / 86400</f>
        <v>4.6296296296296298E-4</v>
      </c>
    </row>
    <row r="500" spans="1:12" x14ac:dyDescent="0.25">
      <c r="A500" s="3">
        <v>45709.849502314813</v>
      </c>
      <c r="B500" t="s">
        <v>338</v>
      </c>
      <c r="C500" s="3">
        <v>45709.850428240738</v>
      </c>
      <c r="D500" t="s">
        <v>339</v>
      </c>
      <c r="E500" s="4">
        <v>0.12478117382526398</v>
      </c>
      <c r="F500" s="4">
        <v>349741.73925021588</v>
      </c>
      <c r="G500" s="4">
        <v>349741.8640313897</v>
      </c>
      <c r="H500" s="5">
        <f t="shared" si="8"/>
        <v>0</v>
      </c>
      <c r="I500" t="s">
        <v>60</v>
      </c>
      <c r="J500" t="s">
        <v>134</v>
      </c>
      <c r="K500" s="5">
        <f>80 / 86400</f>
        <v>9.2592592592592596E-4</v>
      </c>
      <c r="L500" s="5">
        <f>11 / 86400</f>
        <v>1.273148148148148E-4</v>
      </c>
    </row>
    <row r="501" spans="1:12" x14ac:dyDescent="0.25">
      <c r="A501" s="3">
        <v>45709.85055555556</v>
      </c>
      <c r="B501" t="s">
        <v>339</v>
      </c>
      <c r="C501" s="3">
        <v>45709.851018518515</v>
      </c>
      <c r="D501" t="s">
        <v>339</v>
      </c>
      <c r="E501" s="4">
        <v>0.14465881103277206</v>
      </c>
      <c r="F501" s="4">
        <v>349741.86687202181</v>
      </c>
      <c r="G501" s="4">
        <v>349742.01153083285</v>
      </c>
      <c r="H501" s="5">
        <f t="shared" si="8"/>
        <v>0</v>
      </c>
      <c r="I501" t="s">
        <v>52</v>
      </c>
      <c r="J501" t="s">
        <v>26</v>
      </c>
      <c r="K501" s="5">
        <f>40 / 86400</f>
        <v>4.6296296296296298E-4</v>
      </c>
      <c r="L501" s="5">
        <f t="shared" ref="L501:L506" si="9">20 / 86400</f>
        <v>2.3148148148148149E-4</v>
      </c>
    </row>
    <row r="502" spans="1:12" x14ac:dyDescent="0.25">
      <c r="A502" s="3">
        <v>45709.85125</v>
      </c>
      <c r="B502" t="s">
        <v>92</v>
      </c>
      <c r="C502" s="3">
        <v>45709.851712962962</v>
      </c>
      <c r="D502" t="s">
        <v>92</v>
      </c>
      <c r="E502" s="4">
        <v>6.6823697447776789E-2</v>
      </c>
      <c r="F502" s="4">
        <v>349742.05906656309</v>
      </c>
      <c r="G502" s="4">
        <v>349742.1258902605</v>
      </c>
      <c r="H502" s="5">
        <f t="shared" si="8"/>
        <v>0</v>
      </c>
      <c r="I502" t="s">
        <v>55</v>
      </c>
      <c r="J502" t="s">
        <v>134</v>
      </c>
      <c r="K502" s="5">
        <f>40 / 86400</f>
        <v>4.6296296296296298E-4</v>
      </c>
      <c r="L502" s="5">
        <f t="shared" si="9"/>
        <v>2.3148148148148149E-4</v>
      </c>
    </row>
    <row r="503" spans="1:12" x14ac:dyDescent="0.25">
      <c r="A503" s="3">
        <v>45709.851944444439</v>
      </c>
      <c r="B503" t="s">
        <v>92</v>
      </c>
      <c r="C503" s="3">
        <v>45709.852638888886</v>
      </c>
      <c r="D503" t="s">
        <v>92</v>
      </c>
      <c r="E503" s="4">
        <v>0.1536209575533867</v>
      </c>
      <c r="F503" s="4">
        <v>349742.15203959547</v>
      </c>
      <c r="G503" s="4">
        <v>349742.30566055304</v>
      </c>
      <c r="H503" s="5">
        <f t="shared" si="8"/>
        <v>0</v>
      </c>
      <c r="I503" t="s">
        <v>57</v>
      </c>
      <c r="J503" t="s">
        <v>125</v>
      </c>
      <c r="K503" s="5">
        <f>60 / 86400</f>
        <v>6.9444444444444447E-4</v>
      </c>
      <c r="L503" s="5">
        <f t="shared" si="9"/>
        <v>2.3148148148148149E-4</v>
      </c>
    </row>
    <row r="504" spans="1:12" x14ac:dyDescent="0.25">
      <c r="A504" s="3">
        <v>45709.852870370371</v>
      </c>
      <c r="B504" t="s">
        <v>92</v>
      </c>
      <c r="C504" s="3">
        <v>45709.85356481481</v>
      </c>
      <c r="D504" t="s">
        <v>340</v>
      </c>
      <c r="E504" s="4">
        <v>0.11303905946016311</v>
      </c>
      <c r="F504" s="4">
        <v>349742.35058070032</v>
      </c>
      <c r="G504" s="4">
        <v>349742.46361975977</v>
      </c>
      <c r="H504" s="5">
        <f t="shared" si="8"/>
        <v>0</v>
      </c>
      <c r="I504" t="s">
        <v>41</v>
      </c>
      <c r="J504" t="s">
        <v>88</v>
      </c>
      <c r="K504" s="5">
        <f>60 / 86400</f>
        <v>6.9444444444444447E-4</v>
      </c>
      <c r="L504" s="5">
        <f t="shared" si="9"/>
        <v>2.3148148148148149E-4</v>
      </c>
    </row>
    <row r="505" spans="1:12" x14ac:dyDescent="0.25">
      <c r="A505" s="3">
        <v>45709.853796296295</v>
      </c>
      <c r="B505" t="s">
        <v>92</v>
      </c>
      <c r="C505" s="3">
        <v>45709.854953703703</v>
      </c>
      <c r="D505" t="s">
        <v>92</v>
      </c>
      <c r="E505" s="4">
        <v>0.58391806924343104</v>
      </c>
      <c r="F505" s="4">
        <v>349742.47389675112</v>
      </c>
      <c r="G505" s="4">
        <v>349743.05781482032</v>
      </c>
      <c r="H505" s="5">
        <f t="shared" si="8"/>
        <v>0</v>
      </c>
      <c r="I505" t="s">
        <v>171</v>
      </c>
      <c r="J505" t="s">
        <v>136</v>
      </c>
      <c r="K505" s="5">
        <f>100 / 86400</f>
        <v>1.1574074074074073E-3</v>
      </c>
      <c r="L505" s="5">
        <f t="shared" si="9"/>
        <v>2.3148148148148149E-4</v>
      </c>
    </row>
    <row r="506" spans="1:12" x14ac:dyDescent="0.25">
      <c r="A506" s="3">
        <v>45709.855185185181</v>
      </c>
      <c r="B506" t="s">
        <v>92</v>
      </c>
      <c r="C506" s="3">
        <v>45709.855416666665</v>
      </c>
      <c r="D506" t="s">
        <v>340</v>
      </c>
      <c r="E506" s="4">
        <v>4.1734351336956022E-2</v>
      </c>
      <c r="F506" s="4">
        <v>349743.07703420427</v>
      </c>
      <c r="G506" s="4">
        <v>349743.11876855558</v>
      </c>
      <c r="H506" s="5">
        <f t="shared" si="8"/>
        <v>0</v>
      </c>
      <c r="I506" t="s">
        <v>125</v>
      </c>
      <c r="J506" t="s">
        <v>59</v>
      </c>
      <c r="K506" s="5">
        <f>20 / 86400</f>
        <v>2.3148148148148149E-4</v>
      </c>
      <c r="L506" s="5">
        <f t="shared" si="9"/>
        <v>2.3148148148148149E-4</v>
      </c>
    </row>
    <row r="507" spans="1:12" x14ac:dyDescent="0.25">
      <c r="A507" s="3">
        <v>45709.85564814815</v>
      </c>
      <c r="B507" t="s">
        <v>340</v>
      </c>
      <c r="C507" s="3">
        <v>45709.856342592597</v>
      </c>
      <c r="D507" t="s">
        <v>92</v>
      </c>
      <c r="E507" s="4">
        <v>0.10704326051473617</v>
      </c>
      <c r="F507" s="4">
        <v>349743.12619103538</v>
      </c>
      <c r="G507" s="4">
        <v>349743.23323429591</v>
      </c>
      <c r="H507" s="5">
        <f t="shared" si="8"/>
        <v>0</v>
      </c>
      <c r="I507" t="s">
        <v>55</v>
      </c>
      <c r="J507" t="s">
        <v>134</v>
      </c>
      <c r="K507" s="5">
        <f>60 / 86400</f>
        <v>6.9444444444444447E-4</v>
      </c>
      <c r="L507" s="5">
        <f>6 / 86400</f>
        <v>6.9444444444444444E-5</v>
      </c>
    </row>
    <row r="508" spans="1:12" x14ac:dyDescent="0.25">
      <c r="A508" s="3">
        <v>45709.856412037036</v>
      </c>
      <c r="B508" t="s">
        <v>92</v>
      </c>
      <c r="C508" s="3">
        <v>45709.85664351852</v>
      </c>
      <c r="D508" t="s">
        <v>92</v>
      </c>
      <c r="E508" s="4">
        <v>1.5461454808712005E-2</v>
      </c>
      <c r="F508" s="4">
        <v>349743.23731972952</v>
      </c>
      <c r="G508" s="4">
        <v>349743.25278118433</v>
      </c>
      <c r="H508" s="5">
        <f t="shared" si="8"/>
        <v>0</v>
      </c>
      <c r="I508" t="s">
        <v>134</v>
      </c>
      <c r="J508" t="s">
        <v>135</v>
      </c>
      <c r="K508" s="5">
        <f>20 / 86400</f>
        <v>2.3148148148148149E-4</v>
      </c>
      <c r="L508" s="5">
        <f>7 / 86400</f>
        <v>8.1018518518518516E-5</v>
      </c>
    </row>
    <row r="509" spans="1:12" x14ac:dyDescent="0.25">
      <c r="A509" s="3">
        <v>45709.856724537036</v>
      </c>
      <c r="B509" t="s">
        <v>340</v>
      </c>
      <c r="C509" s="3">
        <v>45709.859965277778</v>
      </c>
      <c r="D509" t="s">
        <v>400</v>
      </c>
      <c r="E509" s="4">
        <v>1.5553128414154054</v>
      </c>
      <c r="F509" s="4">
        <v>349743.26151030004</v>
      </c>
      <c r="G509" s="4">
        <v>349744.81682314147</v>
      </c>
      <c r="H509" s="5">
        <f t="shared" si="8"/>
        <v>0</v>
      </c>
      <c r="I509" t="s">
        <v>212</v>
      </c>
      <c r="J509" t="s">
        <v>33</v>
      </c>
      <c r="K509" s="5">
        <f>280 / 86400</f>
        <v>3.2407407407407406E-3</v>
      </c>
      <c r="L509" s="5">
        <f>20 / 86400</f>
        <v>2.3148148148148149E-4</v>
      </c>
    </row>
    <row r="510" spans="1:12" x14ac:dyDescent="0.25">
      <c r="A510" s="3">
        <v>45709.860196759255</v>
      </c>
      <c r="B510" t="s">
        <v>400</v>
      </c>
      <c r="C510" s="3">
        <v>45709.861122685186</v>
      </c>
      <c r="D510" t="s">
        <v>75</v>
      </c>
      <c r="E510" s="4">
        <v>0.11154353606700897</v>
      </c>
      <c r="F510" s="4">
        <v>349744.83938146866</v>
      </c>
      <c r="G510" s="4">
        <v>349744.95092500473</v>
      </c>
      <c r="H510" s="5">
        <f t="shared" si="8"/>
        <v>0</v>
      </c>
      <c r="I510" t="s">
        <v>125</v>
      </c>
      <c r="J510" t="s">
        <v>121</v>
      </c>
      <c r="K510" s="5">
        <f>80 / 86400</f>
        <v>9.2592592592592596E-4</v>
      </c>
      <c r="L510" s="5">
        <f>17 / 86400</f>
        <v>1.9675925925925926E-4</v>
      </c>
    </row>
    <row r="511" spans="1:12" x14ac:dyDescent="0.25">
      <c r="A511" s="3">
        <v>45709.861319444448</v>
      </c>
      <c r="B511" t="s">
        <v>75</v>
      </c>
      <c r="C511" s="3">
        <v>45709.861782407403</v>
      </c>
      <c r="D511" t="s">
        <v>75</v>
      </c>
      <c r="E511" s="4">
        <v>6.3063681006431574E-2</v>
      </c>
      <c r="F511" s="4">
        <v>349744.95598440169</v>
      </c>
      <c r="G511" s="4">
        <v>349745.0190480827</v>
      </c>
      <c r="H511" s="5">
        <f t="shared" si="8"/>
        <v>0</v>
      </c>
      <c r="I511" t="s">
        <v>88</v>
      </c>
      <c r="J511" t="s">
        <v>134</v>
      </c>
      <c r="K511" s="5">
        <f>40 / 86400</f>
        <v>4.6296296296296298E-4</v>
      </c>
      <c r="L511" s="5">
        <f>29 / 86400</f>
        <v>3.3564814814814812E-4</v>
      </c>
    </row>
    <row r="512" spans="1:12" x14ac:dyDescent="0.25">
      <c r="A512" s="3">
        <v>45709.862118055556</v>
      </c>
      <c r="B512" t="s">
        <v>75</v>
      </c>
      <c r="C512" s="3">
        <v>45709.862349537041</v>
      </c>
      <c r="D512" t="s">
        <v>75</v>
      </c>
      <c r="E512" s="4">
        <v>1.0267723798751831E-2</v>
      </c>
      <c r="F512" s="4">
        <v>349745.05452268169</v>
      </c>
      <c r="G512" s="4">
        <v>349745.06479040551</v>
      </c>
      <c r="H512" s="5">
        <f t="shared" si="8"/>
        <v>0</v>
      </c>
      <c r="I512" t="s">
        <v>121</v>
      </c>
      <c r="J512" t="s">
        <v>122</v>
      </c>
      <c r="K512" s="5">
        <f>20 / 86400</f>
        <v>2.3148148148148149E-4</v>
      </c>
      <c r="L512" s="5">
        <f>40 / 86400</f>
        <v>4.6296296296296298E-4</v>
      </c>
    </row>
    <row r="513" spans="1:12" x14ac:dyDescent="0.25">
      <c r="A513" s="3">
        <v>45709.862812499996</v>
      </c>
      <c r="B513" t="s">
        <v>237</v>
      </c>
      <c r="C513" s="3">
        <v>45709.867442129631</v>
      </c>
      <c r="D513" t="s">
        <v>75</v>
      </c>
      <c r="E513" s="4">
        <v>3.4672684361338617</v>
      </c>
      <c r="F513" s="4">
        <v>349745.08659006958</v>
      </c>
      <c r="G513" s="4">
        <v>349748.55385850574</v>
      </c>
      <c r="H513" s="5">
        <f t="shared" si="8"/>
        <v>0</v>
      </c>
      <c r="I513" t="s">
        <v>96</v>
      </c>
      <c r="J513" t="s">
        <v>29</v>
      </c>
      <c r="K513" s="5">
        <f>400 / 86400</f>
        <v>4.6296296296296294E-3</v>
      </c>
      <c r="L513" s="5">
        <f>13 / 86400</f>
        <v>1.5046296296296297E-4</v>
      </c>
    </row>
    <row r="514" spans="1:12" x14ac:dyDescent="0.25">
      <c r="A514" s="3">
        <v>45709.867592592593</v>
      </c>
      <c r="B514" t="s">
        <v>75</v>
      </c>
      <c r="C514" s="3">
        <v>45709.868055555555</v>
      </c>
      <c r="D514" t="s">
        <v>75</v>
      </c>
      <c r="E514" s="4">
        <v>9.6802900195121763E-2</v>
      </c>
      <c r="F514" s="4">
        <v>349748.55712549842</v>
      </c>
      <c r="G514" s="4">
        <v>349748.65392839862</v>
      </c>
      <c r="H514" s="5">
        <f t="shared" si="8"/>
        <v>0</v>
      </c>
      <c r="I514" t="s">
        <v>125</v>
      </c>
      <c r="J514" t="s">
        <v>125</v>
      </c>
      <c r="K514" s="5">
        <f>40 / 86400</f>
        <v>4.6296296296296298E-4</v>
      </c>
      <c r="L514" s="5">
        <f>25 / 86400</f>
        <v>2.8935185185185184E-4</v>
      </c>
    </row>
    <row r="515" spans="1:12" x14ac:dyDescent="0.25">
      <c r="A515" s="3">
        <v>45709.868344907409</v>
      </c>
      <c r="B515" t="s">
        <v>75</v>
      </c>
      <c r="C515" s="3">
        <v>45709.869733796295</v>
      </c>
      <c r="D515" t="s">
        <v>197</v>
      </c>
      <c r="E515" s="4">
        <v>0.87955859744548792</v>
      </c>
      <c r="F515" s="4">
        <v>349748.65775205015</v>
      </c>
      <c r="G515" s="4">
        <v>349749.5373106476</v>
      </c>
      <c r="H515" s="5">
        <f t="shared" si="8"/>
        <v>0</v>
      </c>
      <c r="I515" t="s">
        <v>54</v>
      </c>
      <c r="J515" t="s">
        <v>168</v>
      </c>
      <c r="K515" s="5">
        <f>120 / 86400</f>
        <v>1.3888888888888889E-3</v>
      </c>
      <c r="L515" s="5">
        <f>20 / 86400</f>
        <v>2.3148148148148149E-4</v>
      </c>
    </row>
    <row r="516" spans="1:12" x14ac:dyDescent="0.25">
      <c r="A516" s="3">
        <v>45709.86996527778</v>
      </c>
      <c r="B516" t="s">
        <v>236</v>
      </c>
      <c r="C516" s="3">
        <v>45709.870196759264</v>
      </c>
      <c r="D516" t="s">
        <v>401</v>
      </c>
      <c r="E516" s="4">
        <v>5.0178155243396756E-2</v>
      </c>
      <c r="F516" s="4">
        <v>349749.56314177049</v>
      </c>
      <c r="G516" s="4">
        <v>349749.61331992573</v>
      </c>
      <c r="H516" s="5">
        <f t="shared" si="8"/>
        <v>0</v>
      </c>
      <c r="I516" t="s">
        <v>125</v>
      </c>
      <c r="J516" t="s">
        <v>125</v>
      </c>
      <c r="K516" s="5">
        <f>20 / 86400</f>
        <v>2.3148148148148149E-4</v>
      </c>
      <c r="L516" s="5">
        <f>5 / 86400</f>
        <v>5.7870370370370373E-5</v>
      </c>
    </row>
    <row r="517" spans="1:12" x14ac:dyDescent="0.25">
      <c r="A517" s="3">
        <v>45709.870254629626</v>
      </c>
      <c r="B517" t="s">
        <v>401</v>
      </c>
      <c r="C517" s="3">
        <v>45709.870520833334</v>
      </c>
      <c r="D517" t="s">
        <v>402</v>
      </c>
      <c r="E517" s="4">
        <v>1.0907128214836121E-2</v>
      </c>
      <c r="F517" s="4">
        <v>349749.61713364761</v>
      </c>
      <c r="G517" s="4">
        <v>349749.62804077583</v>
      </c>
      <c r="H517" s="5">
        <f t="shared" si="8"/>
        <v>0</v>
      </c>
      <c r="I517" t="s">
        <v>88</v>
      </c>
      <c r="J517" t="s">
        <v>122</v>
      </c>
      <c r="K517" s="5">
        <f>23 / 86400</f>
        <v>2.6620370370370372E-4</v>
      </c>
      <c r="L517" s="5">
        <f>40 / 86400</f>
        <v>4.6296296296296298E-4</v>
      </c>
    </row>
    <row r="518" spans="1:12" x14ac:dyDescent="0.25">
      <c r="A518" s="3">
        <v>45709.870983796296</v>
      </c>
      <c r="B518" t="s">
        <v>197</v>
      </c>
      <c r="C518" s="3">
        <v>45709.871446759258</v>
      </c>
      <c r="D518" t="s">
        <v>86</v>
      </c>
      <c r="E518" s="4">
        <v>0.59543795716762538</v>
      </c>
      <c r="F518" s="4">
        <v>349749.80396512168</v>
      </c>
      <c r="G518" s="4">
        <v>349750.39940307883</v>
      </c>
      <c r="H518" s="5">
        <f t="shared" si="8"/>
        <v>0</v>
      </c>
      <c r="I518" t="s">
        <v>40</v>
      </c>
      <c r="J518" t="s">
        <v>200</v>
      </c>
      <c r="K518" s="5">
        <f>40 / 86400</f>
        <v>4.6296296296296298E-4</v>
      </c>
      <c r="L518" s="5">
        <f>60 / 86400</f>
        <v>6.9444444444444447E-4</v>
      </c>
    </row>
    <row r="519" spans="1:12" x14ac:dyDescent="0.25">
      <c r="A519" s="3">
        <v>45709.872141203705</v>
      </c>
      <c r="B519" t="s">
        <v>192</v>
      </c>
      <c r="C519" s="3">
        <v>45709.872372685189</v>
      </c>
      <c r="D519" t="s">
        <v>192</v>
      </c>
      <c r="E519" s="4">
        <v>8.5500578880310062E-3</v>
      </c>
      <c r="F519" s="4">
        <v>349750.40748567798</v>
      </c>
      <c r="G519" s="4">
        <v>349750.41603573586</v>
      </c>
      <c r="H519" s="5">
        <f t="shared" si="8"/>
        <v>0</v>
      </c>
      <c r="I519" t="s">
        <v>122</v>
      </c>
      <c r="J519" t="s">
        <v>122</v>
      </c>
      <c r="K519" s="5">
        <f>20 / 86400</f>
        <v>2.3148148148148149E-4</v>
      </c>
      <c r="L519" s="5">
        <f>80 / 86400</f>
        <v>9.2592592592592596E-4</v>
      </c>
    </row>
    <row r="520" spans="1:12" x14ac:dyDescent="0.25">
      <c r="A520" s="3">
        <v>45709.873298611114</v>
      </c>
      <c r="B520" t="s">
        <v>194</v>
      </c>
      <c r="C520" s="3">
        <v>45709.876539351855</v>
      </c>
      <c r="D520" t="s">
        <v>170</v>
      </c>
      <c r="E520" s="4">
        <v>2.4312400599122048</v>
      </c>
      <c r="F520" s="4">
        <v>349750.45094542252</v>
      </c>
      <c r="G520" s="4">
        <v>349752.88218548242</v>
      </c>
      <c r="H520" s="5">
        <f t="shared" si="8"/>
        <v>0</v>
      </c>
      <c r="I520" t="s">
        <v>138</v>
      </c>
      <c r="J520" t="s">
        <v>29</v>
      </c>
      <c r="K520" s="5">
        <f>280 / 86400</f>
        <v>3.2407407407407406E-3</v>
      </c>
      <c r="L520" s="5">
        <f>20 / 86400</f>
        <v>2.3148148148148149E-4</v>
      </c>
    </row>
    <row r="521" spans="1:12" x14ac:dyDescent="0.25">
      <c r="A521" s="3">
        <v>45709.876770833333</v>
      </c>
      <c r="B521" t="s">
        <v>170</v>
      </c>
      <c r="C521" s="3">
        <v>45709.87700231481</v>
      </c>
      <c r="D521" t="s">
        <v>170</v>
      </c>
      <c r="E521" s="4">
        <v>2.4321224689483643E-2</v>
      </c>
      <c r="F521" s="4">
        <v>349752.89798038686</v>
      </c>
      <c r="G521" s="4">
        <v>349752.92230161151</v>
      </c>
      <c r="H521" s="5">
        <f t="shared" si="8"/>
        <v>0</v>
      </c>
      <c r="I521" t="s">
        <v>134</v>
      </c>
      <c r="J521" t="s">
        <v>30</v>
      </c>
      <c r="K521" s="5">
        <f>20 / 86400</f>
        <v>2.3148148148148149E-4</v>
      </c>
      <c r="L521" s="5">
        <f>20 / 86400</f>
        <v>2.3148148148148149E-4</v>
      </c>
    </row>
    <row r="522" spans="1:12" x14ac:dyDescent="0.25">
      <c r="A522" s="3">
        <v>45709.877233796295</v>
      </c>
      <c r="B522" t="s">
        <v>199</v>
      </c>
      <c r="C522" s="3">
        <v>45709.877465277779</v>
      </c>
      <c r="D522" t="s">
        <v>199</v>
      </c>
      <c r="E522" s="4">
        <v>3.6671144485473636E-2</v>
      </c>
      <c r="F522" s="4">
        <v>349752.93316698459</v>
      </c>
      <c r="G522" s="4">
        <v>349752.96983812907</v>
      </c>
      <c r="H522" s="5">
        <f t="shared" si="8"/>
        <v>0</v>
      </c>
      <c r="I522" t="s">
        <v>60</v>
      </c>
      <c r="J522" t="s">
        <v>88</v>
      </c>
      <c r="K522" s="5">
        <f>20 / 86400</f>
        <v>2.3148148148148149E-4</v>
      </c>
      <c r="L522" s="5">
        <f>40 / 86400</f>
        <v>4.6296296296296298E-4</v>
      </c>
    </row>
    <row r="523" spans="1:12" x14ac:dyDescent="0.25">
      <c r="A523" s="3">
        <v>45709.877928240741</v>
      </c>
      <c r="B523" t="s">
        <v>199</v>
      </c>
      <c r="C523" s="3">
        <v>45709.878854166665</v>
      </c>
      <c r="D523" t="s">
        <v>137</v>
      </c>
      <c r="E523" s="4">
        <v>0.81628510546684263</v>
      </c>
      <c r="F523" s="4">
        <v>349753.00547036005</v>
      </c>
      <c r="G523" s="4">
        <v>349753.82175546553</v>
      </c>
      <c r="H523" s="5">
        <f t="shared" si="8"/>
        <v>0</v>
      </c>
      <c r="I523" t="s">
        <v>200</v>
      </c>
      <c r="J523" t="s">
        <v>247</v>
      </c>
      <c r="K523" s="5">
        <f>80 / 86400</f>
        <v>9.2592592592592596E-4</v>
      </c>
      <c r="L523" s="5">
        <f>20 / 86400</f>
        <v>2.3148148148148149E-4</v>
      </c>
    </row>
    <row r="524" spans="1:12" x14ac:dyDescent="0.25">
      <c r="A524" s="3">
        <v>45709.87908564815</v>
      </c>
      <c r="B524" t="s">
        <v>137</v>
      </c>
      <c r="C524" s="3">
        <v>45709.880474537036</v>
      </c>
      <c r="D524" t="s">
        <v>34</v>
      </c>
      <c r="E524" s="4">
        <v>1.376468854725361</v>
      </c>
      <c r="F524" s="4">
        <v>349754.0074786527</v>
      </c>
      <c r="G524" s="4">
        <v>349755.38394750742</v>
      </c>
      <c r="H524" s="5">
        <f t="shared" si="8"/>
        <v>0</v>
      </c>
      <c r="I524" t="s">
        <v>123</v>
      </c>
      <c r="J524" t="s">
        <v>175</v>
      </c>
      <c r="K524" s="5">
        <f>120 / 86400</f>
        <v>1.3888888888888889E-3</v>
      </c>
      <c r="L524" s="5">
        <f>15 / 86400</f>
        <v>1.7361111111111112E-4</v>
      </c>
    </row>
    <row r="525" spans="1:12" x14ac:dyDescent="0.25">
      <c r="A525" s="3">
        <v>45709.880648148144</v>
      </c>
      <c r="B525" t="s">
        <v>34</v>
      </c>
      <c r="C525" s="3">
        <v>45709.882731481484</v>
      </c>
      <c r="D525" t="s">
        <v>137</v>
      </c>
      <c r="E525" s="4">
        <v>1.4769497376084328</v>
      </c>
      <c r="F525" s="4">
        <v>349755.39383302676</v>
      </c>
      <c r="G525" s="4">
        <v>349756.8707827644</v>
      </c>
      <c r="H525" s="5">
        <f t="shared" si="8"/>
        <v>0</v>
      </c>
      <c r="I525" t="s">
        <v>76</v>
      </c>
      <c r="J525" t="s">
        <v>205</v>
      </c>
      <c r="K525" s="5">
        <f>180 / 86400</f>
        <v>2.0833333333333333E-3</v>
      </c>
      <c r="L525" s="5">
        <f>32 / 86400</f>
        <v>3.7037037037037035E-4</v>
      </c>
    </row>
    <row r="526" spans="1:12" x14ac:dyDescent="0.25">
      <c r="A526" s="3">
        <v>45709.883101851854</v>
      </c>
      <c r="B526" t="s">
        <v>34</v>
      </c>
      <c r="C526" s="3">
        <v>45709.888541666667</v>
      </c>
      <c r="D526" t="s">
        <v>202</v>
      </c>
      <c r="E526" s="4">
        <v>4.6412373848557475</v>
      </c>
      <c r="F526" s="4">
        <v>349756.87373688055</v>
      </c>
      <c r="G526" s="4">
        <v>349761.51497426542</v>
      </c>
      <c r="H526" s="5">
        <f t="shared" si="8"/>
        <v>0</v>
      </c>
      <c r="I526" t="s">
        <v>23</v>
      </c>
      <c r="J526" t="s">
        <v>141</v>
      </c>
      <c r="K526" s="5">
        <f>470 / 86400</f>
        <v>5.4398148148148149E-3</v>
      </c>
      <c r="L526" s="5">
        <f>6 / 86400</f>
        <v>6.9444444444444444E-5</v>
      </c>
    </row>
    <row r="527" spans="1:12" x14ac:dyDescent="0.25">
      <c r="A527" s="3">
        <v>45709.888611111106</v>
      </c>
      <c r="B527" t="s">
        <v>202</v>
      </c>
      <c r="C527" s="3">
        <v>45709.890694444446</v>
      </c>
      <c r="D527" t="s">
        <v>137</v>
      </c>
      <c r="E527" s="4">
        <v>2.3099431292414665</v>
      </c>
      <c r="F527" s="4">
        <v>349761.51824156306</v>
      </c>
      <c r="G527" s="4">
        <v>349763.82818469231</v>
      </c>
      <c r="H527" s="5">
        <f t="shared" si="8"/>
        <v>0</v>
      </c>
      <c r="I527" t="s">
        <v>40</v>
      </c>
      <c r="J527" t="s">
        <v>162</v>
      </c>
      <c r="K527" s="5">
        <f>180 / 86400</f>
        <v>2.0833333333333333E-3</v>
      </c>
      <c r="L527" s="5">
        <f>20 / 86400</f>
        <v>2.3148148148148149E-4</v>
      </c>
    </row>
    <row r="528" spans="1:12" x14ac:dyDescent="0.25">
      <c r="A528" s="3">
        <v>45709.890925925924</v>
      </c>
      <c r="B528" t="s">
        <v>137</v>
      </c>
      <c r="C528" s="3">
        <v>45709.891388888893</v>
      </c>
      <c r="D528" t="s">
        <v>137</v>
      </c>
      <c r="E528" s="4">
        <v>2.904911518096924E-2</v>
      </c>
      <c r="F528" s="4">
        <v>349763.87409619102</v>
      </c>
      <c r="G528" s="4">
        <v>349763.90314530622</v>
      </c>
      <c r="H528" s="5">
        <f t="shared" si="8"/>
        <v>0</v>
      </c>
      <c r="I528" t="s">
        <v>88</v>
      </c>
      <c r="J528" t="s">
        <v>135</v>
      </c>
      <c r="K528" s="5">
        <f>40 / 86400</f>
        <v>4.6296296296296298E-4</v>
      </c>
      <c r="L528" s="5">
        <f>60 / 86400</f>
        <v>6.9444444444444447E-4</v>
      </c>
    </row>
    <row r="529" spans="1:12" x14ac:dyDescent="0.25">
      <c r="A529" s="3">
        <v>45709.892083333332</v>
      </c>
      <c r="B529" t="s">
        <v>170</v>
      </c>
      <c r="C529" s="3">
        <v>45709.892314814817</v>
      </c>
      <c r="D529" t="s">
        <v>170</v>
      </c>
      <c r="E529" s="4">
        <v>3.0963517487049102E-2</v>
      </c>
      <c r="F529" s="4">
        <v>349763.92906754889</v>
      </c>
      <c r="G529" s="4">
        <v>349763.96003106638</v>
      </c>
      <c r="H529" s="5">
        <f t="shared" si="8"/>
        <v>0</v>
      </c>
      <c r="I529" t="s">
        <v>60</v>
      </c>
      <c r="J529" t="s">
        <v>134</v>
      </c>
      <c r="K529" s="5">
        <f>20 / 86400</f>
        <v>2.3148148148148149E-4</v>
      </c>
      <c r="L529" s="5">
        <f>20 / 86400</f>
        <v>2.3148148148148149E-4</v>
      </c>
    </row>
    <row r="530" spans="1:12" x14ac:dyDescent="0.25">
      <c r="A530" s="3">
        <v>45709.892546296294</v>
      </c>
      <c r="B530" t="s">
        <v>170</v>
      </c>
      <c r="C530" s="3">
        <v>45709.892777777779</v>
      </c>
      <c r="D530" t="s">
        <v>199</v>
      </c>
      <c r="E530" s="4">
        <v>4.137677073478699E-3</v>
      </c>
      <c r="F530" s="4">
        <v>349763.97715726477</v>
      </c>
      <c r="G530" s="4">
        <v>349763.98129494186</v>
      </c>
      <c r="H530" s="5">
        <f t="shared" si="8"/>
        <v>0</v>
      </c>
      <c r="I530" t="s">
        <v>59</v>
      </c>
      <c r="J530" t="s">
        <v>47</v>
      </c>
      <c r="K530" s="5">
        <f>20 / 86400</f>
        <v>2.3148148148148149E-4</v>
      </c>
      <c r="L530" s="5">
        <f>60 / 86400</f>
        <v>6.9444444444444447E-4</v>
      </c>
    </row>
    <row r="531" spans="1:12" x14ac:dyDescent="0.25">
      <c r="A531" s="3">
        <v>45709.893472222218</v>
      </c>
      <c r="B531" t="s">
        <v>199</v>
      </c>
      <c r="C531" s="3">
        <v>45709.895555555559</v>
      </c>
      <c r="D531" t="s">
        <v>197</v>
      </c>
      <c r="E531" s="4">
        <v>2.0095405723452568</v>
      </c>
      <c r="F531" s="4">
        <v>349763.99561282364</v>
      </c>
      <c r="G531" s="4">
        <v>349766.00515339599</v>
      </c>
      <c r="H531" s="5">
        <f t="shared" si="8"/>
        <v>0</v>
      </c>
      <c r="I531" t="s">
        <v>65</v>
      </c>
      <c r="J531" t="s">
        <v>230</v>
      </c>
      <c r="K531" s="5">
        <f>180 / 86400</f>
        <v>2.0833333333333333E-3</v>
      </c>
      <c r="L531" s="5">
        <f>20 / 86400</f>
        <v>2.3148148148148149E-4</v>
      </c>
    </row>
    <row r="532" spans="1:12" x14ac:dyDescent="0.25">
      <c r="A532" s="3">
        <v>45709.895787037036</v>
      </c>
      <c r="B532" t="s">
        <v>197</v>
      </c>
      <c r="C532" s="3">
        <v>45709.896944444445</v>
      </c>
      <c r="D532" t="s">
        <v>197</v>
      </c>
      <c r="E532" s="4">
        <v>1.2040439719557763</v>
      </c>
      <c r="F532" s="4">
        <v>349766.14066068508</v>
      </c>
      <c r="G532" s="4">
        <v>349767.34470465704</v>
      </c>
      <c r="H532" s="5">
        <f t="shared" si="8"/>
        <v>0</v>
      </c>
      <c r="I532" t="s">
        <v>130</v>
      </c>
      <c r="J532" t="s">
        <v>212</v>
      </c>
      <c r="K532" s="5">
        <f>100 / 86400</f>
        <v>1.1574074074074073E-3</v>
      </c>
      <c r="L532" s="5">
        <f>30 / 86400</f>
        <v>3.4722222222222224E-4</v>
      </c>
    </row>
    <row r="533" spans="1:12" x14ac:dyDescent="0.25">
      <c r="A533" s="3">
        <v>45709.897291666668</v>
      </c>
      <c r="B533" t="s">
        <v>197</v>
      </c>
      <c r="C533" s="3">
        <v>45709.898217592592</v>
      </c>
      <c r="D533" t="s">
        <v>197</v>
      </c>
      <c r="E533" s="4">
        <v>0.9561898103356361</v>
      </c>
      <c r="F533" s="4">
        <v>349767.34876393905</v>
      </c>
      <c r="G533" s="4">
        <v>349768.30495374935</v>
      </c>
      <c r="H533" s="5">
        <f t="shared" si="8"/>
        <v>0</v>
      </c>
      <c r="I533" t="s">
        <v>234</v>
      </c>
      <c r="J533" t="s">
        <v>212</v>
      </c>
      <c r="K533" s="5">
        <f>80 / 86400</f>
        <v>9.2592592592592596E-4</v>
      </c>
      <c r="L533" s="5">
        <f>18 / 86400</f>
        <v>2.0833333333333335E-4</v>
      </c>
    </row>
    <row r="534" spans="1:12" x14ac:dyDescent="0.25">
      <c r="A534" s="3">
        <v>45709.89842592593</v>
      </c>
      <c r="B534" t="s">
        <v>197</v>
      </c>
      <c r="C534" s="3">
        <v>45709.898645833338</v>
      </c>
      <c r="D534" t="s">
        <v>185</v>
      </c>
      <c r="E534" s="4">
        <v>3.930261313915253E-2</v>
      </c>
      <c r="F534" s="4">
        <v>349768.31066468975</v>
      </c>
      <c r="G534" s="4">
        <v>349768.34996730293</v>
      </c>
      <c r="H534" s="5">
        <f t="shared" si="8"/>
        <v>0</v>
      </c>
      <c r="I534" t="s">
        <v>57</v>
      </c>
      <c r="J534" t="s">
        <v>88</v>
      </c>
      <c r="K534" s="5">
        <f>19 / 86400</f>
        <v>2.199074074074074E-4</v>
      </c>
      <c r="L534" s="5">
        <f>409 / 86400</f>
        <v>4.7337962962962967E-3</v>
      </c>
    </row>
    <row r="535" spans="1:12" x14ac:dyDescent="0.25">
      <c r="A535" s="3">
        <v>45709.903379629628</v>
      </c>
      <c r="B535" t="s">
        <v>185</v>
      </c>
      <c r="C535" s="3">
        <v>45709.908101851848</v>
      </c>
      <c r="D535" t="s">
        <v>32</v>
      </c>
      <c r="E535" s="4">
        <v>0.43778421288728714</v>
      </c>
      <c r="F535" s="4">
        <v>349768.36831734655</v>
      </c>
      <c r="G535" s="4">
        <v>349768.80610155949</v>
      </c>
      <c r="H535" s="5">
        <f t="shared" si="8"/>
        <v>0</v>
      </c>
      <c r="I535" t="s">
        <v>41</v>
      </c>
      <c r="J535" t="s">
        <v>30</v>
      </c>
      <c r="K535" s="5">
        <f>408 / 86400</f>
        <v>4.7222222222222223E-3</v>
      </c>
      <c r="L535" s="5">
        <f>20 / 86400</f>
        <v>2.3148148148148149E-4</v>
      </c>
    </row>
    <row r="536" spans="1:12" x14ac:dyDescent="0.25">
      <c r="A536" s="3">
        <v>45709.908333333333</v>
      </c>
      <c r="B536" t="s">
        <v>32</v>
      </c>
      <c r="C536" s="3">
        <v>45709.908391203702</v>
      </c>
      <c r="D536" t="s">
        <v>32</v>
      </c>
      <c r="E536" s="4">
        <v>1.5786473751068116E-3</v>
      </c>
      <c r="F536" s="4">
        <v>349768.81760753499</v>
      </c>
      <c r="G536" s="4">
        <v>349768.8191861824</v>
      </c>
      <c r="H536" s="5">
        <f t="shared" si="8"/>
        <v>0</v>
      </c>
      <c r="I536" t="s">
        <v>47</v>
      </c>
      <c r="J536" t="s">
        <v>47</v>
      </c>
      <c r="K536" s="5">
        <f>5 / 86400</f>
        <v>5.7870370370370373E-5</v>
      </c>
      <c r="L536" s="5">
        <f>200 / 86400</f>
        <v>2.3148148148148147E-3</v>
      </c>
    </row>
    <row r="537" spans="1:12" x14ac:dyDescent="0.25">
      <c r="A537" s="3">
        <v>45709.91070601852</v>
      </c>
      <c r="B537" t="s">
        <v>32</v>
      </c>
      <c r="C537" s="3">
        <v>45709.91138888889</v>
      </c>
      <c r="D537" t="s">
        <v>32</v>
      </c>
      <c r="E537" s="4">
        <v>7.6115424573421478E-2</v>
      </c>
      <c r="F537" s="4">
        <v>349768.83200744452</v>
      </c>
      <c r="G537" s="4">
        <v>349768.90812286909</v>
      </c>
      <c r="H537" s="5">
        <f t="shared" si="8"/>
        <v>0</v>
      </c>
      <c r="I537" t="s">
        <v>60</v>
      </c>
      <c r="J537" t="s">
        <v>121</v>
      </c>
      <c r="K537" s="5">
        <f>59 / 86400</f>
        <v>6.8287037037037036E-4</v>
      </c>
      <c r="L537" s="5">
        <f>8 / 86400</f>
        <v>9.2592592592592588E-5</v>
      </c>
    </row>
    <row r="538" spans="1:12" x14ac:dyDescent="0.25">
      <c r="A538" s="3">
        <v>45709.911481481482</v>
      </c>
      <c r="B538" t="s">
        <v>32</v>
      </c>
      <c r="C538" s="3">
        <v>45709.932222222225</v>
      </c>
      <c r="D538" t="s">
        <v>24</v>
      </c>
      <c r="E538" s="4">
        <v>6.8071169853210446E-3</v>
      </c>
      <c r="F538" s="4">
        <v>349768.91348901403</v>
      </c>
      <c r="G538" s="4">
        <v>349768.92029613099</v>
      </c>
      <c r="H538" s="5">
        <f t="shared" si="8"/>
        <v>0</v>
      </c>
      <c r="I538" t="s">
        <v>122</v>
      </c>
      <c r="J538" t="s">
        <v>48</v>
      </c>
      <c r="K538" s="5">
        <f>1792 / 86400</f>
        <v>2.074074074074074E-2</v>
      </c>
      <c r="L538" s="5">
        <f>3217 / 86400</f>
        <v>3.72337962962963E-2</v>
      </c>
    </row>
    <row r="539" spans="1:12" x14ac:dyDescent="0.25">
      <c r="A539" s="3">
        <v>45709.969456018516</v>
      </c>
      <c r="B539" t="s">
        <v>24</v>
      </c>
      <c r="C539" s="3">
        <v>45709.969675925924</v>
      </c>
      <c r="D539" t="s">
        <v>24</v>
      </c>
      <c r="E539" s="4">
        <v>5.1597126722335816E-3</v>
      </c>
      <c r="F539" s="4">
        <v>349768.9265980504</v>
      </c>
      <c r="G539" s="4">
        <v>349768.93175776309</v>
      </c>
      <c r="H539" s="5">
        <f t="shared" si="8"/>
        <v>0</v>
      </c>
      <c r="I539" t="s">
        <v>122</v>
      </c>
      <c r="J539" t="s">
        <v>47</v>
      </c>
      <c r="K539" s="5">
        <f>19 / 86400</f>
        <v>2.199074074074074E-4</v>
      </c>
      <c r="L539" s="5">
        <f>40 / 86400</f>
        <v>4.6296296296296298E-4</v>
      </c>
    </row>
    <row r="540" spans="1:12" x14ac:dyDescent="0.25">
      <c r="A540" s="3">
        <v>45709.970138888893</v>
      </c>
      <c r="B540" t="s">
        <v>32</v>
      </c>
      <c r="C540" s="3">
        <v>45709.970868055556</v>
      </c>
      <c r="D540" t="s">
        <v>32</v>
      </c>
      <c r="E540" s="4">
        <v>4.0681099355220796E-2</v>
      </c>
      <c r="F540" s="4">
        <v>349768.94232326286</v>
      </c>
      <c r="G540" s="4">
        <v>349768.98300436221</v>
      </c>
      <c r="H540" s="5">
        <f t="shared" si="8"/>
        <v>0</v>
      </c>
      <c r="I540" t="s">
        <v>88</v>
      </c>
      <c r="J540" t="s">
        <v>122</v>
      </c>
      <c r="K540" s="5">
        <f>63 / 86400</f>
        <v>7.291666666666667E-4</v>
      </c>
      <c r="L540" s="5">
        <f>2516 / 86400</f>
        <v>2.9120370370370369E-2</v>
      </c>
    </row>
    <row r="541" spans="1:12" x14ac:dyDescent="0.25">
      <c r="A541" s="12"/>
      <c r="B541" s="12"/>
      <c r="C541" s="12"/>
      <c r="D541" s="12"/>
      <c r="E541" s="12"/>
      <c r="F541" s="12"/>
      <c r="G541" s="12"/>
      <c r="H541" s="12"/>
      <c r="I541" s="12"/>
      <c r="J541" s="12"/>
    </row>
    <row r="542" spans="1:12" x14ac:dyDescent="0.25">
      <c r="A542" s="12"/>
      <c r="B542" s="12"/>
      <c r="C542" s="12"/>
      <c r="D542" s="12"/>
      <c r="E542" s="12"/>
      <c r="F542" s="12"/>
      <c r="G542" s="12"/>
      <c r="H542" s="12"/>
      <c r="I542" s="12"/>
      <c r="J542" s="12"/>
    </row>
    <row r="543" spans="1:12" s="10" customFormat="1" ht="20.100000000000001" customHeight="1" x14ac:dyDescent="0.35">
      <c r="A543" s="15" t="s">
        <v>459</v>
      </c>
      <c r="B543" s="15"/>
      <c r="C543" s="15"/>
      <c r="D543" s="15"/>
      <c r="E543" s="15"/>
      <c r="F543" s="15"/>
      <c r="G543" s="15"/>
      <c r="H543" s="15"/>
      <c r="I543" s="15"/>
      <c r="J543" s="15"/>
    </row>
    <row r="544" spans="1:12" x14ac:dyDescent="0.25">
      <c r="A544" s="12"/>
      <c r="B544" s="12"/>
      <c r="C544" s="12"/>
      <c r="D544" s="12"/>
      <c r="E544" s="12"/>
      <c r="F544" s="12"/>
      <c r="G544" s="12"/>
      <c r="H544" s="12"/>
      <c r="I544" s="12"/>
      <c r="J544" s="12"/>
    </row>
    <row r="545" spans="1:12" ht="30" x14ac:dyDescent="0.25">
      <c r="A545" s="2" t="s">
        <v>6</v>
      </c>
      <c r="B545" s="2" t="s">
        <v>7</v>
      </c>
      <c r="C545" s="2" t="s">
        <v>8</v>
      </c>
      <c r="D545" s="2" t="s">
        <v>9</v>
      </c>
      <c r="E545" s="2" t="s">
        <v>10</v>
      </c>
      <c r="F545" s="2" t="s">
        <v>11</v>
      </c>
      <c r="G545" s="2" t="s">
        <v>12</v>
      </c>
      <c r="H545" s="2" t="s">
        <v>13</v>
      </c>
      <c r="I545" s="2" t="s">
        <v>14</v>
      </c>
      <c r="J545" s="2" t="s">
        <v>15</v>
      </c>
      <c r="K545" s="2" t="s">
        <v>16</v>
      </c>
      <c r="L545" s="2" t="s">
        <v>17</v>
      </c>
    </row>
    <row r="546" spans="1:12" x14ac:dyDescent="0.25">
      <c r="A546" s="3">
        <v>45709.169004629628</v>
      </c>
      <c r="B546" t="s">
        <v>34</v>
      </c>
      <c r="C546" s="3">
        <v>45709.369988425926</v>
      </c>
      <c r="D546" t="s">
        <v>140</v>
      </c>
      <c r="E546" s="4">
        <v>82.575999999999993</v>
      </c>
      <c r="F546" s="4">
        <v>485175.06</v>
      </c>
      <c r="G546" s="4">
        <v>485257.636</v>
      </c>
      <c r="H546" s="5">
        <f>5579 / 86400</f>
        <v>6.4571759259259259E-2</v>
      </c>
      <c r="I546" t="s">
        <v>123</v>
      </c>
      <c r="J546" t="s">
        <v>52</v>
      </c>
      <c r="K546" s="5">
        <f>17365 / 86400</f>
        <v>0.20098379629629629</v>
      </c>
      <c r="L546" s="5">
        <f>15769 / 86400</f>
        <v>0.18251157407407406</v>
      </c>
    </row>
    <row r="547" spans="1:12" x14ac:dyDescent="0.25">
      <c r="A547" s="3">
        <v>45709.38349537037</v>
      </c>
      <c r="B547" t="s">
        <v>140</v>
      </c>
      <c r="C547" s="3">
        <v>45709.387430555551</v>
      </c>
      <c r="D547" t="s">
        <v>403</v>
      </c>
      <c r="E547" s="4">
        <v>1.3120000000000001</v>
      </c>
      <c r="F547" s="4">
        <v>485257.636</v>
      </c>
      <c r="G547" s="4">
        <v>485258.94799999997</v>
      </c>
      <c r="H547" s="5">
        <f>0 / 86400</f>
        <v>0</v>
      </c>
      <c r="I547" t="s">
        <v>124</v>
      </c>
      <c r="J547" t="s">
        <v>57</v>
      </c>
      <c r="K547" s="5">
        <f>339 / 86400</f>
        <v>3.9236111111111112E-3</v>
      </c>
      <c r="L547" s="5">
        <f>1887 / 86400</f>
        <v>2.1840277777777778E-2</v>
      </c>
    </row>
    <row r="548" spans="1:12" x14ac:dyDescent="0.25">
      <c r="A548" s="3">
        <v>45709.409270833334</v>
      </c>
      <c r="B548" t="s">
        <v>403</v>
      </c>
      <c r="C548" s="3">
        <v>45709.674131944441</v>
      </c>
      <c r="D548" t="s">
        <v>34</v>
      </c>
      <c r="E548" s="4">
        <v>92.537000000000006</v>
      </c>
      <c r="F548" s="4">
        <v>485258.94799999997</v>
      </c>
      <c r="G548" s="4">
        <v>485351.48499999999</v>
      </c>
      <c r="H548" s="5">
        <f>8280 / 86400</f>
        <v>9.583333333333334E-2</v>
      </c>
      <c r="I548" t="s">
        <v>35</v>
      </c>
      <c r="J548" t="s">
        <v>41</v>
      </c>
      <c r="K548" s="5">
        <f>22884 / 86400</f>
        <v>0.2648611111111111</v>
      </c>
      <c r="L548" s="5">
        <f>28154 / 86400</f>
        <v>0.3258564814814815</v>
      </c>
    </row>
    <row r="549" spans="1:12" x14ac:dyDescent="0.25">
      <c r="A549" s="12"/>
      <c r="B549" s="12"/>
      <c r="C549" s="12"/>
      <c r="D549" s="12"/>
      <c r="E549" s="12"/>
      <c r="F549" s="12"/>
      <c r="G549" s="12"/>
      <c r="H549" s="12"/>
      <c r="I549" s="12"/>
      <c r="J549" s="12"/>
    </row>
    <row r="550" spans="1:12" x14ac:dyDescent="0.25">
      <c r="A550" s="12"/>
      <c r="B550" s="12"/>
      <c r="C550" s="12"/>
      <c r="D550" s="12"/>
      <c r="E550" s="12"/>
      <c r="F550" s="12"/>
      <c r="G550" s="12"/>
      <c r="H550" s="12"/>
      <c r="I550" s="12"/>
      <c r="J550" s="12"/>
    </row>
    <row r="551" spans="1:12" s="10" customFormat="1" ht="20.100000000000001" customHeight="1" x14ac:dyDescent="0.35">
      <c r="A551" s="15" t="s">
        <v>460</v>
      </c>
      <c r="B551" s="15"/>
      <c r="C551" s="15"/>
      <c r="D551" s="15"/>
      <c r="E551" s="15"/>
      <c r="F551" s="15"/>
      <c r="G551" s="15"/>
      <c r="H551" s="15"/>
      <c r="I551" s="15"/>
      <c r="J551" s="15"/>
    </row>
    <row r="552" spans="1:12" x14ac:dyDescent="0.25">
      <c r="A552" s="12"/>
      <c r="B552" s="12"/>
      <c r="C552" s="12"/>
      <c r="D552" s="12"/>
      <c r="E552" s="12"/>
      <c r="F552" s="12"/>
      <c r="G552" s="12"/>
      <c r="H552" s="12"/>
      <c r="I552" s="12"/>
      <c r="J552" s="12"/>
    </row>
    <row r="553" spans="1:12" ht="30" x14ac:dyDescent="0.25">
      <c r="A553" s="2" t="s">
        <v>6</v>
      </c>
      <c r="B553" s="2" t="s">
        <v>7</v>
      </c>
      <c r="C553" s="2" t="s">
        <v>8</v>
      </c>
      <c r="D553" s="2" t="s">
        <v>9</v>
      </c>
      <c r="E553" s="2" t="s">
        <v>10</v>
      </c>
      <c r="F553" s="2" t="s">
        <v>11</v>
      </c>
      <c r="G553" s="2" t="s">
        <v>12</v>
      </c>
      <c r="H553" s="2" t="s">
        <v>13</v>
      </c>
      <c r="I553" s="2" t="s">
        <v>14</v>
      </c>
      <c r="J553" s="2" t="s">
        <v>15</v>
      </c>
      <c r="K553" s="2" t="s">
        <v>16</v>
      </c>
      <c r="L553" s="2" t="s">
        <v>17</v>
      </c>
    </row>
    <row r="554" spans="1:12" x14ac:dyDescent="0.25">
      <c r="A554" s="3">
        <v>45709.130069444444</v>
      </c>
      <c r="B554" t="s">
        <v>36</v>
      </c>
      <c r="C554" s="3">
        <v>45709.369930555556</v>
      </c>
      <c r="D554" t="s">
        <v>70</v>
      </c>
      <c r="E554" s="4">
        <v>121.04300000000001</v>
      </c>
      <c r="F554" s="4">
        <v>509549.14399999997</v>
      </c>
      <c r="G554" s="4">
        <v>509670.18699999998</v>
      </c>
      <c r="H554" s="5">
        <f>4938 / 86400</f>
        <v>5.7152777777777775E-2</v>
      </c>
      <c r="I554" t="s">
        <v>38</v>
      </c>
      <c r="J554" t="s">
        <v>136</v>
      </c>
      <c r="K554" s="5">
        <f>20724 / 86400</f>
        <v>0.23986111111111111</v>
      </c>
      <c r="L554" s="5">
        <f>11502 / 86400</f>
        <v>0.13312499999999999</v>
      </c>
    </row>
    <row r="555" spans="1:12" x14ac:dyDescent="0.25">
      <c r="A555" s="3">
        <v>45709.372986111106</v>
      </c>
      <c r="B555" t="s">
        <v>70</v>
      </c>
      <c r="C555" s="3">
        <v>45709.3746412037</v>
      </c>
      <c r="D555" t="s">
        <v>70</v>
      </c>
      <c r="E555" s="4">
        <v>0.14699999999999999</v>
      </c>
      <c r="F555" s="4">
        <v>509670.18699999998</v>
      </c>
      <c r="G555" s="4">
        <v>509670.33399999997</v>
      </c>
      <c r="H555" s="5">
        <f>59 / 86400</f>
        <v>6.8287037037037036E-4</v>
      </c>
      <c r="I555" t="s">
        <v>125</v>
      </c>
      <c r="J555" t="s">
        <v>30</v>
      </c>
      <c r="K555" s="5">
        <f>142 / 86400</f>
        <v>1.6435185185185185E-3</v>
      </c>
      <c r="L555" s="5">
        <f>1239 / 86400</f>
        <v>1.4340277777777778E-2</v>
      </c>
    </row>
    <row r="556" spans="1:12" x14ac:dyDescent="0.25">
      <c r="A556" s="3">
        <v>45709.388981481483</v>
      </c>
      <c r="B556" t="s">
        <v>70</v>
      </c>
      <c r="C556" s="3">
        <v>45709.390648148154</v>
      </c>
      <c r="D556" t="s">
        <v>89</v>
      </c>
      <c r="E556" s="4">
        <v>3.1E-2</v>
      </c>
      <c r="F556" s="4">
        <v>509670.33399999997</v>
      </c>
      <c r="G556" s="4">
        <v>509670.36499999999</v>
      </c>
      <c r="H556" s="5">
        <f>79 / 86400</f>
        <v>9.1435185185185185E-4</v>
      </c>
      <c r="I556" t="s">
        <v>121</v>
      </c>
      <c r="J556" t="s">
        <v>47</v>
      </c>
      <c r="K556" s="5">
        <f>143 / 86400</f>
        <v>1.6550925925925926E-3</v>
      </c>
      <c r="L556" s="5">
        <f>89 / 86400</f>
        <v>1.0300925925925926E-3</v>
      </c>
    </row>
    <row r="557" spans="1:12" x14ac:dyDescent="0.25">
      <c r="A557" s="3">
        <v>45709.39167824074</v>
      </c>
      <c r="B557" t="s">
        <v>89</v>
      </c>
      <c r="C557" s="3">
        <v>45709.392523148148</v>
      </c>
      <c r="D557" t="s">
        <v>89</v>
      </c>
      <c r="E557" s="4">
        <v>0</v>
      </c>
      <c r="F557" s="4">
        <v>509670.36499999999</v>
      </c>
      <c r="G557" s="4">
        <v>509670.36499999999</v>
      </c>
      <c r="H557" s="5">
        <f>59 / 86400</f>
        <v>6.8287037037037036E-4</v>
      </c>
      <c r="I557" t="s">
        <v>48</v>
      </c>
      <c r="J557" t="s">
        <v>48</v>
      </c>
      <c r="K557" s="5">
        <f>73 / 86400</f>
        <v>8.4490740740740739E-4</v>
      </c>
      <c r="L557" s="5">
        <f>1443 / 86400</f>
        <v>1.6701388888888891E-2</v>
      </c>
    </row>
    <row r="558" spans="1:12" x14ac:dyDescent="0.25">
      <c r="A558" s="3">
        <v>45709.409224537041</v>
      </c>
      <c r="B558" t="s">
        <v>89</v>
      </c>
      <c r="C558" s="3">
        <v>45709.418657407412</v>
      </c>
      <c r="D558" t="s">
        <v>89</v>
      </c>
      <c r="E558" s="4">
        <v>0</v>
      </c>
      <c r="F558" s="4">
        <v>509670.36499999999</v>
      </c>
      <c r="G558" s="4">
        <v>509670.36499999999</v>
      </c>
      <c r="H558" s="5">
        <f>799 / 86400</f>
        <v>9.2476851851851852E-3</v>
      </c>
      <c r="I558" t="s">
        <v>48</v>
      </c>
      <c r="J558" t="s">
        <v>48</v>
      </c>
      <c r="K558" s="5">
        <f>815 / 86400</f>
        <v>9.432870370370371E-3</v>
      </c>
      <c r="L558" s="5">
        <f>250 / 86400</f>
        <v>2.8935185185185184E-3</v>
      </c>
    </row>
    <row r="559" spans="1:12" x14ac:dyDescent="0.25">
      <c r="A559" s="3">
        <v>45709.421550925923</v>
      </c>
      <c r="B559" t="s">
        <v>89</v>
      </c>
      <c r="C559" s="3">
        <v>45709.436759259261</v>
      </c>
      <c r="D559" t="s">
        <v>44</v>
      </c>
      <c r="E559" s="4">
        <v>0.54</v>
      </c>
      <c r="F559" s="4">
        <v>509670.36499999999</v>
      </c>
      <c r="G559" s="4">
        <v>509670.90500000003</v>
      </c>
      <c r="H559" s="5">
        <f>1119 / 86400</f>
        <v>1.2951388888888889E-2</v>
      </c>
      <c r="I559" t="s">
        <v>143</v>
      </c>
      <c r="J559" t="s">
        <v>47</v>
      </c>
      <c r="K559" s="5">
        <f>1313 / 86400</f>
        <v>1.5196759259259259E-2</v>
      </c>
      <c r="L559" s="5">
        <f>627 / 86400</f>
        <v>7.2569444444444443E-3</v>
      </c>
    </row>
    <row r="560" spans="1:12" x14ac:dyDescent="0.25">
      <c r="A560" s="3">
        <v>45709.444016203706</v>
      </c>
      <c r="B560" t="s">
        <v>44</v>
      </c>
      <c r="C560" s="3">
        <v>45709.451284722221</v>
      </c>
      <c r="D560" t="s">
        <v>44</v>
      </c>
      <c r="E560" s="4">
        <v>0.14699999999999999</v>
      </c>
      <c r="F560" s="4">
        <v>509670.90500000003</v>
      </c>
      <c r="G560" s="4">
        <v>509671.05200000003</v>
      </c>
      <c r="H560" s="5">
        <f>520 / 86400</f>
        <v>6.0185185185185185E-3</v>
      </c>
      <c r="I560" t="s">
        <v>59</v>
      </c>
      <c r="J560" t="s">
        <v>47</v>
      </c>
      <c r="K560" s="5">
        <f>627 / 86400</f>
        <v>7.2569444444444443E-3</v>
      </c>
      <c r="L560" s="5">
        <f>1005 / 86400</f>
        <v>1.1631944444444445E-2</v>
      </c>
    </row>
    <row r="561" spans="1:12" x14ac:dyDescent="0.25">
      <c r="A561" s="3">
        <v>45709.462916666671</v>
      </c>
      <c r="B561" t="s">
        <v>44</v>
      </c>
      <c r="C561" s="3">
        <v>45709.476631944446</v>
      </c>
      <c r="D561" t="s">
        <v>44</v>
      </c>
      <c r="E561" s="4">
        <v>0.16700000000000001</v>
      </c>
      <c r="F561" s="4">
        <v>509671.05200000003</v>
      </c>
      <c r="G561" s="4">
        <v>509671.21899999998</v>
      </c>
      <c r="H561" s="5">
        <f>1099 / 86400</f>
        <v>1.2719907407407407E-2</v>
      </c>
      <c r="I561" t="s">
        <v>125</v>
      </c>
      <c r="J561" t="s">
        <v>47</v>
      </c>
      <c r="K561" s="5">
        <f>1185 / 86400</f>
        <v>1.3715277777777778E-2</v>
      </c>
      <c r="L561" s="5">
        <f>3 / 86400</f>
        <v>3.4722222222222222E-5</v>
      </c>
    </row>
    <row r="562" spans="1:12" x14ac:dyDescent="0.25">
      <c r="A562" s="3">
        <v>45709.476666666669</v>
      </c>
      <c r="B562" t="s">
        <v>44</v>
      </c>
      <c r="C562" s="3">
        <v>45709.476689814815</v>
      </c>
      <c r="D562" t="s">
        <v>44</v>
      </c>
      <c r="E562" s="4">
        <v>0</v>
      </c>
      <c r="F562" s="4">
        <v>509671.21899999998</v>
      </c>
      <c r="G562" s="4">
        <v>509671.21899999998</v>
      </c>
      <c r="H562" s="5">
        <f>0 / 86400</f>
        <v>0</v>
      </c>
      <c r="I562" t="s">
        <v>48</v>
      </c>
      <c r="J562" t="s">
        <v>48</v>
      </c>
      <c r="K562" s="5">
        <f>2 / 86400</f>
        <v>2.3148148148148147E-5</v>
      </c>
      <c r="L562" s="5">
        <f>12 / 86400</f>
        <v>1.3888888888888889E-4</v>
      </c>
    </row>
    <row r="563" spans="1:12" x14ac:dyDescent="0.25">
      <c r="A563" s="3">
        <v>45709.4768287037</v>
      </c>
      <c r="B563" t="s">
        <v>44</v>
      </c>
      <c r="C563" s="3">
        <v>45709.488275462965</v>
      </c>
      <c r="D563" t="s">
        <v>70</v>
      </c>
      <c r="E563" s="4">
        <v>0.41599999999999998</v>
      </c>
      <c r="F563" s="4">
        <v>509671.21899999998</v>
      </c>
      <c r="G563" s="4">
        <v>509671.63500000001</v>
      </c>
      <c r="H563" s="5">
        <f>859 / 86400</f>
        <v>9.9421296296296289E-3</v>
      </c>
      <c r="I563" t="s">
        <v>33</v>
      </c>
      <c r="J563" t="s">
        <v>122</v>
      </c>
      <c r="K563" s="5">
        <f>988 / 86400</f>
        <v>1.1435185185185185E-2</v>
      </c>
      <c r="L563" s="5">
        <f>671 / 86400</f>
        <v>7.766203703703704E-3</v>
      </c>
    </row>
    <row r="564" spans="1:12" x14ac:dyDescent="0.25">
      <c r="A564" s="3">
        <v>45709.496041666665</v>
      </c>
      <c r="B564" t="s">
        <v>70</v>
      </c>
      <c r="C564" s="3">
        <v>45709.497314814813</v>
      </c>
      <c r="D564" t="s">
        <v>70</v>
      </c>
      <c r="E564" s="4">
        <v>0.13900000000000001</v>
      </c>
      <c r="F564" s="4">
        <v>509671.63500000001</v>
      </c>
      <c r="G564" s="4">
        <v>509671.77399999998</v>
      </c>
      <c r="H564" s="5">
        <f>20 / 86400</f>
        <v>2.3148148148148149E-4</v>
      </c>
      <c r="I564" t="s">
        <v>134</v>
      </c>
      <c r="J564" t="s">
        <v>121</v>
      </c>
      <c r="K564" s="5">
        <f>110 / 86400</f>
        <v>1.2731481481481483E-3</v>
      </c>
      <c r="L564" s="5">
        <f>2908 / 86400</f>
        <v>3.3657407407407407E-2</v>
      </c>
    </row>
    <row r="565" spans="1:12" x14ac:dyDescent="0.25">
      <c r="A565" s="3">
        <v>45709.530972222223</v>
      </c>
      <c r="B565" t="s">
        <v>70</v>
      </c>
      <c r="C565" s="3">
        <v>45709.661354166667</v>
      </c>
      <c r="D565" t="s">
        <v>270</v>
      </c>
      <c r="E565" s="4">
        <v>48.4</v>
      </c>
      <c r="F565" s="4">
        <v>509671.77399999998</v>
      </c>
      <c r="G565" s="4">
        <v>509720.174</v>
      </c>
      <c r="H565" s="5">
        <f>3618 / 86400</f>
        <v>4.1875000000000002E-2</v>
      </c>
      <c r="I565" t="s">
        <v>183</v>
      </c>
      <c r="J565" t="s">
        <v>41</v>
      </c>
      <c r="K565" s="5">
        <f>11264 / 86400</f>
        <v>0.13037037037037036</v>
      </c>
      <c r="L565" s="5">
        <f>832 / 86400</f>
        <v>9.6296296296296303E-3</v>
      </c>
    </row>
    <row r="566" spans="1:12" x14ac:dyDescent="0.25">
      <c r="A566" s="3">
        <v>45709.670983796299</v>
      </c>
      <c r="B566" t="s">
        <v>404</v>
      </c>
      <c r="C566" s="3">
        <v>45709.814872685187</v>
      </c>
      <c r="D566" t="s">
        <v>70</v>
      </c>
      <c r="E566" s="4">
        <v>46.298999999999999</v>
      </c>
      <c r="F566" s="4">
        <v>509720.174</v>
      </c>
      <c r="G566" s="4">
        <v>509766.473</v>
      </c>
      <c r="H566" s="5">
        <f>4661 / 86400</f>
        <v>5.3946759259259257E-2</v>
      </c>
      <c r="I566" t="s">
        <v>178</v>
      </c>
      <c r="J566" t="s">
        <v>26</v>
      </c>
      <c r="K566" s="5">
        <f>12431 / 86400</f>
        <v>0.14387731481481481</v>
      </c>
      <c r="L566" s="5">
        <f>519 / 86400</f>
        <v>6.0069444444444441E-3</v>
      </c>
    </row>
    <row r="567" spans="1:12" x14ac:dyDescent="0.25">
      <c r="A567" s="3">
        <v>45709.820879629631</v>
      </c>
      <c r="B567" t="s">
        <v>70</v>
      </c>
      <c r="C567" s="3">
        <v>45709.831504629634</v>
      </c>
      <c r="D567" t="s">
        <v>37</v>
      </c>
      <c r="E567" s="4">
        <v>1.7689999999999999</v>
      </c>
      <c r="F567" s="4">
        <v>509766.473</v>
      </c>
      <c r="G567" s="4">
        <v>509768.24200000003</v>
      </c>
      <c r="H567" s="5">
        <f>359 / 86400</f>
        <v>4.1550925925925922E-3</v>
      </c>
      <c r="I567" t="s">
        <v>150</v>
      </c>
      <c r="J567" t="s">
        <v>88</v>
      </c>
      <c r="K567" s="5">
        <f>917 / 86400</f>
        <v>1.0613425925925925E-2</v>
      </c>
      <c r="L567" s="5">
        <f>14557 / 86400</f>
        <v>0.16848379629629628</v>
      </c>
    </row>
    <row r="568" spans="1:12" x14ac:dyDescent="0.25">
      <c r="A568" s="12"/>
      <c r="B568" s="12"/>
      <c r="C568" s="12"/>
      <c r="D568" s="12"/>
      <c r="E568" s="12"/>
      <c r="F568" s="12"/>
      <c r="G568" s="12"/>
      <c r="H568" s="12"/>
      <c r="I568" s="12"/>
      <c r="J568" s="12"/>
    </row>
    <row r="569" spans="1:12" x14ac:dyDescent="0.25">
      <c r="A569" s="12"/>
      <c r="B569" s="12"/>
      <c r="C569" s="12"/>
      <c r="D569" s="12"/>
      <c r="E569" s="12"/>
      <c r="F569" s="12"/>
      <c r="G569" s="12"/>
      <c r="H569" s="12"/>
      <c r="I569" s="12"/>
      <c r="J569" s="12"/>
    </row>
    <row r="570" spans="1:12" s="10" customFormat="1" ht="20.100000000000001" customHeight="1" x14ac:dyDescent="0.35">
      <c r="A570" s="15" t="s">
        <v>461</v>
      </c>
      <c r="B570" s="15"/>
      <c r="C570" s="15"/>
      <c r="D570" s="15"/>
      <c r="E570" s="15"/>
      <c r="F570" s="15"/>
      <c r="G570" s="15"/>
      <c r="H570" s="15"/>
      <c r="I570" s="15"/>
      <c r="J570" s="15"/>
    </row>
    <row r="571" spans="1:12" x14ac:dyDescent="0.25">
      <c r="A571" s="12"/>
      <c r="B571" s="12"/>
      <c r="C571" s="12"/>
      <c r="D571" s="12"/>
      <c r="E571" s="12"/>
      <c r="F571" s="12"/>
      <c r="G571" s="12"/>
      <c r="H571" s="12"/>
      <c r="I571" s="12"/>
      <c r="J571" s="12"/>
    </row>
    <row r="572" spans="1:12" ht="30" x14ac:dyDescent="0.25">
      <c r="A572" s="2" t="s">
        <v>6</v>
      </c>
      <c r="B572" s="2" t="s">
        <v>7</v>
      </c>
      <c r="C572" s="2" t="s">
        <v>8</v>
      </c>
      <c r="D572" s="2" t="s">
        <v>9</v>
      </c>
      <c r="E572" s="2" t="s">
        <v>10</v>
      </c>
      <c r="F572" s="2" t="s">
        <v>11</v>
      </c>
      <c r="G572" s="2" t="s">
        <v>12</v>
      </c>
      <c r="H572" s="2" t="s">
        <v>13</v>
      </c>
      <c r="I572" s="2" t="s">
        <v>14</v>
      </c>
      <c r="J572" s="2" t="s">
        <v>15</v>
      </c>
      <c r="K572" s="2" t="s">
        <v>16</v>
      </c>
      <c r="L572" s="2" t="s">
        <v>17</v>
      </c>
    </row>
    <row r="573" spans="1:12" x14ac:dyDescent="0.25">
      <c r="A573" s="3">
        <v>45709.234837962962</v>
      </c>
      <c r="B573" t="s">
        <v>39</v>
      </c>
      <c r="C573" s="3">
        <v>45709.244583333333</v>
      </c>
      <c r="D573" t="s">
        <v>126</v>
      </c>
      <c r="E573" s="4">
        <v>1.6559999999999999</v>
      </c>
      <c r="F573" s="4">
        <v>408777.11900000001</v>
      </c>
      <c r="G573" s="4">
        <v>408778.77500000002</v>
      </c>
      <c r="H573" s="5">
        <f>399 / 86400</f>
        <v>4.6180555555555558E-3</v>
      </c>
      <c r="I573" t="s">
        <v>168</v>
      </c>
      <c r="J573" t="s">
        <v>88</v>
      </c>
      <c r="K573" s="5">
        <f>841 / 86400</f>
        <v>9.7337962962962959E-3</v>
      </c>
      <c r="L573" s="5">
        <f>21063 / 86400</f>
        <v>0.24378472222222222</v>
      </c>
    </row>
    <row r="574" spans="1:12" x14ac:dyDescent="0.25">
      <c r="A574" s="3">
        <v>45709.253530092596</v>
      </c>
      <c r="B574" t="s">
        <v>126</v>
      </c>
      <c r="C574" s="3">
        <v>45709.257141203707</v>
      </c>
      <c r="D574" t="s">
        <v>149</v>
      </c>
      <c r="E574" s="4">
        <v>0.66800000000000004</v>
      </c>
      <c r="F574" s="4">
        <v>408778.77500000002</v>
      </c>
      <c r="G574" s="4">
        <v>408779.44300000003</v>
      </c>
      <c r="H574" s="5">
        <f>100 / 86400</f>
        <v>1.1574074074074073E-3</v>
      </c>
      <c r="I574" t="s">
        <v>77</v>
      </c>
      <c r="J574" t="s">
        <v>59</v>
      </c>
      <c r="K574" s="5">
        <f>311 / 86400</f>
        <v>3.5995370370370369E-3</v>
      </c>
      <c r="L574" s="5">
        <f>5 / 86400</f>
        <v>5.7870370370370373E-5</v>
      </c>
    </row>
    <row r="575" spans="1:12" x14ac:dyDescent="0.25">
      <c r="A575" s="3">
        <v>45709.257199074069</v>
      </c>
      <c r="B575" t="s">
        <v>149</v>
      </c>
      <c r="C575" s="3">
        <v>45709.337245370371</v>
      </c>
      <c r="D575" t="s">
        <v>251</v>
      </c>
      <c r="E575" s="4">
        <v>36.744</v>
      </c>
      <c r="F575" s="4">
        <v>408779.44300000003</v>
      </c>
      <c r="G575" s="4">
        <v>408816.18699999998</v>
      </c>
      <c r="H575" s="5">
        <f>2203 / 86400</f>
        <v>2.5497685185185186E-2</v>
      </c>
      <c r="I575" t="s">
        <v>40</v>
      </c>
      <c r="J575" t="s">
        <v>77</v>
      </c>
      <c r="K575" s="5">
        <f>6916 / 86400</f>
        <v>8.0046296296296296E-2</v>
      </c>
      <c r="L575" s="5">
        <f>1 / 86400</f>
        <v>1.1574074074074073E-5</v>
      </c>
    </row>
    <row r="576" spans="1:12" x14ac:dyDescent="0.25">
      <c r="A576" s="3">
        <v>45709.337256944447</v>
      </c>
      <c r="B576" t="s">
        <v>251</v>
      </c>
      <c r="C576" s="3">
        <v>45709.401585648149</v>
      </c>
      <c r="D576" t="s">
        <v>405</v>
      </c>
      <c r="E576" s="4">
        <v>14.565</v>
      </c>
      <c r="F576" s="4">
        <v>408816.19</v>
      </c>
      <c r="G576" s="4">
        <v>408830.755</v>
      </c>
      <c r="H576" s="5">
        <f>2580 / 86400</f>
        <v>2.9861111111111113E-2</v>
      </c>
      <c r="I576" t="s">
        <v>228</v>
      </c>
      <c r="J576" t="s">
        <v>125</v>
      </c>
      <c r="K576" s="5">
        <f>5558 / 86400</f>
        <v>6.4328703703703707E-2</v>
      </c>
      <c r="L576" s="5">
        <f>4987 / 86400</f>
        <v>5.7719907407407407E-2</v>
      </c>
    </row>
    <row r="577" spans="1:12" x14ac:dyDescent="0.25">
      <c r="A577" s="3">
        <v>45709.45930555556</v>
      </c>
      <c r="B577" t="s">
        <v>405</v>
      </c>
      <c r="C577" s="3">
        <v>45709.597361111111</v>
      </c>
      <c r="D577" t="s">
        <v>149</v>
      </c>
      <c r="E577" s="4">
        <v>50.226999999999997</v>
      </c>
      <c r="F577" s="4">
        <v>408830.755</v>
      </c>
      <c r="G577" s="4">
        <v>408880.98200000002</v>
      </c>
      <c r="H577" s="5">
        <f>4159 / 86400</f>
        <v>4.8136574074074075E-2</v>
      </c>
      <c r="I577" t="s">
        <v>138</v>
      </c>
      <c r="J577" t="s">
        <v>41</v>
      </c>
      <c r="K577" s="5">
        <f>11928 / 86400</f>
        <v>0.13805555555555554</v>
      </c>
      <c r="L577" s="5">
        <f>2253 / 86400</f>
        <v>2.6076388888888889E-2</v>
      </c>
    </row>
    <row r="578" spans="1:12" x14ac:dyDescent="0.25">
      <c r="A578" s="3">
        <v>45709.623437499999</v>
      </c>
      <c r="B578" t="s">
        <v>149</v>
      </c>
      <c r="C578" s="3">
        <v>45709.627557870372</v>
      </c>
      <c r="D578" t="s">
        <v>403</v>
      </c>
      <c r="E578" s="4">
        <v>0.71299999999999997</v>
      </c>
      <c r="F578" s="4">
        <v>408880.98200000002</v>
      </c>
      <c r="G578" s="4">
        <v>408881.69500000001</v>
      </c>
      <c r="H578" s="5">
        <f>119 / 86400</f>
        <v>1.3773148148148147E-3</v>
      </c>
      <c r="I578" t="s">
        <v>77</v>
      </c>
      <c r="J578" t="s">
        <v>88</v>
      </c>
      <c r="K578" s="5">
        <f>355 / 86400</f>
        <v>4.1087962962962962E-3</v>
      </c>
      <c r="L578" s="5">
        <f>3368 / 86400</f>
        <v>3.8981481481481478E-2</v>
      </c>
    </row>
    <row r="579" spans="1:12" x14ac:dyDescent="0.25">
      <c r="A579" s="3">
        <v>45709.666539351849</v>
      </c>
      <c r="B579" t="s">
        <v>403</v>
      </c>
      <c r="C579" s="3">
        <v>45709.710775462961</v>
      </c>
      <c r="D579" t="s">
        <v>197</v>
      </c>
      <c r="E579" s="4">
        <v>22.704999999999998</v>
      </c>
      <c r="F579" s="4">
        <v>408881.69500000001</v>
      </c>
      <c r="G579" s="4">
        <v>408904.4</v>
      </c>
      <c r="H579" s="5">
        <f>959 / 86400</f>
        <v>1.1099537037037036E-2</v>
      </c>
      <c r="I579" t="s">
        <v>130</v>
      </c>
      <c r="J579" t="s">
        <v>136</v>
      </c>
      <c r="K579" s="5">
        <f>3822 / 86400</f>
        <v>4.4236111111111108E-2</v>
      </c>
      <c r="L579" s="5">
        <f>26 / 86400</f>
        <v>3.0092592592592595E-4</v>
      </c>
    </row>
    <row r="580" spans="1:12" x14ac:dyDescent="0.25">
      <c r="A580" s="3">
        <v>45709.711076388892</v>
      </c>
      <c r="B580" t="s">
        <v>197</v>
      </c>
      <c r="C580" s="3">
        <v>45709.722372685181</v>
      </c>
      <c r="D580" t="s">
        <v>75</v>
      </c>
      <c r="E580" s="4">
        <v>5.1790000000000003</v>
      </c>
      <c r="F580" s="4">
        <v>408904.4</v>
      </c>
      <c r="G580" s="4">
        <v>408909.57900000003</v>
      </c>
      <c r="H580" s="5">
        <f>260 / 86400</f>
        <v>3.0092592592592593E-3</v>
      </c>
      <c r="I580" t="s">
        <v>96</v>
      </c>
      <c r="J580" t="s">
        <v>77</v>
      </c>
      <c r="K580" s="5">
        <f>975 / 86400</f>
        <v>1.1284722222222222E-2</v>
      </c>
      <c r="L580" s="5">
        <f>8 / 86400</f>
        <v>9.2592592592592588E-5</v>
      </c>
    </row>
    <row r="581" spans="1:12" x14ac:dyDescent="0.25">
      <c r="A581" s="3">
        <v>45709.72246527778</v>
      </c>
      <c r="B581" t="s">
        <v>75</v>
      </c>
      <c r="C581" s="3">
        <v>45709.724259259259</v>
      </c>
      <c r="D581" t="s">
        <v>237</v>
      </c>
      <c r="E581" s="4">
        <v>0.182</v>
      </c>
      <c r="F581" s="4">
        <v>408909.57900000003</v>
      </c>
      <c r="G581" s="4">
        <v>408909.761</v>
      </c>
      <c r="H581" s="5">
        <f>39 / 86400</f>
        <v>4.5138888888888887E-4</v>
      </c>
      <c r="I581" t="s">
        <v>20</v>
      </c>
      <c r="J581" t="s">
        <v>30</v>
      </c>
      <c r="K581" s="5">
        <f>154 / 86400</f>
        <v>1.7824074074074075E-3</v>
      </c>
      <c r="L581" s="5">
        <f>15 / 86400</f>
        <v>1.7361111111111112E-4</v>
      </c>
    </row>
    <row r="582" spans="1:12" x14ac:dyDescent="0.25">
      <c r="A582" s="3">
        <v>45709.724432870367</v>
      </c>
      <c r="B582" t="s">
        <v>237</v>
      </c>
      <c r="C582" s="3">
        <v>45709.727280092593</v>
      </c>
      <c r="D582" t="s">
        <v>92</v>
      </c>
      <c r="E582" s="4">
        <v>2.4700000000000002</v>
      </c>
      <c r="F582" s="4">
        <v>408909.761</v>
      </c>
      <c r="G582" s="4">
        <v>408912.23100000003</v>
      </c>
      <c r="H582" s="5">
        <f>0 / 86400</f>
        <v>0</v>
      </c>
      <c r="I582" t="s">
        <v>138</v>
      </c>
      <c r="J582" t="s">
        <v>141</v>
      </c>
      <c r="K582" s="5">
        <f>246 / 86400</f>
        <v>2.8472222222222223E-3</v>
      </c>
      <c r="L582" s="5">
        <f>70 / 86400</f>
        <v>8.1018518518518516E-4</v>
      </c>
    </row>
    <row r="583" spans="1:12" x14ac:dyDescent="0.25">
      <c r="A583" s="3">
        <v>45709.728090277778</v>
      </c>
      <c r="B583" t="s">
        <v>92</v>
      </c>
      <c r="C583" s="3">
        <v>45709.732476851852</v>
      </c>
      <c r="D583" t="s">
        <v>119</v>
      </c>
      <c r="E583" s="4">
        <v>1.502</v>
      </c>
      <c r="F583" s="4">
        <v>408912.239</v>
      </c>
      <c r="G583" s="4">
        <v>408913.74099999998</v>
      </c>
      <c r="H583" s="5">
        <f>100 / 86400</f>
        <v>1.1574074074074073E-3</v>
      </c>
      <c r="I583" t="s">
        <v>182</v>
      </c>
      <c r="J583" t="s">
        <v>57</v>
      </c>
      <c r="K583" s="5">
        <f>379 / 86400</f>
        <v>4.386574074074074E-3</v>
      </c>
      <c r="L583" s="5">
        <f>4 / 86400</f>
        <v>4.6296296296296294E-5</v>
      </c>
    </row>
    <row r="584" spans="1:12" x14ac:dyDescent="0.25">
      <c r="A584" s="3">
        <v>45709.732523148152</v>
      </c>
      <c r="B584" t="s">
        <v>119</v>
      </c>
      <c r="C584" s="3">
        <v>45709.785300925927</v>
      </c>
      <c r="D584" t="s">
        <v>406</v>
      </c>
      <c r="E584" s="4">
        <v>14.694000000000001</v>
      </c>
      <c r="F584" s="4">
        <v>408913.745</v>
      </c>
      <c r="G584" s="4">
        <v>408928.43900000001</v>
      </c>
      <c r="H584" s="5">
        <f>1800 / 86400</f>
        <v>2.0833333333333332E-2</v>
      </c>
      <c r="I584" t="s">
        <v>234</v>
      </c>
      <c r="J584" t="s">
        <v>55</v>
      </c>
      <c r="K584" s="5">
        <f>4560 / 86400</f>
        <v>5.2777777777777778E-2</v>
      </c>
      <c r="L584" s="5">
        <f>58 / 86400</f>
        <v>6.7129629629629625E-4</v>
      </c>
    </row>
    <row r="585" spans="1:12" x14ac:dyDescent="0.25">
      <c r="A585" s="3">
        <v>45709.78597222222</v>
      </c>
      <c r="B585" t="s">
        <v>406</v>
      </c>
      <c r="C585" s="3">
        <v>45709.91883101852</v>
      </c>
      <c r="D585" t="s">
        <v>357</v>
      </c>
      <c r="E585" s="4">
        <v>42.418999999999997</v>
      </c>
      <c r="F585" s="4">
        <v>408928.43900000001</v>
      </c>
      <c r="G585" s="4">
        <v>408970.85800000001</v>
      </c>
      <c r="H585" s="5">
        <f>4520 / 86400</f>
        <v>5.2314814814814814E-2</v>
      </c>
      <c r="I585" t="s">
        <v>138</v>
      </c>
      <c r="J585" t="s">
        <v>26</v>
      </c>
      <c r="K585" s="5">
        <f>11478 / 86400</f>
        <v>0.13284722222222223</v>
      </c>
      <c r="L585" s="5">
        <f>4 / 86400</f>
        <v>4.6296296296296294E-5</v>
      </c>
    </row>
    <row r="586" spans="1:12" x14ac:dyDescent="0.25">
      <c r="A586" s="3">
        <v>45709.91887731482</v>
      </c>
      <c r="B586" t="s">
        <v>357</v>
      </c>
      <c r="C586" s="3">
        <v>45709.927546296298</v>
      </c>
      <c r="D586" t="s">
        <v>70</v>
      </c>
      <c r="E586" s="4">
        <v>4.6660000000000004</v>
      </c>
      <c r="F586" s="4">
        <v>408970.85800000001</v>
      </c>
      <c r="G586" s="4">
        <v>408975.52399999998</v>
      </c>
      <c r="H586" s="5">
        <f>20 / 86400</f>
        <v>2.3148148148148149E-4</v>
      </c>
      <c r="I586" t="s">
        <v>230</v>
      </c>
      <c r="J586" t="s">
        <v>143</v>
      </c>
      <c r="K586" s="5">
        <f>749 / 86400</f>
        <v>8.6689814814814806E-3</v>
      </c>
      <c r="L586" s="5">
        <f>364 / 86400</f>
        <v>4.2129629629629626E-3</v>
      </c>
    </row>
    <row r="587" spans="1:12" x14ac:dyDescent="0.25">
      <c r="A587" s="3">
        <v>45709.931759259256</v>
      </c>
      <c r="B587" t="s">
        <v>70</v>
      </c>
      <c r="C587" s="3">
        <v>45709.932928240742</v>
      </c>
      <c r="D587" t="s">
        <v>350</v>
      </c>
      <c r="E587" s="4">
        <v>0.20200000000000001</v>
      </c>
      <c r="F587" s="4">
        <v>408975.52399999998</v>
      </c>
      <c r="G587" s="4">
        <v>408975.72600000002</v>
      </c>
      <c r="H587" s="5">
        <f>20 / 86400</f>
        <v>2.3148148148148149E-4</v>
      </c>
      <c r="I587" t="s">
        <v>20</v>
      </c>
      <c r="J587" t="s">
        <v>88</v>
      </c>
      <c r="K587" s="5">
        <f>100 / 86400</f>
        <v>1.1574074074074073E-3</v>
      </c>
      <c r="L587" s="5">
        <f>215 / 86400</f>
        <v>2.488425925925926E-3</v>
      </c>
    </row>
    <row r="588" spans="1:12" x14ac:dyDescent="0.25">
      <c r="A588" s="3">
        <v>45709.935416666667</v>
      </c>
      <c r="B588" t="s">
        <v>350</v>
      </c>
      <c r="C588" s="3">
        <v>45709.936805555553</v>
      </c>
      <c r="D588" t="s">
        <v>407</v>
      </c>
      <c r="E588" s="4">
        <v>0.52300000000000002</v>
      </c>
      <c r="F588" s="4">
        <v>408975.72600000002</v>
      </c>
      <c r="G588" s="4">
        <v>408976.24900000001</v>
      </c>
      <c r="H588" s="5">
        <f>0 / 86400</f>
        <v>0</v>
      </c>
      <c r="I588" t="s">
        <v>150</v>
      </c>
      <c r="J588" t="s">
        <v>28</v>
      </c>
      <c r="K588" s="5">
        <f>119 / 86400</f>
        <v>1.3773148148148147E-3</v>
      </c>
      <c r="L588" s="5">
        <f>563 / 86400</f>
        <v>6.5162037037037037E-3</v>
      </c>
    </row>
    <row r="589" spans="1:12" x14ac:dyDescent="0.25">
      <c r="A589" s="3">
        <v>45709.94332175926</v>
      </c>
      <c r="B589" t="s">
        <v>407</v>
      </c>
      <c r="C589" s="3">
        <v>45709.943726851852</v>
      </c>
      <c r="D589" t="s">
        <v>407</v>
      </c>
      <c r="E589" s="4">
        <v>7.6999999999999999E-2</v>
      </c>
      <c r="F589" s="4">
        <v>408976.24900000001</v>
      </c>
      <c r="G589" s="4">
        <v>408976.326</v>
      </c>
      <c r="H589" s="5">
        <f>0 / 86400</f>
        <v>0</v>
      </c>
      <c r="I589" t="s">
        <v>28</v>
      </c>
      <c r="J589" t="s">
        <v>59</v>
      </c>
      <c r="K589" s="5">
        <f>34 / 86400</f>
        <v>3.9351851851851852E-4</v>
      </c>
      <c r="L589" s="5">
        <f>1091 / 86400</f>
        <v>1.2627314814814815E-2</v>
      </c>
    </row>
    <row r="590" spans="1:12" x14ac:dyDescent="0.25">
      <c r="A590" s="3">
        <v>45709.956354166672</v>
      </c>
      <c r="B590" t="s">
        <v>407</v>
      </c>
      <c r="C590" s="3">
        <v>45709.960393518515</v>
      </c>
      <c r="D590" t="s">
        <v>39</v>
      </c>
      <c r="E590" s="4">
        <v>0.497</v>
      </c>
      <c r="F590" s="4">
        <v>408976.326</v>
      </c>
      <c r="G590" s="4">
        <v>408976.82299999997</v>
      </c>
      <c r="H590" s="5">
        <f>79 / 86400</f>
        <v>9.1435185185185185E-4</v>
      </c>
      <c r="I590" t="s">
        <v>57</v>
      </c>
      <c r="J590" t="s">
        <v>121</v>
      </c>
      <c r="K590" s="5">
        <f>349 / 86400</f>
        <v>4.0393518518518521E-3</v>
      </c>
      <c r="L590" s="5">
        <f>3421 / 86400</f>
        <v>3.9594907407407405E-2</v>
      </c>
    </row>
    <row r="591" spans="1:12" x14ac:dyDescent="0.25">
      <c r="A591" s="12"/>
      <c r="B591" s="12"/>
      <c r="C591" s="12"/>
      <c r="D591" s="12"/>
      <c r="E591" s="12"/>
      <c r="F591" s="12"/>
      <c r="G591" s="12"/>
      <c r="H591" s="12"/>
      <c r="I591" s="12"/>
      <c r="J591" s="12"/>
    </row>
    <row r="592" spans="1:12" x14ac:dyDescent="0.25">
      <c r="A592" s="12"/>
      <c r="B592" s="12"/>
      <c r="C592" s="12"/>
      <c r="D592" s="12"/>
      <c r="E592" s="12"/>
      <c r="F592" s="12"/>
      <c r="G592" s="12"/>
      <c r="H592" s="12"/>
      <c r="I592" s="12"/>
      <c r="J592" s="12"/>
    </row>
    <row r="593" spans="1:12" s="10" customFormat="1" ht="20.100000000000001" customHeight="1" x14ac:dyDescent="0.35">
      <c r="A593" s="15" t="s">
        <v>462</v>
      </c>
      <c r="B593" s="15"/>
      <c r="C593" s="15"/>
      <c r="D593" s="15"/>
      <c r="E593" s="15"/>
      <c r="F593" s="15"/>
      <c r="G593" s="15"/>
      <c r="H593" s="15"/>
      <c r="I593" s="15"/>
      <c r="J593" s="15"/>
    </row>
    <row r="594" spans="1:12" x14ac:dyDescent="0.25">
      <c r="A594" s="12"/>
      <c r="B594" s="12"/>
      <c r="C594" s="12"/>
      <c r="D594" s="12"/>
      <c r="E594" s="12"/>
      <c r="F594" s="12"/>
      <c r="G594" s="12"/>
      <c r="H594" s="12"/>
      <c r="I594" s="12"/>
      <c r="J594" s="12"/>
    </row>
    <row r="595" spans="1:12" ht="30" x14ac:dyDescent="0.25">
      <c r="A595" s="2" t="s">
        <v>6</v>
      </c>
      <c r="B595" s="2" t="s">
        <v>7</v>
      </c>
      <c r="C595" s="2" t="s">
        <v>8</v>
      </c>
      <c r="D595" s="2" t="s">
        <v>9</v>
      </c>
      <c r="E595" s="2" t="s">
        <v>10</v>
      </c>
      <c r="F595" s="2" t="s">
        <v>11</v>
      </c>
      <c r="G595" s="2" t="s">
        <v>12</v>
      </c>
      <c r="H595" s="2" t="s">
        <v>13</v>
      </c>
      <c r="I595" s="2" t="s">
        <v>14</v>
      </c>
      <c r="J595" s="2" t="s">
        <v>15</v>
      </c>
      <c r="K595" s="2" t="s">
        <v>16</v>
      </c>
      <c r="L595" s="2" t="s">
        <v>17</v>
      </c>
    </row>
    <row r="596" spans="1:12" x14ac:dyDescent="0.25">
      <c r="A596" s="3">
        <v>45709.265902777777</v>
      </c>
      <c r="B596" t="s">
        <v>42</v>
      </c>
      <c r="C596" s="3">
        <v>45709.274618055555</v>
      </c>
      <c r="D596" t="s">
        <v>164</v>
      </c>
      <c r="E596" s="4">
        <v>0.86499999999999999</v>
      </c>
      <c r="F596" s="4">
        <v>438699.62199999997</v>
      </c>
      <c r="G596" s="4">
        <v>438700.48700000002</v>
      </c>
      <c r="H596" s="5">
        <f>519 / 86400</f>
        <v>6.0069444444444441E-3</v>
      </c>
      <c r="I596" t="s">
        <v>150</v>
      </c>
      <c r="J596" t="s">
        <v>30</v>
      </c>
      <c r="K596" s="5">
        <f>752 / 86400</f>
        <v>8.7037037037037031E-3</v>
      </c>
      <c r="L596" s="5">
        <f>26220 / 86400</f>
        <v>0.3034722222222222</v>
      </c>
    </row>
    <row r="597" spans="1:12" x14ac:dyDescent="0.25">
      <c r="A597" s="3">
        <v>45709.3121875</v>
      </c>
      <c r="B597" t="s">
        <v>164</v>
      </c>
      <c r="C597" s="3">
        <v>45709.567696759259</v>
      </c>
      <c r="D597" t="s">
        <v>42</v>
      </c>
      <c r="E597" s="4">
        <v>100.93600000000001</v>
      </c>
      <c r="F597" s="4">
        <v>438700.48700000002</v>
      </c>
      <c r="G597" s="4">
        <v>438801.42300000001</v>
      </c>
      <c r="H597" s="5">
        <f>7339 / 86400</f>
        <v>8.4942129629629631E-2</v>
      </c>
      <c r="I597" t="s">
        <v>43</v>
      </c>
      <c r="J597" t="s">
        <v>28</v>
      </c>
      <c r="K597" s="5">
        <f>22075 / 86400</f>
        <v>0.25549768518518517</v>
      </c>
      <c r="L597" s="5">
        <f>37350 / 86400</f>
        <v>0.43229166666666669</v>
      </c>
    </row>
    <row r="598" spans="1:12" x14ac:dyDescent="0.25">
      <c r="A598" s="12"/>
      <c r="B598" s="12"/>
      <c r="C598" s="12"/>
      <c r="D598" s="12"/>
      <c r="E598" s="12"/>
      <c r="F598" s="12"/>
      <c r="G598" s="12"/>
      <c r="H598" s="12"/>
      <c r="I598" s="12"/>
      <c r="J598" s="12"/>
    </row>
    <row r="599" spans="1:12" x14ac:dyDescent="0.25">
      <c r="A599" s="12"/>
      <c r="B599" s="12"/>
      <c r="C599" s="12"/>
      <c r="D599" s="12"/>
      <c r="E599" s="12"/>
      <c r="F599" s="12"/>
      <c r="G599" s="12"/>
      <c r="H599" s="12"/>
      <c r="I599" s="12"/>
      <c r="J599" s="12"/>
    </row>
    <row r="600" spans="1:12" s="10" customFormat="1" ht="20.100000000000001" customHeight="1" x14ac:dyDescent="0.35">
      <c r="A600" s="15" t="s">
        <v>463</v>
      </c>
      <c r="B600" s="15"/>
      <c r="C600" s="15"/>
      <c r="D600" s="15"/>
      <c r="E600" s="15"/>
      <c r="F600" s="15"/>
      <c r="G600" s="15"/>
      <c r="H600" s="15"/>
      <c r="I600" s="15"/>
      <c r="J600" s="15"/>
    </row>
    <row r="601" spans="1:12" x14ac:dyDescent="0.25">
      <c r="A601" s="12"/>
      <c r="B601" s="12"/>
      <c r="C601" s="12"/>
      <c r="D601" s="12"/>
      <c r="E601" s="12"/>
      <c r="F601" s="12"/>
      <c r="G601" s="12"/>
      <c r="H601" s="12"/>
      <c r="I601" s="12"/>
      <c r="J601" s="12"/>
    </row>
    <row r="602" spans="1:12" ht="30" x14ac:dyDescent="0.25">
      <c r="A602" s="2" t="s">
        <v>6</v>
      </c>
      <c r="B602" s="2" t="s">
        <v>7</v>
      </c>
      <c r="C602" s="2" t="s">
        <v>8</v>
      </c>
      <c r="D602" s="2" t="s">
        <v>9</v>
      </c>
      <c r="E602" s="2" t="s">
        <v>10</v>
      </c>
      <c r="F602" s="2" t="s">
        <v>11</v>
      </c>
      <c r="G602" s="2" t="s">
        <v>12</v>
      </c>
      <c r="H602" s="2" t="s">
        <v>13</v>
      </c>
      <c r="I602" s="2" t="s">
        <v>14</v>
      </c>
      <c r="J602" s="2" t="s">
        <v>15</v>
      </c>
      <c r="K602" s="2" t="s">
        <v>16</v>
      </c>
      <c r="L602" s="2" t="s">
        <v>17</v>
      </c>
    </row>
    <row r="603" spans="1:12" x14ac:dyDescent="0.25">
      <c r="A603" s="3">
        <v>45709.20689814815</v>
      </c>
      <c r="B603" t="s">
        <v>44</v>
      </c>
      <c r="C603" s="3">
        <v>45709.463680555556</v>
      </c>
      <c r="D603" t="s">
        <v>126</v>
      </c>
      <c r="E603" s="4">
        <v>102.77500000000001</v>
      </c>
      <c r="F603" s="4">
        <v>55906.563000000002</v>
      </c>
      <c r="G603" s="4">
        <v>56009.338000000003</v>
      </c>
      <c r="H603" s="5">
        <f>7260 / 86400</f>
        <v>8.4027777777777785E-2</v>
      </c>
      <c r="I603" t="s">
        <v>45</v>
      </c>
      <c r="J603" t="s">
        <v>52</v>
      </c>
      <c r="K603" s="5">
        <f>22185 / 86400</f>
        <v>0.25677083333333334</v>
      </c>
      <c r="L603" s="5">
        <f>18546 / 86400</f>
        <v>0.21465277777777778</v>
      </c>
    </row>
    <row r="604" spans="1:12" x14ac:dyDescent="0.25">
      <c r="A604" s="3">
        <v>45709.471435185187</v>
      </c>
      <c r="B604" t="s">
        <v>126</v>
      </c>
      <c r="C604" s="3">
        <v>45709.471655092595</v>
      </c>
      <c r="D604" t="s">
        <v>126</v>
      </c>
      <c r="E604" s="4">
        <v>0.02</v>
      </c>
      <c r="F604" s="4">
        <v>56009.338000000003</v>
      </c>
      <c r="G604" s="4">
        <v>56009.358</v>
      </c>
      <c r="H604" s="5">
        <f>0 / 86400</f>
        <v>0</v>
      </c>
      <c r="I604" t="s">
        <v>122</v>
      </c>
      <c r="J604" t="s">
        <v>30</v>
      </c>
      <c r="K604" s="5">
        <f>19 / 86400</f>
        <v>2.199074074074074E-4</v>
      </c>
      <c r="L604" s="5">
        <f>236 / 86400</f>
        <v>2.7314814814814814E-3</v>
      </c>
    </row>
    <row r="605" spans="1:12" x14ac:dyDescent="0.25">
      <c r="A605" s="3">
        <v>45709.474386574075</v>
      </c>
      <c r="B605" t="s">
        <v>126</v>
      </c>
      <c r="C605" s="3">
        <v>45709.660625000004</v>
      </c>
      <c r="D605" t="s">
        <v>70</v>
      </c>
      <c r="E605" s="4">
        <v>79.055000000000007</v>
      </c>
      <c r="F605" s="4">
        <v>56009.358</v>
      </c>
      <c r="G605" s="4">
        <v>56088.413</v>
      </c>
      <c r="H605" s="5">
        <f>5078 / 86400</f>
        <v>5.8773148148148151E-2</v>
      </c>
      <c r="I605" t="s">
        <v>25</v>
      </c>
      <c r="J605" t="s">
        <v>20</v>
      </c>
      <c r="K605" s="5">
        <f>16090 / 86400</f>
        <v>0.18622685185185187</v>
      </c>
      <c r="L605" s="5">
        <f>653 / 86400</f>
        <v>7.5578703703703702E-3</v>
      </c>
    </row>
    <row r="606" spans="1:12" x14ac:dyDescent="0.25">
      <c r="A606" s="3">
        <v>45709.668182870373</v>
      </c>
      <c r="B606" t="s">
        <v>70</v>
      </c>
      <c r="C606" s="3">
        <v>45709.669502314813</v>
      </c>
      <c r="D606" t="s">
        <v>70</v>
      </c>
      <c r="E606" s="4">
        <v>0.151</v>
      </c>
      <c r="F606" s="4">
        <v>56088.413</v>
      </c>
      <c r="G606" s="4">
        <v>56088.563999999998</v>
      </c>
      <c r="H606" s="5">
        <f>39 / 86400</f>
        <v>4.5138888888888887E-4</v>
      </c>
      <c r="I606" t="s">
        <v>125</v>
      </c>
      <c r="J606" t="s">
        <v>121</v>
      </c>
      <c r="K606" s="5">
        <f>113 / 86400</f>
        <v>1.3078703703703703E-3</v>
      </c>
      <c r="L606" s="5">
        <f>442 / 86400</f>
        <v>5.115740740740741E-3</v>
      </c>
    </row>
    <row r="607" spans="1:12" x14ac:dyDescent="0.25">
      <c r="A607" s="3">
        <v>45709.674618055556</v>
      </c>
      <c r="B607" t="s">
        <v>70</v>
      </c>
      <c r="C607" s="3">
        <v>45709.676319444443</v>
      </c>
      <c r="D607" t="s">
        <v>140</v>
      </c>
      <c r="E607" s="4">
        <v>0.16800000000000001</v>
      </c>
      <c r="F607" s="4">
        <v>56088.563999999998</v>
      </c>
      <c r="G607" s="4">
        <v>56088.732000000004</v>
      </c>
      <c r="H607" s="5">
        <f>20 / 86400</f>
        <v>2.3148148148148149E-4</v>
      </c>
      <c r="I607" t="s">
        <v>57</v>
      </c>
      <c r="J607" t="s">
        <v>30</v>
      </c>
      <c r="K607" s="5">
        <f>146 / 86400</f>
        <v>1.6898148148148148E-3</v>
      </c>
      <c r="L607" s="5">
        <f>446 / 86400</f>
        <v>5.162037037037037E-3</v>
      </c>
    </row>
    <row r="608" spans="1:12" x14ac:dyDescent="0.25">
      <c r="A608" s="3">
        <v>45709.681481481486</v>
      </c>
      <c r="B608" t="s">
        <v>140</v>
      </c>
      <c r="C608" s="3">
        <v>45709.681608796294</v>
      </c>
      <c r="D608" t="s">
        <v>140</v>
      </c>
      <c r="E608" s="4">
        <v>1E-3</v>
      </c>
      <c r="F608" s="4">
        <v>56088.732000000004</v>
      </c>
      <c r="G608" s="4">
        <v>56088.733</v>
      </c>
      <c r="H608" s="5">
        <f>0 / 86400</f>
        <v>0</v>
      </c>
      <c r="I608" t="s">
        <v>48</v>
      </c>
      <c r="J608" t="s">
        <v>48</v>
      </c>
      <c r="K608" s="5">
        <f>11 / 86400</f>
        <v>1.273148148148148E-4</v>
      </c>
      <c r="L608" s="5">
        <f>1383 / 86400</f>
        <v>1.6006944444444445E-2</v>
      </c>
    </row>
    <row r="609" spans="1:12" x14ac:dyDescent="0.25">
      <c r="A609" s="3">
        <v>45709.697615740741</v>
      </c>
      <c r="B609" t="s">
        <v>140</v>
      </c>
      <c r="C609" s="3">
        <v>45709.817384259259</v>
      </c>
      <c r="D609" t="s">
        <v>270</v>
      </c>
      <c r="E609" s="4">
        <v>46.883000000000003</v>
      </c>
      <c r="F609" s="4">
        <v>56088.733</v>
      </c>
      <c r="G609" s="4">
        <v>56135.616000000002</v>
      </c>
      <c r="H609" s="5">
        <f>3439 / 86400</f>
        <v>3.9803240740740743E-2</v>
      </c>
      <c r="I609" t="s">
        <v>35</v>
      </c>
      <c r="J609" t="s">
        <v>28</v>
      </c>
      <c r="K609" s="5">
        <f>10347 / 86400</f>
        <v>0.11975694444444444</v>
      </c>
      <c r="L609" s="5">
        <f>61 / 86400</f>
        <v>7.0601851851851847E-4</v>
      </c>
    </row>
    <row r="610" spans="1:12" x14ac:dyDescent="0.25">
      <c r="A610" s="3">
        <v>45709.818090277782</v>
      </c>
      <c r="B610" t="s">
        <v>270</v>
      </c>
      <c r="C610" s="3">
        <v>45709.946759259255</v>
      </c>
      <c r="D610" t="s">
        <v>350</v>
      </c>
      <c r="E610" s="4">
        <v>46.523000000000003</v>
      </c>
      <c r="F610" s="4">
        <v>56135.616000000002</v>
      </c>
      <c r="G610" s="4">
        <v>56182.139000000003</v>
      </c>
      <c r="H610" s="5">
        <f>3700 / 86400</f>
        <v>4.2824074074074077E-2</v>
      </c>
      <c r="I610" t="s">
        <v>148</v>
      </c>
      <c r="J610" t="s">
        <v>41</v>
      </c>
      <c r="K610" s="5">
        <f>11116 / 86400</f>
        <v>0.12865740740740741</v>
      </c>
      <c r="L610" s="5">
        <f>591 / 86400</f>
        <v>6.8402777777777776E-3</v>
      </c>
    </row>
    <row r="611" spans="1:12" x14ac:dyDescent="0.25">
      <c r="A611" s="3">
        <v>45709.953599537039</v>
      </c>
      <c r="B611" t="s">
        <v>350</v>
      </c>
      <c r="C611" s="3">
        <v>45709.954814814817</v>
      </c>
      <c r="D611" t="s">
        <v>352</v>
      </c>
      <c r="E611" s="4">
        <v>0.47</v>
      </c>
      <c r="F611" s="4">
        <v>56182.139000000003</v>
      </c>
      <c r="G611" s="4">
        <v>56182.608999999997</v>
      </c>
      <c r="H611" s="5">
        <f>0 / 86400</f>
        <v>0</v>
      </c>
      <c r="I611" t="s">
        <v>91</v>
      </c>
      <c r="J611" t="s">
        <v>28</v>
      </c>
      <c r="K611" s="5">
        <f>104 / 86400</f>
        <v>1.2037037037037038E-3</v>
      </c>
      <c r="L611" s="5">
        <f>522 / 86400</f>
        <v>6.0416666666666665E-3</v>
      </c>
    </row>
    <row r="612" spans="1:12" x14ac:dyDescent="0.25">
      <c r="A612" s="3">
        <v>45709.960856481484</v>
      </c>
      <c r="B612" t="s">
        <v>352</v>
      </c>
      <c r="C612" s="3">
        <v>45709.963240740741</v>
      </c>
      <c r="D612" t="s">
        <v>44</v>
      </c>
      <c r="E612" s="4">
        <v>0.33600000000000002</v>
      </c>
      <c r="F612" s="4">
        <v>56182.608999999997</v>
      </c>
      <c r="G612" s="4">
        <v>56182.945</v>
      </c>
      <c r="H612" s="5">
        <f>60 / 86400</f>
        <v>6.9444444444444447E-4</v>
      </c>
      <c r="I612" t="s">
        <v>150</v>
      </c>
      <c r="J612" t="s">
        <v>134</v>
      </c>
      <c r="K612" s="5">
        <f>205 / 86400</f>
        <v>2.3726851851851851E-3</v>
      </c>
      <c r="L612" s="5">
        <f>3175 / 86400</f>
        <v>3.6747685185185182E-2</v>
      </c>
    </row>
    <row r="613" spans="1:12" x14ac:dyDescent="0.25">
      <c r="A613" s="12"/>
      <c r="B613" s="12"/>
      <c r="C613" s="12"/>
      <c r="D613" s="12"/>
      <c r="E613" s="12"/>
      <c r="F613" s="12"/>
      <c r="G613" s="12"/>
      <c r="H613" s="12"/>
      <c r="I613" s="12"/>
      <c r="J613" s="12"/>
    </row>
    <row r="614" spans="1:12" x14ac:dyDescent="0.25">
      <c r="A614" s="12"/>
      <c r="B614" s="12"/>
      <c r="C614" s="12"/>
      <c r="D614" s="12"/>
      <c r="E614" s="12"/>
      <c r="F614" s="12"/>
      <c r="G614" s="12"/>
      <c r="H614" s="12"/>
      <c r="I614" s="12"/>
      <c r="J614" s="12"/>
    </row>
    <row r="615" spans="1:12" s="10" customFormat="1" ht="20.100000000000001" customHeight="1" x14ac:dyDescent="0.35">
      <c r="A615" s="15" t="s">
        <v>464</v>
      </c>
      <c r="B615" s="15"/>
      <c r="C615" s="15"/>
      <c r="D615" s="15"/>
      <c r="E615" s="15"/>
      <c r="F615" s="15"/>
      <c r="G615" s="15"/>
      <c r="H615" s="15"/>
      <c r="I615" s="15"/>
      <c r="J615" s="15"/>
    </row>
    <row r="616" spans="1:12" x14ac:dyDescent="0.25">
      <c r="A616" s="12"/>
      <c r="B616" s="12"/>
      <c r="C616" s="12"/>
      <c r="D616" s="12"/>
      <c r="E616" s="12"/>
      <c r="F616" s="12"/>
      <c r="G616" s="12"/>
      <c r="H616" s="12"/>
      <c r="I616" s="12"/>
      <c r="J616" s="12"/>
    </row>
    <row r="617" spans="1:12" ht="30" x14ac:dyDescent="0.25">
      <c r="A617" s="2" t="s">
        <v>6</v>
      </c>
      <c r="B617" s="2" t="s">
        <v>7</v>
      </c>
      <c r="C617" s="2" t="s">
        <v>8</v>
      </c>
      <c r="D617" s="2" t="s">
        <v>9</v>
      </c>
      <c r="E617" s="2" t="s">
        <v>10</v>
      </c>
      <c r="F617" s="2" t="s">
        <v>11</v>
      </c>
      <c r="G617" s="2" t="s">
        <v>12</v>
      </c>
      <c r="H617" s="2" t="s">
        <v>13</v>
      </c>
      <c r="I617" s="2" t="s">
        <v>14</v>
      </c>
      <c r="J617" s="2" t="s">
        <v>15</v>
      </c>
      <c r="K617" s="2" t="s">
        <v>16</v>
      </c>
      <c r="L617" s="2" t="s">
        <v>17</v>
      </c>
    </row>
    <row r="618" spans="1:12" x14ac:dyDescent="0.25">
      <c r="A618" s="3">
        <v>45709.223645833335</v>
      </c>
      <c r="B618" t="s">
        <v>46</v>
      </c>
      <c r="C618" s="3">
        <v>45709.223680555559</v>
      </c>
      <c r="D618" t="s">
        <v>46</v>
      </c>
      <c r="E618" s="4">
        <v>0</v>
      </c>
      <c r="F618" s="4">
        <v>217341.29699999999</v>
      </c>
      <c r="G618" s="4">
        <v>217341.29699999999</v>
      </c>
      <c r="H618" s="5">
        <f>0 / 86400</f>
        <v>0</v>
      </c>
      <c r="I618" t="s">
        <v>48</v>
      </c>
      <c r="J618" t="s">
        <v>48</v>
      </c>
      <c r="K618" s="5">
        <f>3 / 86400</f>
        <v>3.4722222222222222E-5</v>
      </c>
      <c r="L618" s="5">
        <f>19325 / 86400</f>
        <v>0.22366898148148148</v>
      </c>
    </row>
    <row r="619" spans="1:12" x14ac:dyDescent="0.25">
      <c r="A619" s="3">
        <v>45709.223703703705</v>
      </c>
      <c r="B619" t="s">
        <v>46</v>
      </c>
      <c r="C619" s="3">
        <v>45709.223715277782</v>
      </c>
      <c r="D619" t="s">
        <v>46</v>
      </c>
      <c r="E619" s="4">
        <v>0</v>
      </c>
      <c r="F619" s="4">
        <v>217341.29699999999</v>
      </c>
      <c r="G619" s="4">
        <v>217341.29699999999</v>
      </c>
      <c r="H619" s="5">
        <f>0 / 86400</f>
        <v>0</v>
      </c>
      <c r="I619" t="s">
        <v>48</v>
      </c>
      <c r="J619" t="s">
        <v>48</v>
      </c>
      <c r="K619" s="5">
        <f>1 / 86400</f>
        <v>1.1574074074074073E-5</v>
      </c>
      <c r="L619" s="5">
        <f>10 / 86400</f>
        <v>1.1574074074074075E-4</v>
      </c>
    </row>
    <row r="620" spans="1:12" x14ac:dyDescent="0.25">
      <c r="A620" s="3">
        <v>45709.22383101852</v>
      </c>
      <c r="B620" t="s">
        <v>46</v>
      </c>
      <c r="C620" s="3">
        <v>45709.223854166667</v>
      </c>
      <c r="D620" t="s">
        <v>46</v>
      </c>
      <c r="E620" s="4">
        <v>0</v>
      </c>
      <c r="F620" s="4">
        <v>217341.29699999999</v>
      </c>
      <c r="G620" s="4">
        <v>217341.29699999999</v>
      </c>
      <c r="H620" s="5">
        <f>0 / 86400</f>
        <v>0</v>
      </c>
      <c r="I620" t="s">
        <v>48</v>
      </c>
      <c r="J620" t="s">
        <v>48</v>
      </c>
      <c r="K620" s="5">
        <f>2 / 86400</f>
        <v>2.3148148148148147E-5</v>
      </c>
      <c r="L620" s="5">
        <f>17442 / 86400</f>
        <v>0.201875</v>
      </c>
    </row>
    <row r="621" spans="1:12" x14ac:dyDescent="0.25">
      <c r="A621" s="3">
        <v>45709.425729166665</v>
      </c>
      <c r="B621" t="s">
        <v>46</v>
      </c>
      <c r="C621" s="3">
        <v>45709.425810185188</v>
      </c>
      <c r="D621" t="s">
        <v>46</v>
      </c>
      <c r="E621" s="4">
        <v>0</v>
      </c>
      <c r="F621" s="4">
        <v>217341.29699999999</v>
      </c>
      <c r="G621" s="4">
        <v>217341.29699999999</v>
      </c>
      <c r="H621" s="5">
        <f>0 / 86400</f>
        <v>0</v>
      </c>
      <c r="I621" t="s">
        <v>48</v>
      </c>
      <c r="J621" t="s">
        <v>48</v>
      </c>
      <c r="K621" s="5">
        <f>6 / 86400</f>
        <v>6.9444444444444444E-5</v>
      </c>
      <c r="L621" s="5">
        <f>26362 / 86400</f>
        <v>0.30511574074074072</v>
      </c>
    </row>
    <row r="622" spans="1:12" x14ac:dyDescent="0.25">
      <c r="A622" s="3">
        <v>45709.730925925927</v>
      </c>
      <c r="B622" t="s">
        <v>46</v>
      </c>
      <c r="C622" s="3">
        <v>45709.733935185184</v>
      </c>
      <c r="D622" t="s">
        <v>46</v>
      </c>
      <c r="E622" s="4">
        <v>0</v>
      </c>
      <c r="F622" s="4">
        <v>217341.29699999999</v>
      </c>
      <c r="G622" s="4">
        <v>217341.29699999999</v>
      </c>
      <c r="H622" s="5">
        <f>200 / 86400</f>
        <v>2.3148148148148147E-3</v>
      </c>
      <c r="I622" t="s">
        <v>47</v>
      </c>
      <c r="J622" t="s">
        <v>48</v>
      </c>
      <c r="K622" s="5">
        <f>260 / 86400</f>
        <v>3.0092592592592593E-3</v>
      </c>
      <c r="L622" s="5">
        <f>22987 / 86400</f>
        <v>0.26605324074074072</v>
      </c>
    </row>
    <row r="623" spans="1:12" x14ac:dyDescent="0.25">
      <c r="A623" s="12"/>
      <c r="B623" s="12"/>
      <c r="C623" s="12"/>
      <c r="D623" s="12"/>
      <c r="E623" s="12"/>
      <c r="F623" s="12"/>
      <c r="G623" s="12"/>
      <c r="H623" s="12"/>
      <c r="I623" s="12"/>
      <c r="J623" s="12"/>
    </row>
    <row r="624" spans="1:12" x14ac:dyDescent="0.25">
      <c r="A624" s="12"/>
      <c r="B624" s="12"/>
      <c r="C624" s="12"/>
      <c r="D624" s="12"/>
      <c r="E624" s="12"/>
      <c r="F624" s="12"/>
      <c r="G624" s="12"/>
      <c r="H624" s="12"/>
      <c r="I624" s="12"/>
      <c r="J624" s="12"/>
    </row>
    <row r="625" spans="1:12" s="10" customFormat="1" ht="20.100000000000001" customHeight="1" x14ac:dyDescent="0.35">
      <c r="A625" s="15" t="s">
        <v>465</v>
      </c>
      <c r="B625" s="15"/>
      <c r="C625" s="15"/>
      <c r="D625" s="15"/>
      <c r="E625" s="15"/>
      <c r="F625" s="15"/>
      <c r="G625" s="15"/>
      <c r="H625" s="15"/>
      <c r="I625" s="15"/>
      <c r="J625" s="15"/>
    </row>
    <row r="626" spans="1:12" x14ac:dyDescent="0.25">
      <c r="A626" s="12"/>
      <c r="B626" s="12"/>
      <c r="C626" s="12"/>
      <c r="D626" s="12"/>
      <c r="E626" s="12"/>
      <c r="F626" s="12"/>
      <c r="G626" s="12"/>
      <c r="H626" s="12"/>
      <c r="I626" s="12"/>
      <c r="J626" s="12"/>
    </row>
    <row r="627" spans="1:12" ht="30" x14ac:dyDescent="0.25">
      <c r="A627" s="2" t="s">
        <v>6</v>
      </c>
      <c r="B627" s="2" t="s">
        <v>7</v>
      </c>
      <c r="C627" s="2" t="s">
        <v>8</v>
      </c>
      <c r="D627" s="2" t="s">
        <v>9</v>
      </c>
      <c r="E627" s="2" t="s">
        <v>10</v>
      </c>
      <c r="F627" s="2" t="s">
        <v>11</v>
      </c>
      <c r="G627" s="2" t="s">
        <v>12</v>
      </c>
      <c r="H627" s="2" t="s">
        <v>13</v>
      </c>
      <c r="I627" s="2" t="s">
        <v>14</v>
      </c>
      <c r="J627" s="2" t="s">
        <v>15</v>
      </c>
      <c r="K627" s="2" t="s">
        <v>16</v>
      </c>
      <c r="L627" s="2" t="s">
        <v>17</v>
      </c>
    </row>
    <row r="628" spans="1:12" x14ac:dyDescent="0.25">
      <c r="A628" s="3">
        <v>45709.259201388893</v>
      </c>
      <c r="B628" t="s">
        <v>49</v>
      </c>
      <c r="C628" s="3">
        <v>45709.268819444449</v>
      </c>
      <c r="D628" t="s">
        <v>137</v>
      </c>
      <c r="E628" s="4">
        <v>1.5339999999403953</v>
      </c>
      <c r="F628" s="4">
        <v>526564.62699999998</v>
      </c>
      <c r="G628" s="4">
        <v>526566.16099999996</v>
      </c>
      <c r="H628" s="5">
        <f>439 / 86400</f>
        <v>5.0810185185185186E-3</v>
      </c>
      <c r="I628" t="s">
        <v>182</v>
      </c>
      <c r="J628" t="s">
        <v>88</v>
      </c>
      <c r="K628" s="5">
        <f>831 / 86400</f>
        <v>9.618055555555555E-3</v>
      </c>
      <c r="L628" s="5">
        <f>25175 / 86400</f>
        <v>0.29137731481481483</v>
      </c>
    </row>
    <row r="629" spans="1:12" x14ac:dyDescent="0.25">
      <c r="A629" s="3">
        <v>45709.300995370373</v>
      </c>
      <c r="B629" t="s">
        <v>137</v>
      </c>
      <c r="C629" s="3">
        <v>45709.301562499997</v>
      </c>
      <c r="D629" t="s">
        <v>137</v>
      </c>
      <c r="E629" s="4">
        <v>8.7999999999999995E-2</v>
      </c>
      <c r="F629" s="4">
        <v>526566.16099999996</v>
      </c>
      <c r="G629" s="4">
        <v>526566.24899999995</v>
      </c>
      <c r="H629" s="5">
        <f>0 / 86400</f>
        <v>0</v>
      </c>
      <c r="I629" t="s">
        <v>128</v>
      </c>
      <c r="J629" t="s">
        <v>88</v>
      </c>
      <c r="K629" s="5">
        <f>48 / 86400</f>
        <v>5.5555555555555556E-4</v>
      </c>
      <c r="L629" s="5">
        <f>1072 / 86400</f>
        <v>1.2407407407407407E-2</v>
      </c>
    </row>
    <row r="630" spans="1:12" x14ac:dyDescent="0.25">
      <c r="A630" s="3">
        <v>45709.313969907409</v>
      </c>
      <c r="B630" t="s">
        <v>137</v>
      </c>
      <c r="C630" s="3">
        <v>45709.418738425928</v>
      </c>
      <c r="D630" t="s">
        <v>285</v>
      </c>
      <c r="E630" s="4">
        <v>30.590000000119208</v>
      </c>
      <c r="F630" s="4">
        <v>526566.24899999995</v>
      </c>
      <c r="G630" s="4">
        <v>526596.83900000004</v>
      </c>
      <c r="H630" s="5">
        <f>3560 / 86400</f>
        <v>4.1203703703703701E-2</v>
      </c>
      <c r="I630" t="s">
        <v>183</v>
      </c>
      <c r="J630" t="s">
        <v>55</v>
      </c>
      <c r="K630" s="5">
        <f>9051 / 86400</f>
        <v>0.10475694444444444</v>
      </c>
      <c r="L630" s="5">
        <f>279 / 86400</f>
        <v>3.2291666666666666E-3</v>
      </c>
    </row>
    <row r="631" spans="1:12" x14ac:dyDescent="0.25">
      <c r="A631" s="3">
        <v>45709.421967592592</v>
      </c>
      <c r="B631" t="s">
        <v>285</v>
      </c>
      <c r="C631" s="3">
        <v>45709.425798611112</v>
      </c>
      <c r="D631" t="s">
        <v>285</v>
      </c>
      <c r="E631" s="4">
        <v>0.40599999994039537</v>
      </c>
      <c r="F631" s="4">
        <v>526596.83900000004</v>
      </c>
      <c r="G631" s="4">
        <v>526597.245</v>
      </c>
      <c r="H631" s="5">
        <f>220 / 86400</f>
        <v>2.5462962962962965E-3</v>
      </c>
      <c r="I631" t="s">
        <v>52</v>
      </c>
      <c r="J631" t="s">
        <v>30</v>
      </c>
      <c r="K631" s="5">
        <f>330 / 86400</f>
        <v>3.8194444444444443E-3</v>
      </c>
      <c r="L631" s="5">
        <f>573 / 86400</f>
        <v>6.6319444444444446E-3</v>
      </c>
    </row>
    <row r="632" spans="1:12" x14ac:dyDescent="0.25">
      <c r="A632" s="3">
        <v>45709.432430555556</v>
      </c>
      <c r="B632" t="s">
        <v>285</v>
      </c>
      <c r="C632" s="3">
        <v>45709.432592592595</v>
      </c>
      <c r="D632" t="s">
        <v>285</v>
      </c>
      <c r="E632" s="4">
        <v>3.9999999403953551E-3</v>
      </c>
      <c r="F632" s="4">
        <v>526597.245</v>
      </c>
      <c r="G632" s="4">
        <v>526597.24899999995</v>
      </c>
      <c r="H632" s="5">
        <f>0 / 86400</f>
        <v>0</v>
      </c>
      <c r="I632" t="s">
        <v>48</v>
      </c>
      <c r="J632" t="s">
        <v>47</v>
      </c>
      <c r="K632" s="5">
        <f>14 / 86400</f>
        <v>1.6203703703703703E-4</v>
      </c>
      <c r="L632" s="5">
        <f>88 / 86400</f>
        <v>1.0185185185185184E-3</v>
      </c>
    </row>
    <row r="633" spans="1:12" x14ac:dyDescent="0.25">
      <c r="A633" s="3">
        <v>45709.433611111112</v>
      </c>
      <c r="B633" t="s">
        <v>285</v>
      </c>
      <c r="C633" s="3">
        <v>45709.558761574073</v>
      </c>
      <c r="D633" t="s">
        <v>46</v>
      </c>
      <c r="E633" s="4">
        <v>51.430000000059607</v>
      </c>
      <c r="F633" s="4">
        <v>526597.24899999995</v>
      </c>
      <c r="G633" s="4">
        <v>526648.679</v>
      </c>
      <c r="H633" s="5">
        <f>3341 / 86400</f>
        <v>3.8668981481481485E-2</v>
      </c>
      <c r="I633" t="s">
        <v>165</v>
      </c>
      <c r="J633" t="s">
        <v>52</v>
      </c>
      <c r="K633" s="5">
        <f>10812 / 86400</f>
        <v>0.12513888888888888</v>
      </c>
      <c r="L633" s="5">
        <f>2012 / 86400</f>
        <v>2.3287037037037037E-2</v>
      </c>
    </row>
    <row r="634" spans="1:12" x14ac:dyDescent="0.25">
      <c r="A634" s="3">
        <v>45709.582048611112</v>
      </c>
      <c r="B634" t="s">
        <v>46</v>
      </c>
      <c r="C634" s="3">
        <v>45709.584351851852</v>
      </c>
      <c r="D634" t="s">
        <v>70</v>
      </c>
      <c r="E634" s="4">
        <v>0.93899999999999995</v>
      </c>
      <c r="F634" s="4">
        <v>526648.679</v>
      </c>
      <c r="G634" s="4">
        <v>526649.61800000002</v>
      </c>
      <c r="H634" s="5">
        <f>0 / 86400</f>
        <v>0</v>
      </c>
      <c r="I634" t="s">
        <v>154</v>
      </c>
      <c r="J634" t="s">
        <v>52</v>
      </c>
      <c r="K634" s="5">
        <f>199 / 86400</f>
        <v>2.3032407407407407E-3</v>
      </c>
      <c r="L634" s="5">
        <f>769 / 86400</f>
        <v>8.9004629629629625E-3</v>
      </c>
    </row>
    <row r="635" spans="1:12" x14ac:dyDescent="0.25">
      <c r="A635" s="3">
        <v>45709.593252314815</v>
      </c>
      <c r="B635" t="s">
        <v>70</v>
      </c>
      <c r="C635" s="3">
        <v>45709.594409722224</v>
      </c>
      <c r="D635" t="s">
        <v>70</v>
      </c>
      <c r="E635" s="4">
        <v>2.4E-2</v>
      </c>
      <c r="F635" s="4">
        <v>526649.61800000002</v>
      </c>
      <c r="G635" s="4">
        <v>526649.64199999999</v>
      </c>
      <c r="H635" s="5">
        <f>59 / 86400</f>
        <v>6.8287037037037036E-4</v>
      </c>
      <c r="I635" t="s">
        <v>125</v>
      </c>
      <c r="J635" t="s">
        <v>47</v>
      </c>
      <c r="K635" s="5">
        <f>100 / 86400</f>
        <v>1.1574074074074073E-3</v>
      </c>
      <c r="L635" s="5">
        <f>578 / 86400</f>
        <v>6.6898148148148151E-3</v>
      </c>
    </row>
    <row r="636" spans="1:12" x14ac:dyDescent="0.25">
      <c r="A636" s="3">
        <v>45709.601099537038</v>
      </c>
      <c r="B636" t="s">
        <v>70</v>
      </c>
      <c r="C636" s="3">
        <v>45709.603703703702</v>
      </c>
      <c r="D636" t="s">
        <v>351</v>
      </c>
      <c r="E636" s="4">
        <v>0.83299999999999996</v>
      </c>
      <c r="F636" s="4">
        <v>526649.64199999999</v>
      </c>
      <c r="G636" s="4">
        <v>526650.47499999998</v>
      </c>
      <c r="H636" s="5">
        <f>40 / 86400</f>
        <v>4.6296296296296298E-4</v>
      </c>
      <c r="I636" t="s">
        <v>87</v>
      </c>
      <c r="J636" t="s">
        <v>26</v>
      </c>
      <c r="K636" s="5">
        <f>225 / 86400</f>
        <v>2.6041666666666665E-3</v>
      </c>
      <c r="L636" s="5">
        <f>107 / 86400</f>
        <v>1.238425925925926E-3</v>
      </c>
    </row>
    <row r="637" spans="1:12" x14ac:dyDescent="0.25">
      <c r="A637" s="3">
        <v>45709.604942129634</v>
      </c>
      <c r="B637" t="s">
        <v>351</v>
      </c>
      <c r="C637" s="3">
        <v>45709.60560185185</v>
      </c>
      <c r="D637" t="s">
        <v>151</v>
      </c>
      <c r="E637" s="4">
        <v>1.1000000059604645E-2</v>
      </c>
      <c r="F637" s="4">
        <v>526650.47499999998</v>
      </c>
      <c r="G637" s="4">
        <v>526650.48600000003</v>
      </c>
      <c r="H637" s="5">
        <f>39 / 86400</f>
        <v>4.5138888888888887E-4</v>
      </c>
      <c r="I637" t="s">
        <v>48</v>
      </c>
      <c r="J637" t="s">
        <v>47</v>
      </c>
      <c r="K637" s="5">
        <f>57 / 86400</f>
        <v>6.5972222222222224E-4</v>
      </c>
      <c r="L637" s="5">
        <f>35 / 86400</f>
        <v>4.0509259259259258E-4</v>
      </c>
    </row>
    <row r="638" spans="1:12" x14ac:dyDescent="0.25">
      <c r="A638" s="3">
        <v>45709.606006944443</v>
      </c>
      <c r="B638" t="s">
        <v>151</v>
      </c>
      <c r="C638" s="3">
        <v>45709.606099537035</v>
      </c>
      <c r="D638" t="s">
        <v>151</v>
      </c>
      <c r="E638" s="4">
        <v>3.9999999403953551E-3</v>
      </c>
      <c r="F638" s="4">
        <v>526650.48600000003</v>
      </c>
      <c r="G638" s="4">
        <v>526650.49</v>
      </c>
      <c r="H638" s="5">
        <f>0 / 86400</f>
        <v>0</v>
      </c>
      <c r="I638" t="s">
        <v>48</v>
      </c>
      <c r="J638" t="s">
        <v>122</v>
      </c>
      <c r="K638" s="5">
        <f>8 / 86400</f>
        <v>9.2592592592592588E-5</v>
      </c>
      <c r="L638" s="5">
        <f>411 / 86400</f>
        <v>4.7569444444444447E-3</v>
      </c>
    </row>
    <row r="639" spans="1:12" x14ac:dyDescent="0.25">
      <c r="A639" s="3">
        <v>45709.610856481479</v>
      </c>
      <c r="B639" t="s">
        <v>151</v>
      </c>
      <c r="C639" s="3">
        <v>45709.611516203702</v>
      </c>
      <c r="D639" t="s">
        <v>151</v>
      </c>
      <c r="E639" s="4">
        <v>3.0000000000000001E-3</v>
      </c>
      <c r="F639" s="4">
        <v>526650.49</v>
      </c>
      <c r="G639" s="4">
        <v>526650.49300000002</v>
      </c>
      <c r="H639" s="5">
        <f>39 / 86400</f>
        <v>4.5138888888888887E-4</v>
      </c>
      <c r="I639" t="s">
        <v>48</v>
      </c>
      <c r="J639" t="s">
        <v>48</v>
      </c>
      <c r="K639" s="5">
        <f>56 / 86400</f>
        <v>6.4814814814814813E-4</v>
      </c>
      <c r="L639" s="5">
        <f>459 / 86400</f>
        <v>5.3125000000000004E-3</v>
      </c>
    </row>
    <row r="640" spans="1:12" x14ac:dyDescent="0.25">
      <c r="A640" s="3">
        <v>45709.6168287037</v>
      </c>
      <c r="B640" t="s">
        <v>151</v>
      </c>
      <c r="C640" s="3">
        <v>45709.878541666665</v>
      </c>
      <c r="D640" t="s">
        <v>49</v>
      </c>
      <c r="E640" s="4">
        <v>79.581999999940393</v>
      </c>
      <c r="F640" s="4">
        <v>526650.49300000002</v>
      </c>
      <c r="G640" s="4">
        <v>526730.07499999995</v>
      </c>
      <c r="H640" s="5">
        <f>9961 / 86400</f>
        <v>0.11528935185185185</v>
      </c>
      <c r="I640" t="s">
        <v>50</v>
      </c>
      <c r="J640" t="s">
        <v>26</v>
      </c>
      <c r="K640" s="5">
        <f>22612 / 86400</f>
        <v>0.26171296296296298</v>
      </c>
      <c r="L640" s="5">
        <f>10493 / 86400</f>
        <v>0.12144675925925925</v>
      </c>
    </row>
    <row r="641" spans="1:12" x14ac:dyDescent="0.25">
      <c r="A641" s="12"/>
      <c r="B641" s="12"/>
      <c r="C641" s="12"/>
      <c r="D641" s="12"/>
      <c r="E641" s="12"/>
      <c r="F641" s="12"/>
      <c r="G641" s="12"/>
      <c r="H641" s="12"/>
      <c r="I641" s="12"/>
      <c r="J641" s="12"/>
    </row>
    <row r="642" spans="1:12" x14ac:dyDescent="0.25">
      <c r="A642" s="12"/>
      <c r="B642" s="12"/>
      <c r="C642" s="12"/>
      <c r="D642" s="12"/>
      <c r="E642" s="12"/>
      <c r="F642" s="12"/>
      <c r="G642" s="12"/>
      <c r="H642" s="12"/>
      <c r="I642" s="12"/>
      <c r="J642" s="12"/>
    </row>
    <row r="643" spans="1:12" s="10" customFormat="1" ht="20.100000000000001" customHeight="1" x14ac:dyDescent="0.35">
      <c r="A643" s="15" t="s">
        <v>466</v>
      </c>
      <c r="B643" s="15"/>
      <c r="C643" s="15"/>
      <c r="D643" s="15"/>
      <c r="E643" s="15"/>
      <c r="F643" s="15"/>
      <c r="G643" s="15"/>
      <c r="H643" s="15"/>
      <c r="I643" s="15"/>
      <c r="J643" s="15"/>
    </row>
    <row r="644" spans="1:12" x14ac:dyDescent="0.25">
      <c r="A644" s="12"/>
      <c r="B644" s="12"/>
      <c r="C644" s="12"/>
      <c r="D644" s="12"/>
      <c r="E644" s="12"/>
      <c r="F644" s="12"/>
      <c r="G644" s="12"/>
      <c r="H644" s="12"/>
      <c r="I644" s="12"/>
      <c r="J644" s="12"/>
    </row>
    <row r="645" spans="1:12" ht="30" x14ac:dyDescent="0.25">
      <c r="A645" s="2" t="s">
        <v>6</v>
      </c>
      <c r="B645" s="2" t="s">
        <v>7</v>
      </c>
      <c r="C645" s="2" t="s">
        <v>8</v>
      </c>
      <c r="D645" s="2" t="s">
        <v>9</v>
      </c>
      <c r="E645" s="2" t="s">
        <v>10</v>
      </c>
      <c r="F645" s="2" t="s">
        <v>11</v>
      </c>
      <c r="G645" s="2" t="s">
        <v>12</v>
      </c>
      <c r="H645" s="2" t="s">
        <v>13</v>
      </c>
      <c r="I645" s="2" t="s">
        <v>14</v>
      </c>
      <c r="J645" s="2" t="s">
        <v>15</v>
      </c>
      <c r="K645" s="2" t="s">
        <v>16</v>
      </c>
      <c r="L645" s="2" t="s">
        <v>17</v>
      </c>
    </row>
    <row r="646" spans="1:12" x14ac:dyDescent="0.25">
      <c r="A646" s="3">
        <v>45709.201620370368</v>
      </c>
      <c r="B646" t="s">
        <v>51</v>
      </c>
      <c r="C646" s="3">
        <v>45709.204097222224</v>
      </c>
      <c r="D646" t="s">
        <v>51</v>
      </c>
      <c r="E646" s="4">
        <v>3.5000000000000003E-2</v>
      </c>
      <c r="F646" s="4">
        <v>346172.11</v>
      </c>
      <c r="G646" s="4">
        <v>346172.14500000002</v>
      </c>
      <c r="H646" s="5">
        <f>179 / 86400</f>
        <v>2.0717592592592593E-3</v>
      </c>
      <c r="I646" t="s">
        <v>121</v>
      </c>
      <c r="J646" t="s">
        <v>47</v>
      </c>
      <c r="K646" s="5">
        <f>213 / 86400</f>
        <v>2.4652777777777776E-3</v>
      </c>
      <c r="L646" s="5">
        <f>17486 / 86400</f>
        <v>0.20238425925925926</v>
      </c>
    </row>
    <row r="647" spans="1:12" x14ac:dyDescent="0.25">
      <c r="A647" s="3">
        <v>45709.204861111109</v>
      </c>
      <c r="B647" t="s">
        <v>51</v>
      </c>
      <c r="C647" s="3">
        <v>45709.384629629625</v>
      </c>
      <c r="D647" t="s">
        <v>285</v>
      </c>
      <c r="E647" s="4">
        <v>80.680999999999997</v>
      </c>
      <c r="F647" s="4">
        <v>346172.14500000002</v>
      </c>
      <c r="G647" s="4">
        <v>346252.826</v>
      </c>
      <c r="H647" s="5">
        <f>4999 / 86400</f>
        <v>5.7858796296296297E-2</v>
      </c>
      <c r="I647" t="s">
        <v>408</v>
      </c>
      <c r="J647" t="s">
        <v>77</v>
      </c>
      <c r="K647" s="5">
        <f>15532 / 86400</f>
        <v>0.17976851851851852</v>
      </c>
      <c r="L647" s="5">
        <f>45 / 86400</f>
        <v>5.2083333333333333E-4</v>
      </c>
    </row>
    <row r="648" spans="1:12" x14ac:dyDescent="0.25">
      <c r="A648" s="3">
        <v>45709.385150462964</v>
      </c>
      <c r="B648" t="s">
        <v>285</v>
      </c>
      <c r="C648" s="3">
        <v>45709.386099537034</v>
      </c>
      <c r="D648" t="s">
        <v>285</v>
      </c>
      <c r="E648" s="4">
        <v>8.0000000000000002E-3</v>
      </c>
      <c r="F648" s="4">
        <v>346252.826</v>
      </c>
      <c r="G648" s="4">
        <v>346252.83399999997</v>
      </c>
      <c r="H648" s="5">
        <f>80 / 86400</f>
        <v>9.2592592592592596E-4</v>
      </c>
      <c r="I648" t="s">
        <v>48</v>
      </c>
      <c r="J648" t="s">
        <v>48</v>
      </c>
      <c r="K648" s="5">
        <f>82 / 86400</f>
        <v>9.4907407407407408E-4</v>
      </c>
      <c r="L648" s="5">
        <f>9 / 86400</f>
        <v>1.0416666666666667E-4</v>
      </c>
    </row>
    <row r="649" spans="1:12" x14ac:dyDescent="0.25">
      <c r="A649" s="3">
        <v>45709.386203703703</v>
      </c>
      <c r="B649" t="s">
        <v>285</v>
      </c>
      <c r="C649" s="3">
        <v>45709.386701388888</v>
      </c>
      <c r="D649" t="s">
        <v>285</v>
      </c>
      <c r="E649" s="4">
        <v>0</v>
      </c>
      <c r="F649" s="4">
        <v>346252.83399999997</v>
      </c>
      <c r="G649" s="4">
        <v>346252.83399999997</v>
      </c>
      <c r="H649" s="5">
        <f>9 / 86400</f>
        <v>1.0416666666666667E-4</v>
      </c>
      <c r="I649" t="s">
        <v>47</v>
      </c>
      <c r="J649" t="s">
        <v>48</v>
      </c>
      <c r="K649" s="5">
        <f>43 / 86400</f>
        <v>4.9768518518518521E-4</v>
      </c>
      <c r="L649" s="5">
        <f>803 / 86400</f>
        <v>9.2939814814814812E-3</v>
      </c>
    </row>
    <row r="650" spans="1:12" x14ac:dyDescent="0.25">
      <c r="A650" s="3">
        <v>45709.395995370374</v>
      </c>
      <c r="B650" t="s">
        <v>285</v>
      </c>
      <c r="C650" s="3">
        <v>45709.522037037037</v>
      </c>
      <c r="D650" t="s">
        <v>149</v>
      </c>
      <c r="E650" s="4">
        <v>49.680999999999997</v>
      </c>
      <c r="F650" s="4">
        <v>346252.83399999997</v>
      </c>
      <c r="G650" s="4">
        <v>346302.51500000001</v>
      </c>
      <c r="H650" s="5">
        <f>3680 / 86400</f>
        <v>4.2592592592592592E-2</v>
      </c>
      <c r="I650" t="s">
        <v>130</v>
      </c>
      <c r="J650" t="s">
        <v>28</v>
      </c>
      <c r="K650" s="5">
        <f>10889 / 86400</f>
        <v>0.1260300925925926</v>
      </c>
      <c r="L650" s="5">
        <f>2233 / 86400</f>
        <v>2.5844907407407407E-2</v>
      </c>
    </row>
    <row r="651" spans="1:12" x14ac:dyDescent="0.25">
      <c r="A651" s="3">
        <v>45709.54788194444</v>
      </c>
      <c r="B651" t="s">
        <v>149</v>
      </c>
      <c r="C651" s="3">
        <v>45709.550902777773</v>
      </c>
      <c r="D651" t="s">
        <v>126</v>
      </c>
      <c r="E651" s="4">
        <v>0.69899999999999995</v>
      </c>
      <c r="F651" s="4">
        <v>346302.51500000001</v>
      </c>
      <c r="G651" s="4">
        <v>346303.21399999998</v>
      </c>
      <c r="H651" s="5">
        <f>59 / 86400</f>
        <v>6.8287037037037036E-4</v>
      </c>
      <c r="I651" t="s">
        <v>77</v>
      </c>
      <c r="J651" t="s">
        <v>60</v>
      </c>
      <c r="K651" s="5">
        <f>260 / 86400</f>
        <v>3.0092592592592593E-3</v>
      </c>
      <c r="L651" s="5">
        <f>187 / 86400</f>
        <v>2.1643518518518518E-3</v>
      </c>
    </row>
    <row r="652" spans="1:12" x14ac:dyDescent="0.25">
      <c r="A652" s="3">
        <v>45709.553067129629</v>
      </c>
      <c r="B652" t="s">
        <v>126</v>
      </c>
      <c r="C652" s="3">
        <v>45709.557245370372</v>
      </c>
      <c r="D652" t="s">
        <v>140</v>
      </c>
      <c r="E652" s="4">
        <v>1.23</v>
      </c>
      <c r="F652" s="4">
        <v>346303.21399999998</v>
      </c>
      <c r="G652" s="4">
        <v>346304.44400000002</v>
      </c>
      <c r="H652" s="5">
        <f>60 / 86400</f>
        <v>6.9444444444444447E-4</v>
      </c>
      <c r="I652" t="s">
        <v>168</v>
      </c>
      <c r="J652" t="s">
        <v>55</v>
      </c>
      <c r="K652" s="5">
        <f>360 / 86400</f>
        <v>4.1666666666666666E-3</v>
      </c>
      <c r="L652" s="5">
        <f>289 / 86400</f>
        <v>3.3449074074074076E-3</v>
      </c>
    </row>
    <row r="653" spans="1:12" x14ac:dyDescent="0.25">
      <c r="A653" s="3">
        <v>45709.560590277775</v>
      </c>
      <c r="B653" t="s">
        <v>349</v>
      </c>
      <c r="C653" s="3">
        <v>45709.56114583333</v>
      </c>
      <c r="D653" t="s">
        <v>349</v>
      </c>
      <c r="E653" s="4">
        <v>0</v>
      </c>
      <c r="F653" s="4">
        <v>346304.44400000002</v>
      </c>
      <c r="G653" s="4">
        <v>346304.44400000002</v>
      </c>
      <c r="H653" s="5">
        <f>39 / 86400</f>
        <v>4.5138888888888887E-4</v>
      </c>
      <c r="I653" t="s">
        <v>48</v>
      </c>
      <c r="J653" t="s">
        <v>48</v>
      </c>
      <c r="K653" s="5">
        <f>48 / 86400</f>
        <v>5.5555555555555556E-4</v>
      </c>
      <c r="L653" s="5">
        <f>372 / 86400</f>
        <v>4.3055555555555555E-3</v>
      </c>
    </row>
    <row r="654" spans="1:12" x14ac:dyDescent="0.25">
      <c r="A654" s="3">
        <v>45709.565451388888</v>
      </c>
      <c r="B654" t="s">
        <v>140</v>
      </c>
      <c r="C654" s="3">
        <v>45709.689803240741</v>
      </c>
      <c r="D654" t="s">
        <v>285</v>
      </c>
      <c r="E654" s="4">
        <v>49.854999999999997</v>
      </c>
      <c r="F654" s="4">
        <v>346304.44400000002</v>
      </c>
      <c r="G654" s="4">
        <v>346354.299</v>
      </c>
      <c r="H654" s="5">
        <f>3941 / 86400</f>
        <v>4.5613425925925925E-2</v>
      </c>
      <c r="I654" t="s">
        <v>43</v>
      </c>
      <c r="J654" t="s">
        <v>52</v>
      </c>
      <c r="K654" s="5">
        <f>10744 / 86400</f>
        <v>0.12435185185185185</v>
      </c>
      <c r="L654" s="5">
        <f>122 / 86400</f>
        <v>1.4120370370370369E-3</v>
      </c>
    </row>
    <row r="655" spans="1:12" x14ac:dyDescent="0.25">
      <c r="A655" s="3">
        <v>45709.69121527778</v>
      </c>
      <c r="B655" t="s">
        <v>285</v>
      </c>
      <c r="C655" s="3">
        <v>45709.694004629629</v>
      </c>
      <c r="D655" t="s">
        <v>285</v>
      </c>
      <c r="E655" s="4">
        <v>4.9000000000000002E-2</v>
      </c>
      <c r="F655" s="4">
        <v>346354.299</v>
      </c>
      <c r="G655" s="4">
        <v>346354.348</v>
      </c>
      <c r="H655" s="5">
        <f>219 / 86400</f>
        <v>2.5347222222222221E-3</v>
      </c>
      <c r="I655" t="s">
        <v>135</v>
      </c>
      <c r="J655" t="s">
        <v>47</v>
      </c>
      <c r="K655" s="5">
        <f>241 / 86400</f>
        <v>2.7893518518518519E-3</v>
      </c>
      <c r="L655" s="5">
        <f>32 / 86400</f>
        <v>3.7037037037037035E-4</v>
      </c>
    </row>
    <row r="656" spans="1:12" x14ac:dyDescent="0.25">
      <c r="A656" s="3">
        <v>45709.694374999999</v>
      </c>
      <c r="B656" t="s">
        <v>285</v>
      </c>
      <c r="C656" s="3">
        <v>45709.858541666668</v>
      </c>
      <c r="D656" t="s">
        <v>70</v>
      </c>
      <c r="E656" s="4">
        <v>50.545000000000002</v>
      </c>
      <c r="F656" s="4">
        <v>346354.348</v>
      </c>
      <c r="G656" s="4">
        <v>346404.89299999998</v>
      </c>
      <c r="H656" s="5">
        <f>5489 / 86400</f>
        <v>6.3530092592592596E-2</v>
      </c>
      <c r="I656" t="s">
        <v>131</v>
      </c>
      <c r="J656" t="s">
        <v>26</v>
      </c>
      <c r="K656" s="5">
        <f>14184 / 86400</f>
        <v>0.16416666666666666</v>
      </c>
      <c r="L656" s="5">
        <f>465 / 86400</f>
        <v>5.3819444444444444E-3</v>
      </c>
    </row>
    <row r="657" spans="1:12" x14ac:dyDescent="0.25">
      <c r="A657" s="3">
        <v>45709.863923611112</v>
      </c>
      <c r="B657" t="s">
        <v>70</v>
      </c>
      <c r="C657" s="3">
        <v>45709.86650462963</v>
      </c>
      <c r="D657" t="s">
        <v>350</v>
      </c>
      <c r="E657" s="4">
        <v>0.23100000000000001</v>
      </c>
      <c r="F657" s="4">
        <v>346404.89299999998</v>
      </c>
      <c r="G657" s="4">
        <v>346405.12400000001</v>
      </c>
      <c r="H657" s="5">
        <f>140 / 86400</f>
        <v>1.6203703703703703E-3</v>
      </c>
      <c r="I657" t="s">
        <v>127</v>
      </c>
      <c r="J657" t="s">
        <v>30</v>
      </c>
      <c r="K657" s="5">
        <f>223 / 86400</f>
        <v>2.5810185185185185E-3</v>
      </c>
      <c r="L657" s="5">
        <f>705 / 86400</f>
        <v>8.1597222222222227E-3</v>
      </c>
    </row>
    <row r="658" spans="1:12" x14ac:dyDescent="0.25">
      <c r="A658" s="3">
        <v>45709.874664351853</v>
      </c>
      <c r="B658" t="s">
        <v>350</v>
      </c>
      <c r="C658" s="3">
        <v>45709.924849537041</v>
      </c>
      <c r="D658" t="s">
        <v>409</v>
      </c>
      <c r="E658" s="4">
        <v>30.454000000000001</v>
      </c>
      <c r="F658" s="4">
        <v>346405.12400000001</v>
      </c>
      <c r="G658" s="4">
        <v>346435.57799999998</v>
      </c>
      <c r="H658" s="5">
        <f>940 / 86400</f>
        <v>1.087962962962963E-2</v>
      </c>
      <c r="I658" t="s">
        <v>93</v>
      </c>
      <c r="J658" t="s">
        <v>66</v>
      </c>
      <c r="K658" s="5">
        <f>4336 / 86400</f>
        <v>5.0185185185185187E-2</v>
      </c>
      <c r="L658" s="5">
        <f>126 / 86400</f>
        <v>1.4583333333333334E-3</v>
      </c>
    </row>
    <row r="659" spans="1:12" x14ac:dyDescent="0.25">
      <c r="A659" s="3">
        <v>45709.926307870366</v>
      </c>
      <c r="B659" t="s">
        <v>409</v>
      </c>
      <c r="C659" s="3">
        <v>45709.927037037036</v>
      </c>
      <c r="D659" t="s">
        <v>51</v>
      </c>
      <c r="E659" s="4">
        <v>1.4999999999999999E-2</v>
      </c>
      <c r="F659" s="4">
        <v>346435.57799999998</v>
      </c>
      <c r="G659" s="4">
        <v>346435.59299999999</v>
      </c>
      <c r="H659" s="5">
        <f>40 / 86400</f>
        <v>4.6296296296296298E-4</v>
      </c>
      <c r="I659" t="s">
        <v>122</v>
      </c>
      <c r="J659" t="s">
        <v>47</v>
      </c>
      <c r="K659" s="5">
        <f>63 / 86400</f>
        <v>7.291666666666667E-4</v>
      </c>
      <c r="L659" s="5">
        <f>1094 / 86400</f>
        <v>1.2662037037037038E-2</v>
      </c>
    </row>
    <row r="660" spans="1:12" x14ac:dyDescent="0.25">
      <c r="A660" s="3">
        <v>45709.939699074079</v>
      </c>
      <c r="B660" t="s">
        <v>51</v>
      </c>
      <c r="C660" s="3">
        <v>45709.94059027778</v>
      </c>
      <c r="D660" t="s">
        <v>51</v>
      </c>
      <c r="E660" s="4">
        <v>1.9E-2</v>
      </c>
      <c r="F660" s="4">
        <v>346435.59299999999</v>
      </c>
      <c r="G660" s="4">
        <v>346435.61200000002</v>
      </c>
      <c r="H660" s="5">
        <f>59 / 86400</f>
        <v>6.8287037037037036E-4</v>
      </c>
      <c r="I660" t="s">
        <v>48</v>
      </c>
      <c r="J660" t="s">
        <v>47</v>
      </c>
      <c r="K660" s="5">
        <f>77 / 86400</f>
        <v>8.9120370370370373E-4</v>
      </c>
      <c r="L660" s="5">
        <f>5132 / 86400</f>
        <v>5.9398148148148151E-2</v>
      </c>
    </row>
    <row r="661" spans="1:12" x14ac:dyDescent="0.25">
      <c r="A661" s="12"/>
      <c r="B661" s="12"/>
      <c r="C661" s="12"/>
      <c r="D661" s="12"/>
      <c r="E661" s="12"/>
      <c r="F661" s="12"/>
      <c r="G661" s="12"/>
      <c r="H661" s="12"/>
      <c r="I661" s="12"/>
      <c r="J661" s="12"/>
    </row>
    <row r="662" spans="1:12" x14ac:dyDescent="0.25">
      <c r="A662" s="12"/>
      <c r="B662" s="12"/>
      <c r="C662" s="12"/>
      <c r="D662" s="12"/>
      <c r="E662" s="12"/>
      <c r="F662" s="12"/>
      <c r="G662" s="12"/>
      <c r="H662" s="12"/>
      <c r="I662" s="12"/>
      <c r="J662" s="12"/>
    </row>
    <row r="663" spans="1:12" s="10" customFormat="1" ht="20.100000000000001" customHeight="1" x14ac:dyDescent="0.35">
      <c r="A663" s="15" t="s">
        <v>467</v>
      </c>
      <c r="B663" s="15"/>
      <c r="C663" s="15"/>
      <c r="D663" s="15"/>
      <c r="E663" s="15"/>
      <c r="F663" s="15"/>
      <c r="G663" s="15"/>
      <c r="H663" s="15"/>
      <c r="I663" s="15"/>
      <c r="J663" s="15"/>
    </row>
    <row r="664" spans="1:12" x14ac:dyDescent="0.25">
      <c r="A664" s="12"/>
      <c r="B664" s="12"/>
      <c r="C664" s="12"/>
      <c r="D664" s="12"/>
      <c r="E664" s="12"/>
      <c r="F664" s="12"/>
      <c r="G664" s="12"/>
      <c r="H664" s="12"/>
      <c r="I664" s="12"/>
      <c r="J664" s="12"/>
    </row>
    <row r="665" spans="1:12" ht="30" x14ac:dyDescent="0.25">
      <c r="A665" s="2" t="s">
        <v>6</v>
      </c>
      <c r="B665" s="2" t="s">
        <v>7</v>
      </c>
      <c r="C665" s="2" t="s">
        <v>8</v>
      </c>
      <c r="D665" s="2" t="s">
        <v>9</v>
      </c>
      <c r="E665" s="2" t="s">
        <v>10</v>
      </c>
      <c r="F665" s="2" t="s">
        <v>11</v>
      </c>
      <c r="G665" s="2" t="s">
        <v>12</v>
      </c>
      <c r="H665" s="2" t="s">
        <v>13</v>
      </c>
      <c r="I665" s="2" t="s">
        <v>14</v>
      </c>
      <c r="J665" s="2" t="s">
        <v>15</v>
      </c>
      <c r="K665" s="2" t="s">
        <v>16</v>
      </c>
      <c r="L665" s="2" t="s">
        <v>17</v>
      </c>
    </row>
    <row r="666" spans="1:12" x14ac:dyDescent="0.25">
      <c r="A666" s="3">
        <v>45709.252303240741</v>
      </c>
      <c r="B666" t="s">
        <v>53</v>
      </c>
      <c r="C666" s="3">
        <v>45709.255300925928</v>
      </c>
      <c r="D666" t="s">
        <v>129</v>
      </c>
      <c r="E666" s="4">
        <v>0.33400000000000002</v>
      </c>
      <c r="F666" s="4">
        <v>427004.86800000002</v>
      </c>
      <c r="G666" s="4">
        <v>427005.20199999999</v>
      </c>
      <c r="H666" s="5">
        <f>139 / 86400</f>
        <v>1.6087962962962963E-3</v>
      </c>
      <c r="I666" t="s">
        <v>52</v>
      </c>
      <c r="J666" t="s">
        <v>121</v>
      </c>
      <c r="K666" s="5">
        <f>258 / 86400</f>
        <v>2.9861111111111113E-3</v>
      </c>
      <c r="L666" s="5">
        <f>22042 / 86400</f>
        <v>0.25511574074074073</v>
      </c>
    </row>
    <row r="667" spans="1:12" x14ac:dyDescent="0.25">
      <c r="A667" s="3">
        <v>45709.258113425924</v>
      </c>
      <c r="B667" t="s">
        <v>129</v>
      </c>
      <c r="C667" s="3">
        <v>45709.294224537036</v>
      </c>
      <c r="D667" t="s">
        <v>410</v>
      </c>
      <c r="E667" s="4">
        <v>15.268000000000001</v>
      </c>
      <c r="F667" s="4">
        <v>427005.20199999999</v>
      </c>
      <c r="G667" s="4">
        <v>427020.47</v>
      </c>
      <c r="H667" s="5">
        <f>861 / 86400</f>
        <v>9.9652777777777778E-3</v>
      </c>
      <c r="I667" t="s">
        <v>54</v>
      </c>
      <c r="J667" t="s">
        <v>20</v>
      </c>
      <c r="K667" s="5">
        <f>3119 / 86400</f>
        <v>3.6099537037037034E-2</v>
      </c>
      <c r="L667" s="5">
        <f>69 / 86400</f>
        <v>7.9861111111111116E-4</v>
      </c>
    </row>
    <row r="668" spans="1:12" x14ac:dyDescent="0.25">
      <c r="A668" s="3">
        <v>45709.295023148152</v>
      </c>
      <c r="B668" t="s">
        <v>410</v>
      </c>
      <c r="C668" s="3">
        <v>45709.299050925925</v>
      </c>
      <c r="D668" t="s">
        <v>129</v>
      </c>
      <c r="E668" s="4">
        <v>1.085</v>
      </c>
      <c r="F668" s="4">
        <v>427020.47</v>
      </c>
      <c r="G668" s="4">
        <v>427021.55499999999</v>
      </c>
      <c r="H668" s="5">
        <f>119 / 86400</f>
        <v>1.3773148148148147E-3</v>
      </c>
      <c r="I668" t="s">
        <v>150</v>
      </c>
      <c r="J668" t="s">
        <v>128</v>
      </c>
      <c r="K668" s="5">
        <f>347 / 86400</f>
        <v>4.0162037037037041E-3</v>
      </c>
      <c r="L668" s="5">
        <f>4704 / 86400</f>
        <v>5.4444444444444441E-2</v>
      </c>
    </row>
    <row r="669" spans="1:12" x14ac:dyDescent="0.25">
      <c r="A669" s="3">
        <v>45709.353495370371</v>
      </c>
      <c r="B669" t="s">
        <v>129</v>
      </c>
      <c r="C669" s="3">
        <v>45709.360277777778</v>
      </c>
      <c r="D669" t="s">
        <v>129</v>
      </c>
      <c r="E669" s="4">
        <v>0</v>
      </c>
      <c r="F669" s="4">
        <v>427021.55499999999</v>
      </c>
      <c r="G669" s="4">
        <v>427021.55499999999</v>
      </c>
      <c r="H669" s="5">
        <f>579 / 86400</f>
        <v>6.7013888888888887E-3</v>
      </c>
      <c r="I669" t="s">
        <v>48</v>
      </c>
      <c r="J669" t="s">
        <v>48</v>
      </c>
      <c r="K669" s="5">
        <f>585 / 86400</f>
        <v>6.7708333333333336E-3</v>
      </c>
      <c r="L669" s="5">
        <f>3 / 86400</f>
        <v>3.4722222222222222E-5</v>
      </c>
    </row>
    <row r="670" spans="1:12" x14ac:dyDescent="0.25">
      <c r="A670" s="3">
        <v>45709.360312500001</v>
      </c>
      <c r="B670" t="s">
        <v>129</v>
      </c>
      <c r="C670" s="3">
        <v>45709.36409722222</v>
      </c>
      <c r="D670" t="s">
        <v>129</v>
      </c>
      <c r="E670" s="4">
        <v>0.58799999999999997</v>
      </c>
      <c r="F670" s="4">
        <v>427021.55499999999</v>
      </c>
      <c r="G670" s="4">
        <v>427022.14299999998</v>
      </c>
      <c r="H670" s="5">
        <f>171 / 86400</f>
        <v>1.9791666666666668E-3</v>
      </c>
      <c r="I670" t="s">
        <v>124</v>
      </c>
      <c r="J670" t="s">
        <v>134</v>
      </c>
      <c r="K670" s="5">
        <f>327 / 86400</f>
        <v>3.7847222222222223E-3</v>
      </c>
      <c r="L670" s="5">
        <f>799 / 86400</f>
        <v>9.2476851851851852E-3</v>
      </c>
    </row>
    <row r="671" spans="1:12" x14ac:dyDescent="0.25">
      <c r="A671" s="3">
        <v>45709.373344907406</v>
      </c>
      <c r="B671" t="s">
        <v>129</v>
      </c>
      <c r="C671" s="3">
        <v>45709.375787037032</v>
      </c>
      <c r="D671" t="s">
        <v>18</v>
      </c>
      <c r="E671" s="4">
        <v>0.54500000000000004</v>
      </c>
      <c r="F671" s="4">
        <v>427022.14299999998</v>
      </c>
      <c r="G671" s="4">
        <v>427022.68800000002</v>
      </c>
      <c r="H671" s="5">
        <f>40 / 86400</f>
        <v>4.6296296296296298E-4</v>
      </c>
      <c r="I671" t="s">
        <v>52</v>
      </c>
      <c r="J671" t="s">
        <v>125</v>
      </c>
      <c r="K671" s="5">
        <f>211 / 86400</f>
        <v>2.4421296296296296E-3</v>
      </c>
      <c r="L671" s="5">
        <f>14833 / 86400</f>
        <v>0.17167824074074073</v>
      </c>
    </row>
    <row r="672" spans="1:12" x14ac:dyDescent="0.25">
      <c r="A672" s="3">
        <v>45709.547465277778</v>
      </c>
      <c r="B672" t="s">
        <v>18</v>
      </c>
      <c r="C672" s="3">
        <v>45709.547650462962</v>
      </c>
      <c r="D672" t="s">
        <v>18</v>
      </c>
      <c r="E672" s="4">
        <v>0</v>
      </c>
      <c r="F672" s="4">
        <v>427022.68800000002</v>
      </c>
      <c r="G672" s="4">
        <v>427022.68800000002</v>
      </c>
      <c r="H672" s="5">
        <f>0 / 86400</f>
        <v>0</v>
      </c>
      <c r="I672" t="s">
        <v>48</v>
      </c>
      <c r="J672" t="s">
        <v>48</v>
      </c>
      <c r="K672" s="5">
        <f>15 / 86400</f>
        <v>1.7361111111111112E-4</v>
      </c>
      <c r="L672" s="5">
        <f>6313 / 86400</f>
        <v>7.3067129629629635E-2</v>
      </c>
    </row>
    <row r="673" spans="1:12" x14ac:dyDescent="0.25">
      <c r="A673" s="3">
        <v>45709.620717592596</v>
      </c>
      <c r="B673" t="s">
        <v>18</v>
      </c>
      <c r="C673" s="3">
        <v>45709.622303240743</v>
      </c>
      <c r="D673" t="s">
        <v>18</v>
      </c>
      <c r="E673" s="4">
        <v>0</v>
      </c>
      <c r="F673" s="4">
        <v>427022.68800000002</v>
      </c>
      <c r="G673" s="4">
        <v>427022.68800000002</v>
      </c>
      <c r="H673" s="5">
        <f>119 / 86400</f>
        <v>1.3773148148148147E-3</v>
      </c>
      <c r="I673" t="s">
        <v>48</v>
      </c>
      <c r="J673" t="s">
        <v>48</v>
      </c>
      <c r="K673" s="5">
        <f>136 / 86400</f>
        <v>1.5740740740740741E-3</v>
      </c>
      <c r="L673" s="5">
        <f>15179 / 86400</f>
        <v>0.17568287037037036</v>
      </c>
    </row>
    <row r="674" spans="1:12" x14ac:dyDescent="0.25">
      <c r="A674" s="3">
        <v>45709.797986111109</v>
      </c>
      <c r="B674" t="s">
        <v>18</v>
      </c>
      <c r="C674" s="3">
        <v>45709.800219907411</v>
      </c>
      <c r="D674" t="s">
        <v>18</v>
      </c>
      <c r="E674" s="4">
        <v>0</v>
      </c>
      <c r="F674" s="4">
        <v>427022.68800000002</v>
      </c>
      <c r="G674" s="4">
        <v>427022.68800000002</v>
      </c>
      <c r="H674" s="5">
        <f>179 / 86400</f>
        <v>2.0717592592592593E-3</v>
      </c>
      <c r="I674" t="s">
        <v>48</v>
      </c>
      <c r="J674" t="s">
        <v>48</v>
      </c>
      <c r="K674" s="5">
        <f>193 / 86400</f>
        <v>2.2337962962962962E-3</v>
      </c>
      <c r="L674" s="5">
        <f>2555 / 86400</f>
        <v>2.9571759259259259E-2</v>
      </c>
    </row>
    <row r="675" spans="1:12" x14ac:dyDescent="0.25">
      <c r="A675" s="3">
        <v>45709.829791666663</v>
      </c>
      <c r="B675" t="s">
        <v>18</v>
      </c>
      <c r="C675" s="3">
        <v>45709.8362962963</v>
      </c>
      <c r="D675" t="s">
        <v>53</v>
      </c>
      <c r="E675" s="4">
        <v>1.042</v>
      </c>
      <c r="F675" s="4">
        <v>427022.68800000002</v>
      </c>
      <c r="G675" s="4">
        <v>427023.73</v>
      </c>
      <c r="H675" s="5">
        <f>299 / 86400</f>
        <v>3.460648148148148E-3</v>
      </c>
      <c r="I675" t="s">
        <v>124</v>
      </c>
      <c r="J675" t="s">
        <v>88</v>
      </c>
      <c r="K675" s="5">
        <f>562 / 86400</f>
        <v>6.5046296296296293E-3</v>
      </c>
      <c r="L675" s="5">
        <f>129 / 86400</f>
        <v>1.4930555555555556E-3</v>
      </c>
    </row>
    <row r="676" spans="1:12" x14ac:dyDescent="0.25">
      <c r="A676" s="3">
        <v>45709.837789351848</v>
      </c>
      <c r="B676" t="s">
        <v>53</v>
      </c>
      <c r="C676" s="3">
        <v>45709.838946759264</v>
      </c>
      <c r="D676" t="s">
        <v>53</v>
      </c>
      <c r="E676" s="4">
        <v>2.1000000000000001E-2</v>
      </c>
      <c r="F676" s="4">
        <v>427023.73</v>
      </c>
      <c r="G676" s="4">
        <v>427023.75099999999</v>
      </c>
      <c r="H676" s="5">
        <f>40 / 86400</f>
        <v>4.6296296296296298E-4</v>
      </c>
      <c r="I676" t="s">
        <v>121</v>
      </c>
      <c r="J676" t="s">
        <v>47</v>
      </c>
      <c r="K676" s="5">
        <f>99 / 86400</f>
        <v>1.1458333333333333E-3</v>
      </c>
      <c r="L676" s="5">
        <f>13914 / 86400</f>
        <v>0.16104166666666667</v>
      </c>
    </row>
    <row r="677" spans="1:12" x14ac:dyDescent="0.25">
      <c r="A677" s="12"/>
      <c r="B677" s="12"/>
      <c r="C677" s="12"/>
      <c r="D677" s="12"/>
      <c r="E677" s="12"/>
      <c r="F677" s="12"/>
      <c r="G677" s="12"/>
      <c r="H677" s="12"/>
      <c r="I677" s="12"/>
      <c r="J677" s="12"/>
    </row>
    <row r="678" spans="1:12" x14ac:dyDescent="0.25">
      <c r="A678" s="12"/>
      <c r="B678" s="12"/>
      <c r="C678" s="12"/>
      <c r="D678" s="12"/>
      <c r="E678" s="12"/>
      <c r="F678" s="12"/>
      <c r="G678" s="12"/>
      <c r="H678" s="12"/>
      <c r="I678" s="12"/>
      <c r="J678" s="12"/>
    </row>
    <row r="679" spans="1:12" s="10" customFormat="1" ht="20.100000000000001" customHeight="1" x14ac:dyDescent="0.35">
      <c r="A679" s="15" t="s">
        <v>468</v>
      </c>
      <c r="B679" s="15"/>
      <c r="C679" s="15"/>
      <c r="D679" s="15"/>
      <c r="E679" s="15"/>
      <c r="F679" s="15"/>
      <c r="G679" s="15"/>
      <c r="H679" s="15"/>
      <c r="I679" s="15"/>
      <c r="J679" s="15"/>
    </row>
    <row r="680" spans="1:12" x14ac:dyDescent="0.25">
      <c r="A680" s="12"/>
      <c r="B680" s="12"/>
      <c r="C680" s="12"/>
      <c r="D680" s="12"/>
      <c r="E680" s="12"/>
      <c r="F680" s="12"/>
      <c r="G680" s="12"/>
      <c r="H680" s="12"/>
      <c r="I680" s="12"/>
      <c r="J680" s="12"/>
    </row>
    <row r="681" spans="1:12" ht="30" x14ac:dyDescent="0.25">
      <c r="A681" s="2" t="s">
        <v>6</v>
      </c>
      <c r="B681" s="2" t="s">
        <v>7</v>
      </c>
      <c r="C681" s="2" t="s">
        <v>8</v>
      </c>
      <c r="D681" s="2" t="s">
        <v>9</v>
      </c>
      <c r="E681" s="2" t="s">
        <v>10</v>
      </c>
      <c r="F681" s="2" t="s">
        <v>11</v>
      </c>
      <c r="G681" s="2" t="s">
        <v>12</v>
      </c>
      <c r="H681" s="2" t="s">
        <v>13</v>
      </c>
      <c r="I681" s="2" t="s">
        <v>14</v>
      </c>
      <c r="J681" s="2" t="s">
        <v>15</v>
      </c>
      <c r="K681" s="2" t="s">
        <v>16</v>
      </c>
      <c r="L681" s="2" t="s">
        <v>17</v>
      </c>
    </row>
    <row r="682" spans="1:12" x14ac:dyDescent="0.25">
      <c r="A682" s="3">
        <v>45709.235254629632</v>
      </c>
      <c r="B682" t="s">
        <v>24</v>
      </c>
      <c r="C682" s="3">
        <v>45709.304849537039</v>
      </c>
      <c r="D682" t="s">
        <v>379</v>
      </c>
      <c r="E682" s="4">
        <v>25.067</v>
      </c>
      <c r="F682" s="4">
        <v>13931.616</v>
      </c>
      <c r="G682" s="4">
        <v>13956.683000000001</v>
      </c>
      <c r="H682" s="5">
        <f>2119 / 86400</f>
        <v>2.4525462962962964E-2</v>
      </c>
      <c r="I682" t="s">
        <v>123</v>
      </c>
      <c r="J682" t="s">
        <v>41</v>
      </c>
      <c r="K682" s="5">
        <f>6013 / 86400</f>
        <v>6.9594907407407411E-2</v>
      </c>
      <c r="L682" s="5">
        <f>20420 / 86400</f>
        <v>0.2363425925925926</v>
      </c>
    </row>
    <row r="683" spans="1:12" x14ac:dyDescent="0.25">
      <c r="A683" s="3">
        <v>45709.305937500001</v>
      </c>
      <c r="B683" t="s">
        <v>379</v>
      </c>
      <c r="C683" s="3">
        <v>45709.327789351853</v>
      </c>
      <c r="D683" t="s">
        <v>411</v>
      </c>
      <c r="E683" s="4">
        <v>5.7350000000000003</v>
      </c>
      <c r="F683" s="4">
        <v>13956.683000000001</v>
      </c>
      <c r="G683" s="4">
        <v>13962.418</v>
      </c>
      <c r="H683" s="5">
        <f>899 / 86400</f>
        <v>1.0405092592592593E-2</v>
      </c>
      <c r="I683" t="s">
        <v>184</v>
      </c>
      <c r="J683" t="s">
        <v>128</v>
      </c>
      <c r="K683" s="5">
        <f>1887 / 86400</f>
        <v>2.1840277777777778E-2</v>
      </c>
      <c r="L683" s="5">
        <f>82 / 86400</f>
        <v>9.4907407407407408E-4</v>
      </c>
    </row>
    <row r="684" spans="1:12" x14ac:dyDescent="0.25">
      <c r="A684" s="3">
        <v>45709.328738425931</v>
      </c>
      <c r="B684" t="s">
        <v>411</v>
      </c>
      <c r="C684" s="3">
        <v>45709.377951388888</v>
      </c>
      <c r="D684" t="s">
        <v>317</v>
      </c>
      <c r="E684" s="4">
        <v>8.3699999999999992</v>
      </c>
      <c r="F684" s="4">
        <v>13962.418</v>
      </c>
      <c r="G684" s="4">
        <v>13970.788</v>
      </c>
      <c r="H684" s="5">
        <f>2441 / 86400</f>
        <v>2.8252314814814813E-2</v>
      </c>
      <c r="I684" t="s">
        <v>147</v>
      </c>
      <c r="J684" t="s">
        <v>88</v>
      </c>
      <c r="K684" s="5">
        <f>4252 / 86400</f>
        <v>4.9212962962962965E-2</v>
      </c>
      <c r="L684" s="5">
        <f>44 / 86400</f>
        <v>5.0925925925925921E-4</v>
      </c>
    </row>
    <row r="685" spans="1:12" x14ac:dyDescent="0.25">
      <c r="A685" s="3">
        <v>45709.378460648149</v>
      </c>
      <c r="B685" t="s">
        <v>317</v>
      </c>
      <c r="C685" s="3">
        <v>45709.462187500001</v>
      </c>
      <c r="D685" t="s">
        <v>113</v>
      </c>
      <c r="E685" s="4">
        <v>42.125</v>
      </c>
      <c r="F685" s="4">
        <v>13970.788</v>
      </c>
      <c r="G685" s="4">
        <v>14012.913</v>
      </c>
      <c r="H685" s="5">
        <f>1739 / 86400</f>
        <v>2.0127314814814813E-2</v>
      </c>
      <c r="I685" t="s">
        <v>56</v>
      </c>
      <c r="J685" t="s">
        <v>136</v>
      </c>
      <c r="K685" s="5">
        <f>7234 / 86400</f>
        <v>8.3726851851851858E-2</v>
      </c>
      <c r="L685" s="5">
        <f>55 / 86400</f>
        <v>6.3657407407407413E-4</v>
      </c>
    </row>
    <row r="686" spans="1:12" x14ac:dyDescent="0.25">
      <c r="A686" s="3">
        <v>45709.462824074071</v>
      </c>
      <c r="B686" t="s">
        <v>113</v>
      </c>
      <c r="C686" s="3">
        <v>45709.462916666671</v>
      </c>
      <c r="D686" t="s">
        <v>113</v>
      </c>
      <c r="E686" s="4">
        <v>0</v>
      </c>
      <c r="F686" s="4">
        <v>14012.913</v>
      </c>
      <c r="G686" s="4">
        <v>14012.913</v>
      </c>
      <c r="H686" s="5">
        <f>0 / 86400</f>
        <v>0</v>
      </c>
      <c r="I686" t="s">
        <v>48</v>
      </c>
      <c r="J686" t="s">
        <v>48</v>
      </c>
      <c r="K686" s="5">
        <f>8 / 86400</f>
        <v>9.2592592592592588E-5</v>
      </c>
      <c r="L686" s="5">
        <f>864 / 86400</f>
        <v>0.01</v>
      </c>
    </row>
    <row r="687" spans="1:12" x14ac:dyDescent="0.25">
      <c r="A687" s="3">
        <v>45709.472916666666</v>
      </c>
      <c r="B687" t="s">
        <v>113</v>
      </c>
      <c r="C687" s="3">
        <v>45709.476018518515</v>
      </c>
      <c r="D687" t="s">
        <v>70</v>
      </c>
      <c r="E687" s="4">
        <v>0.92700000000000005</v>
      </c>
      <c r="F687" s="4">
        <v>14012.913</v>
      </c>
      <c r="G687" s="4">
        <v>14013.84</v>
      </c>
      <c r="H687" s="5">
        <f>79 / 86400</f>
        <v>9.1435185185185185E-4</v>
      </c>
      <c r="I687" t="s">
        <v>175</v>
      </c>
      <c r="J687" t="s">
        <v>55</v>
      </c>
      <c r="K687" s="5">
        <f>267 / 86400</f>
        <v>3.0902777777777777E-3</v>
      </c>
      <c r="L687" s="5">
        <f>147 / 86400</f>
        <v>1.7013888888888888E-3</v>
      </c>
    </row>
    <row r="688" spans="1:12" x14ac:dyDescent="0.25">
      <c r="A688" s="3">
        <v>45709.477719907409</v>
      </c>
      <c r="B688" t="s">
        <v>70</v>
      </c>
      <c r="C688" s="3">
        <v>45709.478113425925</v>
      </c>
      <c r="D688" t="s">
        <v>140</v>
      </c>
      <c r="E688" s="4">
        <v>0.127</v>
      </c>
      <c r="F688" s="4">
        <v>14013.84</v>
      </c>
      <c r="G688" s="4">
        <v>14013.967000000001</v>
      </c>
      <c r="H688" s="5">
        <f>0 / 86400</f>
        <v>0</v>
      </c>
      <c r="I688" t="s">
        <v>57</v>
      </c>
      <c r="J688" t="s">
        <v>57</v>
      </c>
      <c r="K688" s="5">
        <f>33 / 86400</f>
        <v>3.8194444444444446E-4</v>
      </c>
      <c r="L688" s="5">
        <f>93 / 86400</f>
        <v>1.0763888888888889E-3</v>
      </c>
    </row>
    <row r="689" spans="1:12" x14ac:dyDescent="0.25">
      <c r="A689" s="3">
        <v>45709.479189814811</v>
      </c>
      <c r="B689" t="s">
        <v>140</v>
      </c>
      <c r="C689" s="3">
        <v>45709.480821759258</v>
      </c>
      <c r="D689" t="s">
        <v>412</v>
      </c>
      <c r="E689" s="4">
        <v>0.80700000000000005</v>
      </c>
      <c r="F689" s="4">
        <v>14013.967000000001</v>
      </c>
      <c r="G689" s="4">
        <v>14014.773999999999</v>
      </c>
      <c r="H689" s="5">
        <f>0 / 86400</f>
        <v>0</v>
      </c>
      <c r="I689" t="s">
        <v>154</v>
      </c>
      <c r="J689" t="s">
        <v>136</v>
      </c>
      <c r="K689" s="5">
        <f>140 / 86400</f>
        <v>1.6203703703703703E-3</v>
      </c>
      <c r="L689" s="5">
        <f>145 / 86400</f>
        <v>1.6782407407407408E-3</v>
      </c>
    </row>
    <row r="690" spans="1:12" x14ac:dyDescent="0.25">
      <c r="A690" s="3">
        <v>45709.482499999998</v>
      </c>
      <c r="B690" t="s">
        <v>46</v>
      </c>
      <c r="C690" s="3">
        <v>45709.482708333337</v>
      </c>
      <c r="D690" t="s">
        <v>46</v>
      </c>
      <c r="E690" s="4">
        <v>4.0000000000000001E-3</v>
      </c>
      <c r="F690" s="4">
        <v>14014.773999999999</v>
      </c>
      <c r="G690" s="4">
        <v>14014.778</v>
      </c>
      <c r="H690" s="5">
        <f>0 / 86400</f>
        <v>0</v>
      </c>
      <c r="I690" t="s">
        <v>48</v>
      </c>
      <c r="J690" t="s">
        <v>47</v>
      </c>
      <c r="K690" s="5">
        <f>17 / 86400</f>
        <v>1.9675925925925926E-4</v>
      </c>
      <c r="L690" s="5">
        <f>894 / 86400</f>
        <v>1.0347222222222223E-2</v>
      </c>
    </row>
    <row r="691" spans="1:12" x14ac:dyDescent="0.25">
      <c r="A691" s="3">
        <v>45709.493055555555</v>
      </c>
      <c r="B691" t="s">
        <v>46</v>
      </c>
      <c r="C691" s="3">
        <v>45709.496249999997</v>
      </c>
      <c r="D691" t="s">
        <v>126</v>
      </c>
      <c r="E691" s="4">
        <v>0.746</v>
      </c>
      <c r="F691" s="4">
        <v>14014.778</v>
      </c>
      <c r="G691" s="4">
        <v>14015.523999999999</v>
      </c>
      <c r="H691" s="5">
        <f>30 / 86400</f>
        <v>3.4722222222222224E-4</v>
      </c>
      <c r="I691" t="s">
        <v>124</v>
      </c>
      <c r="J691" t="s">
        <v>60</v>
      </c>
      <c r="K691" s="5">
        <f>275 / 86400</f>
        <v>3.1828703703703702E-3</v>
      </c>
      <c r="L691" s="5">
        <f>378 / 86400</f>
        <v>4.3750000000000004E-3</v>
      </c>
    </row>
    <row r="692" spans="1:12" x14ac:dyDescent="0.25">
      <c r="A692" s="3">
        <v>45709.500625000001</v>
      </c>
      <c r="B692" t="s">
        <v>126</v>
      </c>
      <c r="C692" s="3">
        <v>45709.654942129629</v>
      </c>
      <c r="D692" t="s">
        <v>413</v>
      </c>
      <c r="E692" s="4">
        <v>56.128</v>
      </c>
      <c r="F692" s="4">
        <v>14015.523999999999</v>
      </c>
      <c r="G692" s="4">
        <v>14071.652</v>
      </c>
      <c r="H692" s="5">
        <f>5736 / 86400</f>
        <v>6.6388888888888886E-2</v>
      </c>
      <c r="I692" t="s">
        <v>130</v>
      </c>
      <c r="J692" t="s">
        <v>41</v>
      </c>
      <c r="K692" s="5">
        <f>13332 / 86400</f>
        <v>0.15430555555555556</v>
      </c>
      <c r="L692" s="5">
        <f>158 / 86400</f>
        <v>1.8287037037037037E-3</v>
      </c>
    </row>
    <row r="693" spans="1:12" x14ac:dyDescent="0.25">
      <c r="A693" s="3">
        <v>45709.656770833331</v>
      </c>
      <c r="B693" t="s">
        <v>414</v>
      </c>
      <c r="C693" s="3">
        <v>45709.78634259259</v>
      </c>
      <c r="D693" t="s">
        <v>86</v>
      </c>
      <c r="E693" s="4">
        <v>38.880000000000003</v>
      </c>
      <c r="F693" s="4">
        <v>14071.652</v>
      </c>
      <c r="G693" s="4">
        <v>14110.531999999999</v>
      </c>
      <c r="H693" s="5">
        <f>5018 / 86400</f>
        <v>5.8078703703703702E-2</v>
      </c>
      <c r="I693" t="s">
        <v>238</v>
      </c>
      <c r="J693" t="s">
        <v>26</v>
      </c>
      <c r="K693" s="5">
        <f>11195 / 86400</f>
        <v>0.12957175925925926</v>
      </c>
      <c r="L693" s="5">
        <f>279 / 86400</f>
        <v>3.2291666666666666E-3</v>
      </c>
    </row>
    <row r="694" spans="1:12" x14ac:dyDescent="0.25">
      <c r="A694" s="3">
        <v>45709.789571759262</v>
      </c>
      <c r="B694" t="s">
        <v>86</v>
      </c>
      <c r="C694" s="3">
        <v>45709.790104166663</v>
      </c>
      <c r="D694" t="s">
        <v>86</v>
      </c>
      <c r="E694" s="4">
        <v>1.9E-2</v>
      </c>
      <c r="F694" s="4">
        <v>14110.531999999999</v>
      </c>
      <c r="G694" s="4">
        <v>14110.550999999999</v>
      </c>
      <c r="H694" s="5">
        <f>19 / 86400</f>
        <v>2.199074074074074E-4</v>
      </c>
      <c r="I694" t="s">
        <v>121</v>
      </c>
      <c r="J694" t="s">
        <v>122</v>
      </c>
      <c r="K694" s="5">
        <f>45 / 86400</f>
        <v>5.2083333333333333E-4</v>
      </c>
      <c r="L694" s="5">
        <f>183 / 86400</f>
        <v>2.1180555555555558E-3</v>
      </c>
    </row>
    <row r="695" spans="1:12" x14ac:dyDescent="0.25">
      <c r="A695" s="3">
        <v>45709.792222222226</v>
      </c>
      <c r="B695" t="s">
        <v>86</v>
      </c>
      <c r="C695" s="3">
        <v>45709.796111111107</v>
      </c>
      <c r="D695" t="s">
        <v>415</v>
      </c>
      <c r="E695" s="4">
        <v>1.6870000000000001</v>
      </c>
      <c r="F695" s="4">
        <v>14110.550999999999</v>
      </c>
      <c r="G695" s="4">
        <v>14112.237999999999</v>
      </c>
      <c r="H695" s="5">
        <f>20 / 86400</f>
        <v>2.3148148148148149E-4</v>
      </c>
      <c r="I695" t="s">
        <v>87</v>
      </c>
      <c r="J695" t="s">
        <v>20</v>
      </c>
      <c r="K695" s="5">
        <f>336 / 86400</f>
        <v>3.8888888888888888E-3</v>
      </c>
      <c r="L695" s="5">
        <f>141 / 86400</f>
        <v>1.6319444444444445E-3</v>
      </c>
    </row>
    <row r="696" spans="1:12" x14ac:dyDescent="0.25">
      <c r="A696" s="3">
        <v>45709.797743055555</v>
      </c>
      <c r="B696" t="s">
        <v>415</v>
      </c>
      <c r="C696" s="3">
        <v>45709.800069444449</v>
      </c>
      <c r="D696" t="s">
        <v>24</v>
      </c>
      <c r="E696" s="4">
        <v>0.42299999999999999</v>
      </c>
      <c r="F696" s="4">
        <v>14112.237999999999</v>
      </c>
      <c r="G696" s="4">
        <v>14112.661</v>
      </c>
      <c r="H696" s="5">
        <f>80 / 86400</f>
        <v>9.2592592592592596E-4</v>
      </c>
      <c r="I696" t="s">
        <v>55</v>
      </c>
      <c r="J696" t="s">
        <v>59</v>
      </c>
      <c r="K696" s="5">
        <f>200 / 86400</f>
        <v>2.3148148148148147E-3</v>
      </c>
      <c r="L696" s="5">
        <f>17273 / 86400</f>
        <v>0.19991898148148149</v>
      </c>
    </row>
    <row r="697" spans="1:12" x14ac:dyDescent="0.25">
      <c r="A697" s="12"/>
      <c r="B697" s="12"/>
      <c r="C697" s="12"/>
      <c r="D697" s="12"/>
      <c r="E697" s="12"/>
      <c r="F697" s="12"/>
      <c r="G697" s="12"/>
      <c r="H697" s="12"/>
      <c r="I697" s="12"/>
      <c r="J697" s="12"/>
    </row>
    <row r="698" spans="1:12" x14ac:dyDescent="0.25">
      <c r="A698" s="12"/>
      <c r="B698" s="12"/>
      <c r="C698" s="12"/>
      <c r="D698" s="12"/>
      <c r="E698" s="12"/>
      <c r="F698" s="12"/>
      <c r="G698" s="12"/>
      <c r="H698" s="12"/>
      <c r="I698" s="12"/>
      <c r="J698" s="12"/>
    </row>
    <row r="699" spans="1:12" s="10" customFormat="1" ht="20.100000000000001" customHeight="1" x14ac:dyDescent="0.35">
      <c r="A699" s="15" t="s">
        <v>469</v>
      </c>
      <c r="B699" s="15"/>
      <c r="C699" s="15"/>
      <c r="D699" s="15"/>
      <c r="E699" s="15"/>
      <c r="F699" s="15"/>
      <c r="G699" s="15"/>
      <c r="H699" s="15"/>
      <c r="I699" s="15"/>
      <c r="J699" s="15"/>
    </row>
    <row r="700" spans="1:12" x14ac:dyDescent="0.25">
      <c r="A700" s="12"/>
      <c r="B700" s="12"/>
      <c r="C700" s="12"/>
      <c r="D700" s="12"/>
      <c r="E700" s="12"/>
      <c r="F700" s="12"/>
      <c r="G700" s="12"/>
      <c r="H700" s="12"/>
      <c r="I700" s="12"/>
      <c r="J700" s="12"/>
    </row>
    <row r="701" spans="1:12" ht="30" x14ac:dyDescent="0.25">
      <c r="A701" s="2" t="s">
        <v>6</v>
      </c>
      <c r="B701" s="2" t="s">
        <v>7</v>
      </c>
      <c r="C701" s="2" t="s">
        <v>8</v>
      </c>
      <c r="D701" s="2" t="s">
        <v>9</v>
      </c>
      <c r="E701" s="2" t="s">
        <v>10</v>
      </c>
      <c r="F701" s="2" t="s">
        <v>11</v>
      </c>
      <c r="G701" s="2" t="s">
        <v>12</v>
      </c>
      <c r="H701" s="2" t="s">
        <v>13</v>
      </c>
      <c r="I701" s="2" t="s">
        <v>14</v>
      </c>
      <c r="J701" s="2" t="s">
        <v>15</v>
      </c>
      <c r="K701" s="2" t="s">
        <v>16</v>
      </c>
      <c r="L701" s="2" t="s">
        <v>17</v>
      </c>
    </row>
    <row r="702" spans="1:12" x14ac:dyDescent="0.25">
      <c r="A702" s="3">
        <v>45709.430474537032</v>
      </c>
      <c r="B702" t="s">
        <v>58</v>
      </c>
      <c r="C702" s="3">
        <v>45709.431493055556</v>
      </c>
      <c r="D702" t="s">
        <v>58</v>
      </c>
      <c r="E702" s="4">
        <v>3.5000000000000003E-2</v>
      </c>
      <c r="F702" s="4">
        <v>139780.45800000001</v>
      </c>
      <c r="G702" s="4">
        <v>139780.49299999999</v>
      </c>
      <c r="H702" s="5">
        <f>39 / 86400</f>
        <v>4.5138888888888887E-4</v>
      </c>
      <c r="I702" t="s">
        <v>59</v>
      </c>
      <c r="J702" t="s">
        <v>47</v>
      </c>
      <c r="K702" s="5">
        <f>87 / 86400</f>
        <v>1.0069444444444444E-3</v>
      </c>
      <c r="L702" s="5">
        <f>45576 / 86400</f>
        <v>0.52749999999999997</v>
      </c>
    </row>
    <row r="703" spans="1:12" x14ac:dyDescent="0.25">
      <c r="A703" s="3">
        <v>45709.52851851852</v>
      </c>
      <c r="B703" t="s">
        <v>58</v>
      </c>
      <c r="C703" s="3">
        <v>45709.529583333337</v>
      </c>
      <c r="D703" t="s">
        <v>58</v>
      </c>
      <c r="E703" s="4">
        <v>0.05</v>
      </c>
      <c r="F703" s="4">
        <v>139780.49299999999</v>
      </c>
      <c r="G703" s="4">
        <v>139780.54300000001</v>
      </c>
      <c r="H703" s="5">
        <f>40 / 86400</f>
        <v>4.6296296296296298E-4</v>
      </c>
      <c r="I703" t="s">
        <v>135</v>
      </c>
      <c r="J703" t="s">
        <v>122</v>
      </c>
      <c r="K703" s="5">
        <f>92 / 86400</f>
        <v>1.0648148148148149E-3</v>
      </c>
      <c r="L703" s="5">
        <f>321 / 86400</f>
        <v>3.7152777777777778E-3</v>
      </c>
    </row>
    <row r="704" spans="1:12" x14ac:dyDescent="0.25">
      <c r="A704" s="3">
        <v>45709.53329861111</v>
      </c>
      <c r="B704" t="s">
        <v>58</v>
      </c>
      <c r="C704" s="3">
        <v>45709.533634259264</v>
      </c>
      <c r="D704" t="s">
        <v>58</v>
      </c>
      <c r="E704" s="4">
        <v>0</v>
      </c>
      <c r="F704" s="4">
        <v>139780.54300000001</v>
      </c>
      <c r="G704" s="4">
        <v>139780.54300000001</v>
      </c>
      <c r="H704" s="5">
        <f>19 / 86400</f>
        <v>2.199074074074074E-4</v>
      </c>
      <c r="I704" t="s">
        <v>48</v>
      </c>
      <c r="J704" t="s">
        <v>48</v>
      </c>
      <c r="K704" s="5">
        <f>28 / 86400</f>
        <v>3.2407407407407406E-4</v>
      </c>
      <c r="L704" s="5">
        <f>40293 / 86400</f>
        <v>0.46635416666666668</v>
      </c>
    </row>
    <row r="705" spans="1:12" x14ac:dyDescent="0.25">
      <c r="A705" s="12"/>
      <c r="B705" s="12"/>
      <c r="C705" s="12"/>
      <c r="D705" s="12"/>
      <c r="E705" s="12"/>
      <c r="F705" s="12"/>
      <c r="G705" s="12"/>
      <c r="H705" s="12"/>
      <c r="I705" s="12"/>
      <c r="J705" s="12"/>
    </row>
    <row r="706" spans="1:12" x14ac:dyDescent="0.25">
      <c r="A706" s="12"/>
      <c r="B706" s="12"/>
      <c r="C706" s="12"/>
      <c r="D706" s="12"/>
      <c r="E706" s="12"/>
      <c r="F706" s="12"/>
      <c r="G706" s="12"/>
      <c r="H706" s="12"/>
      <c r="I706" s="12"/>
      <c r="J706" s="12"/>
    </row>
    <row r="707" spans="1:12" s="10" customFormat="1" ht="20.100000000000001" customHeight="1" x14ac:dyDescent="0.35">
      <c r="A707" s="15" t="s">
        <v>470</v>
      </c>
      <c r="B707" s="15"/>
      <c r="C707" s="15"/>
      <c r="D707" s="15"/>
      <c r="E707" s="15"/>
      <c r="F707" s="15"/>
      <c r="G707" s="15"/>
      <c r="H707" s="15"/>
      <c r="I707" s="15"/>
      <c r="J707" s="15"/>
    </row>
    <row r="708" spans="1:12" x14ac:dyDescent="0.25">
      <c r="A708" s="12"/>
      <c r="B708" s="12"/>
      <c r="C708" s="12"/>
      <c r="D708" s="12"/>
      <c r="E708" s="12"/>
      <c r="F708" s="12"/>
      <c r="G708" s="12"/>
      <c r="H708" s="12"/>
      <c r="I708" s="12"/>
      <c r="J708" s="12"/>
    </row>
    <row r="709" spans="1:12" ht="30" x14ac:dyDescent="0.25">
      <c r="A709" s="2" t="s">
        <v>6</v>
      </c>
      <c r="B709" s="2" t="s">
        <v>7</v>
      </c>
      <c r="C709" s="2" t="s">
        <v>8</v>
      </c>
      <c r="D709" s="2" t="s">
        <v>9</v>
      </c>
      <c r="E709" s="2" t="s">
        <v>10</v>
      </c>
      <c r="F709" s="2" t="s">
        <v>11</v>
      </c>
      <c r="G709" s="2" t="s">
        <v>12</v>
      </c>
      <c r="H709" s="2" t="s">
        <v>13</v>
      </c>
      <c r="I709" s="2" t="s">
        <v>14</v>
      </c>
      <c r="J709" s="2" t="s">
        <v>15</v>
      </c>
      <c r="K709" s="2" t="s">
        <v>16</v>
      </c>
      <c r="L709" s="2" t="s">
        <v>17</v>
      </c>
    </row>
    <row r="710" spans="1:12" x14ac:dyDescent="0.25">
      <c r="A710" s="3">
        <v>45709.235324074078</v>
      </c>
      <c r="B710" t="s">
        <v>24</v>
      </c>
      <c r="C710" s="3">
        <v>45709.239305555559</v>
      </c>
      <c r="D710" t="s">
        <v>24</v>
      </c>
      <c r="E710" s="4">
        <v>0</v>
      </c>
      <c r="F710" s="4">
        <v>6669.6970000000001</v>
      </c>
      <c r="G710" s="4">
        <v>6669.6970000000001</v>
      </c>
      <c r="H710" s="5">
        <f>339 / 86400</f>
        <v>3.9236111111111112E-3</v>
      </c>
      <c r="I710" t="s">
        <v>48</v>
      </c>
      <c r="J710" t="s">
        <v>48</v>
      </c>
      <c r="K710" s="5">
        <f>343 / 86400</f>
        <v>3.9699074074074072E-3</v>
      </c>
      <c r="L710" s="5">
        <f>21421 / 86400</f>
        <v>0.24792824074074074</v>
      </c>
    </row>
    <row r="711" spans="1:12" x14ac:dyDescent="0.25">
      <c r="A711" s="3">
        <v>45709.251909722225</v>
      </c>
      <c r="B711" t="s">
        <v>24</v>
      </c>
      <c r="C711" s="3">
        <v>45709.258564814816</v>
      </c>
      <c r="D711" t="s">
        <v>416</v>
      </c>
      <c r="E711" s="4">
        <v>2.0459999999999998</v>
      </c>
      <c r="F711" s="4">
        <v>6669.6970000000001</v>
      </c>
      <c r="G711" s="4">
        <v>6671.7430000000004</v>
      </c>
      <c r="H711" s="5">
        <f>159 / 86400</f>
        <v>1.8402777777777777E-3</v>
      </c>
      <c r="I711" t="s">
        <v>150</v>
      </c>
      <c r="J711" t="s">
        <v>26</v>
      </c>
      <c r="K711" s="5">
        <f>574 / 86400</f>
        <v>6.6435185185185182E-3</v>
      </c>
      <c r="L711" s="5">
        <f>662 / 86400</f>
        <v>7.6620370370370366E-3</v>
      </c>
    </row>
    <row r="712" spans="1:12" x14ac:dyDescent="0.25">
      <c r="A712" s="3">
        <v>45709.266226851847</v>
      </c>
      <c r="B712" t="s">
        <v>416</v>
      </c>
      <c r="C712" s="3">
        <v>45709.520671296297</v>
      </c>
      <c r="D712" t="s">
        <v>126</v>
      </c>
      <c r="E712" s="4">
        <v>82.268000000000001</v>
      </c>
      <c r="F712" s="4">
        <v>6671.7430000000004</v>
      </c>
      <c r="G712" s="4">
        <v>6754.0110000000004</v>
      </c>
      <c r="H712" s="5">
        <f>9947 / 86400</f>
        <v>0.11512731481481482</v>
      </c>
      <c r="I712" t="s">
        <v>131</v>
      </c>
      <c r="J712" t="s">
        <v>26</v>
      </c>
      <c r="K712" s="5">
        <f>21983 / 86400</f>
        <v>0.25443287037037038</v>
      </c>
      <c r="L712" s="5">
        <f>660 / 86400</f>
        <v>7.6388888888888886E-3</v>
      </c>
    </row>
    <row r="713" spans="1:12" x14ac:dyDescent="0.25">
      <c r="A713" s="3">
        <v>45709.528310185182</v>
      </c>
      <c r="B713" t="s">
        <v>126</v>
      </c>
      <c r="C713" s="3">
        <v>45709.543425925927</v>
      </c>
      <c r="D713" t="s">
        <v>70</v>
      </c>
      <c r="E713" s="4">
        <v>1.3129999999999999</v>
      </c>
      <c r="F713" s="4">
        <v>6754.0110000000004</v>
      </c>
      <c r="G713" s="4">
        <v>6755.3239999999996</v>
      </c>
      <c r="H713" s="5">
        <f>920 / 86400</f>
        <v>1.0648148148148148E-2</v>
      </c>
      <c r="I713" t="s">
        <v>87</v>
      </c>
      <c r="J713" t="s">
        <v>30</v>
      </c>
      <c r="K713" s="5">
        <f>1306 / 86400</f>
        <v>1.511574074074074E-2</v>
      </c>
      <c r="L713" s="5">
        <f>228 / 86400</f>
        <v>2.638888888888889E-3</v>
      </c>
    </row>
    <row r="714" spans="1:12" x14ac:dyDescent="0.25">
      <c r="A714" s="3">
        <v>45709.546064814815</v>
      </c>
      <c r="B714" t="s">
        <v>70</v>
      </c>
      <c r="C714" s="3">
        <v>45709.547083333338</v>
      </c>
      <c r="D714" t="s">
        <v>140</v>
      </c>
      <c r="E714" s="4">
        <v>0.105</v>
      </c>
      <c r="F714" s="4">
        <v>6755.3239999999996</v>
      </c>
      <c r="G714" s="4">
        <v>6755.4290000000001</v>
      </c>
      <c r="H714" s="5">
        <f>40 / 86400</f>
        <v>4.6296296296296298E-4</v>
      </c>
      <c r="I714" t="s">
        <v>59</v>
      </c>
      <c r="J714" t="s">
        <v>30</v>
      </c>
      <c r="K714" s="5">
        <f>88 / 86400</f>
        <v>1.0185185185185184E-3</v>
      </c>
      <c r="L714" s="5">
        <f>528 / 86400</f>
        <v>6.1111111111111114E-3</v>
      </c>
    </row>
    <row r="715" spans="1:12" x14ac:dyDescent="0.25">
      <c r="A715" s="3">
        <v>45709.553194444445</v>
      </c>
      <c r="B715" t="s">
        <v>140</v>
      </c>
      <c r="C715" s="3">
        <v>45709.556157407409</v>
      </c>
      <c r="D715" t="s">
        <v>407</v>
      </c>
      <c r="E715" s="4">
        <v>0.64600000000000002</v>
      </c>
      <c r="F715" s="4">
        <v>6755.4290000000001</v>
      </c>
      <c r="G715" s="4">
        <v>6756.0749999999998</v>
      </c>
      <c r="H715" s="5">
        <f>99 / 86400</f>
        <v>1.1458333333333333E-3</v>
      </c>
      <c r="I715" t="s">
        <v>136</v>
      </c>
      <c r="J715" t="s">
        <v>125</v>
      </c>
      <c r="K715" s="5">
        <f>255 / 86400</f>
        <v>2.9513888888888888E-3</v>
      </c>
      <c r="L715" s="5">
        <f>2759 / 86400</f>
        <v>3.1932870370370368E-2</v>
      </c>
    </row>
    <row r="716" spans="1:12" x14ac:dyDescent="0.25">
      <c r="A716" s="3">
        <v>45709.588090277779</v>
      </c>
      <c r="B716" t="s">
        <v>407</v>
      </c>
      <c r="C716" s="3">
        <v>45709.932916666672</v>
      </c>
      <c r="D716" t="s">
        <v>21</v>
      </c>
      <c r="E716" s="4">
        <v>67.590999999999994</v>
      </c>
      <c r="F716" s="4">
        <v>6756.0749999999998</v>
      </c>
      <c r="G716" s="4">
        <v>6823.6660000000002</v>
      </c>
      <c r="H716" s="5">
        <f>20096 / 86400</f>
        <v>0.2325925925925926</v>
      </c>
      <c r="I716" t="s">
        <v>19</v>
      </c>
      <c r="J716" t="s">
        <v>59</v>
      </c>
      <c r="K716" s="5">
        <f>29792 / 86400</f>
        <v>0.3448148148148148</v>
      </c>
      <c r="L716" s="5">
        <f>533 / 86400</f>
        <v>6.1689814814814819E-3</v>
      </c>
    </row>
    <row r="717" spans="1:12" x14ac:dyDescent="0.25">
      <c r="A717" s="3">
        <v>45709.939085648148</v>
      </c>
      <c r="B717" t="s">
        <v>21</v>
      </c>
      <c r="C717" s="3">
        <v>45709.947256944448</v>
      </c>
      <c r="D717" t="s">
        <v>24</v>
      </c>
      <c r="E717" s="4">
        <v>0.48</v>
      </c>
      <c r="F717" s="4">
        <v>6823.6660000000002</v>
      </c>
      <c r="G717" s="4">
        <v>6824.1459999999997</v>
      </c>
      <c r="H717" s="5">
        <f>501 / 86400</f>
        <v>5.7986111111111112E-3</v>
      </c>
      <c r="I717" t="s">
        <v>41</v>
      </c>
      <c r="J717" t="s">
        <v>122</v>
      </c>
      <c r="K717" s="5">
        <f>706 / 86400</f>
        <v>8.1712962962962963E-3</v>
      </c>
      <c r="L717" s="5">
        <f>4556 / 86400</f>
        <v>5.2731481481481483E-2</v>
      </c>
    </row>
    <row r="718" spans="1:12" x14ac:dyDescent="0.25">
      <c r="A718" s="12"/>
      <c r="B718" s="12"/>
      <c r="C718" s="12"/>
      <c r="D718" s="12"/>
      <c r="E718" s="12"/>
      <c r="F718" s="12"/>
      <c r="G718" s="12"/>
      <c r="H718" s="12"/>
      <c r="I718" s="12"/>
      <c r="J718" s="12"/>
    </row>
    <row r="719" spans="1:12" x14ac:dyDescent="0.25">
      <c r="A719" s="12"/>
      <c r="B719" s="12"/>
      <c r="C719" s="12"/>
      <c r="D719" s="12"/>
      <c r="E719" s="12"/>
      <c r="F719" s="12"/>
      <c r="G719" s="12"/>
      <c r="H719" s="12"/>
      <c r="I719" s="12"/>
      <c r="J719" s="12"/>
    </row>
    <row r="720" spans="1:12" s="10" customFormat="1" ht="20.100000000000001" customHeight="1" x14ac:dyDescent="0.35">
      <c r="A720" s="15" t="s">
        <v>471</v>
      </c>
      <c r="B720" s="15"/>
      <c r="C720" s="15"/>
      <c r="D720" s="15"/>
      <c r="E720" s="15"/>
      <c r="F720" s="15"/>
      <c r="G720" s="15"/>
      <c r="H720" s="15"/>
      <c r="I720" s="15"/>
      <c r="J720" s="15"/>
    </row>
    <row r="721" spans="1:12" x14ac:dyDescent="0.25">
      <c r="A721" s="12"/>
      <c r="B721" s="12"/>
      <c r="C721" s="12"/>
      <c r="D721" s="12"/>
      <c r="E721" s="12"/>
      <c r="F721" s="12"/>
      <c r="G721" s="12"/>
      <c r="H721" s="12"/>
      <c r="I721" s="12"/>
      <c r="J721" s="12"/>
    </row>
    <row r="722" spans="1:12" ht="30" x14ac:dyDescent="0.25">
      <c r="A722" s="2" t="s">
        <v>6</v>
      </c>
      <c r="B722" s="2" t="s">
        <v>7</v>
      </c>
      <c r="C722" s="2" t="s">
        <v>8</v>
      </c>
      <c r="D722" s="2" t="s">
        <v>9</v>
      </c>
      <c r="E722" s="2" t="s">
        <v>10</v>
      </c>
      <c r="F722" s="2" t="s">
        <v>11</v>
      </c>
      <c r="G722" s="2" t="s">
        <v>12</v>
      </c>
      <c r="H722" s="2" t="s">
        <v>13</v>
      </c>
      <c r="I722" s="2" t="s">
        <v>14</v>
      </c>
      <c r="J722" s="2" t="s">
        <v>15</v>
      </c>
      <c r="K722" s="2" t="s">
        <v>16</v>
      </c>
      <c r="L722" s="2" t="s">
        <v>17</v>
      </c>
    </row>
    <row r="723" spans="1:12" x14ac:dyDescent="0.25">
      <c r="A723" s="3">
        <v>45709.204467592594</v>
      </c>
      <c r="B723" t="s">
        <v>34</v>
      </c>
      <c r="C723" s="3">
        <v>45709.204537037032</v>
      </c>
      <c r="D723" t="s">
        <v>34</v>
      </c>
      <c r="E723" s="4">
        <v>0</v>
      </c>
      <c r="F723" s="4">
        <v>388187.38099999999</v>
      </c>
      <c r="G723" s="4">
        <v>388187.38099999999</v>
      </c>
      <c r="H723" s="5">
        <f>0 / 86400</f>
        <v>0</v>
      </c>
      <c r="I723" t="s">
        <v>48</v>
      </c>
      <c r="J723" t="s">
        <v>48</v>
      </c>
      <c r="K723" s="5">
        <f>5 / 86400</f>
        <v>5.7870370370370373E-5</v>
      </c>
      <c r="L723" s="5">
        <f>17667 / 86400</f>
        <v>0.20447916666666666</v>
      </c>
    </row>
    <row r="724" spans="1:12" x14ac:dyDescent="0.25">
      <c r="A724" s="3">
        <v>45709.204548611116</v>
      </c>
      <c r="B724" t="s">
        <v>34</v>
      </c>
      <c r="C724" s="3">
        <v>45709.452662037038</v>
      </c>
      <c r="D724" t="s">
        <v>113</v>
      </c>
      <c r="E724" s="4">
        <v>81.373999999999995</v>
      </c>
      <c r="F724" s="4">
        <v>388187.38099999999</v>
      </c>
      <c r="G724" s="4">
        <v>388268.755</v>
      </c>
      <c r="H724" s="5">
        <f>8653 / 86400</f>
        <v>0.10015046296296297</v>
      </c>
      <c r="I724" t="s">
        <v>123</v>
      </c>
      <c r="J724" t="s">
        <v>57</v>
      </c>
      <c r="K724" s="5">
        <f>21437 / 86400</f>
        <v>0.24811342592592592</v>
      </c>
      <c r="L724" s="5">
        <f>61 / 86400</f>
        <v>7.0601851851851847E-4</v>
      </c>
    </row>
    <row r="725" spans="1:12" x14ac:dyDescent="0.25">
      <c r="A725" s="3">
        <v>45709.453368055554</v>
      </c>
      <c r="B725" t="s">
        <v>113</v>
      </c>
      <c r="C725" s="3">
        <v>45709.453576388885</v>
      </c>
      <c r="D725" t="s">
        <v>113</v>
      </c>
      <c r="E725" s="4">
        <v>2E-3</v>
      </c>
      <c r="F725" s="4">
        <v>388268.755</v>
      </c>
      <c r="G725" s="4">
        <v>388268.75699999998</v>
      </c>
      <c r="H725" s="5">
        <f>0 / 86400</f>
        <v>0</v>
      </c>
      <c r="I725" t="s">
        <v>48</v>
      </c>
      <c r="J725" t="s">
        <v>48</v>
      </c>
      <c r="K725" s="5">
        <f>18 / 86400</f>
        <v>2.0833333333333335E-4</v>
      </c>
      <c r="L725" s="5">
        <f>1478 / 86400</f>
        <v>1.7106481481481483E-2</v>
      </c>
    </row>
    <row r="726" spans="1:12" x14ac:dyDescent="0.25">
      <c r="A726" s="3">
        <v>45709.470682870371</v>
      </c>
      <c r="B726" t="s">
        <v>113</v>
      </c>
      <c r="C726" s="3">
        <v>45709.472152777773</v>
      </c>
      <c r="D726" t="s">
        <v>113</v>
      </c>
      <c r="E726" s="4">
        <v>9.5000000000000001E-2</v>
      </c>
      <c r="F726" s="4">
        <v>388268.75699999998</v>
      </c>
      <c r="G726" s="4">
        <v>388268.85200000001</v>
      </c>
      <c r="H726" s="5">
        <f>60 / 86400</f>
        <v>6.9444444444444447E-4</v>
      </c>
      <c r="I726" t="s">
        <v>125</v>
      </c>
      <c r="J726" t="s">
        <v>135</v>
      </c>
      <c r="K726" s="5">
        <f>127 / 86400</f>
        <v>1.4699074074074074E-3</v>
      </c>
      <c r="L726" s="5">
        <f>443 / 86400</f>
        <v>5.1273148148148146E-3</v>
      </c>
    </row>
    <row r="727" spans="1:12" x14ac:dyDescent="0.25">
      <c r="A727" s="3">
        <v>45709.477280092593</v>
      </c>
      <c r="B727" t="s">
        <v>113</v>
      </c>
      <c r="C727" s="3">
        <v>45709.482210648144</v>
      </c>
      <c r="D727" t="s">
        <v>403</v>
      </c>
      <c r="E727" s="4">
        <v>1.2270000000000001</v>
      </c>
      <c r="F727" s="4">
        <v>388268.85200000001</v>
      </c>
      <c r="G727" s="4">
        <v>388270.07900000003</v>
      </c>
      <c r="H727" s="5">
        <f>79 / 86400</f>
        <v>9.1435185185185185E-4</v>
      </c>
      <c r="I727" t="s">
        <v>171</v>
      </c>
      <c r="J727" t="s">
        <v>60</v>
      </c>
      <c r="K727" s="5">
        <f>425 / 86400</f>
        <v>4.9189814814814816E-3</v>
      </c>
      <c r="L727" s="5">
        <f>1708 / 86400</f>
        <v>1.9768518518518519E-2</v>
      </c>
    </row>
    <row r="728" spans="1:12" x14ac:dyDescent="0.25">
      <c r="A728" s="3">
        <v>45709.501979166671</v>
      </c>
      <c r="B728" t="s">
        <v>403</v>
      </c>
      <c r="C728" s="3">
        <v>45709.62736111111</v>
      </c>
      <c r="D728" t="s">
        <v>306</v>
      </c>
      <c r="E728" s="4">
        <v>48.026000000000003</v>
      </c>
      <c r="F728" s="4">
        <v>388270.07900000003</v>
      </c>
      <c r="G728" s="4">
        <v>388318.10499999998</v>
      </c>
      <c r="H728" s="5">
        <f>3841 / 86400</f>
        <v>4.445601851851852E-2</v>
      </c>
      <c r="I728" t="s">
        <v>71</v>
      </c>
      <c r="J728" t="s">
        <v>28</v>
      </c>
      <c r="K728" s="5">
        <f>10833 / 86400</f>
        <v>0.12538194444444445</v>
      </c>
      <c r="L728" s="5">
        <f>148 / 86400</f>
        <v>1.712962962962963E-3</v>
      </c>
    </row>
    <row r="729" spans="1:12" x14ac:dyDescent="0.25">
      <c r="A729" s="3">
        <v>45709.629074074073</v>
      </c>
      <c r="B729" t="s">
        <v>306</v>
      </c>
      <c r="C729" s="3">
        <v>45709.75513888889</v>
      </c>
      <c r="D729" t="s">
        <v>34</v>
      </c>
      <c r="E729" s="4">
        <v>57.262999999999998</v>
      </c>
      <c r="F729" s="4">
        <v>388318.10499999998</v>
      </c>
      <c r="G729" s="4">
        <v>388375.36800000002</v>
      </c>
      <c r="H729" s="5">
        <f>2880 / 86400</f>
        <v>3.3333333333333333E-2</v>
      </c>
      <c r="I729" t="s">
        <v>35</v>
      </c>
      <c r="J729" t="s">
        <v>77</v>
      </c>
      <c r="K729" s="5">
        <f>10891 / 86400</f>
        <v>0.12605324074074073</v>
      </c>
      <c r="L729" s="5">
        <f>1057 / 86400</f>
        <v>1.2233796296296296E-2</v>
      </c>
    </row>
    <row r="730" spans="1:12" x14ac:dyDescent="0.25">
      <c r="A730" s="3">
        <v>45709.767372685186</v>
      </c>
      <c r="B730" t="s">
        <v>78</v>
      </c>
      <c r="C730" s="3">
        <v>45709.767395833333</v>
      </c>
      <c r="D730" t="s">
        <v>78</v>
      </c>
      <c r="E730" s="4">
        <v>0</v>
      </c>
      <c r="F730" s="4">
        <v>388375.36800000002</v>
      </c>
      <c r="G730" s="4">
        <v>388375.36800000002</v>
      </c>
      <c r="H730" s="5">
        <f>0 / 86400</f>
        <v>0</v>
      </c>
      <c r="I730" t="s">
        <v>48</v>
      </c>
      <c r="J730" t="s">
        <v>48</v>
      </c>
      <c r="K730" s="5">
        <f>1 / 86400</f>
        <v>1.1574074074074073E-5</v>
      </c>
      <c r="L730" s="5">
        <f>2 / 86400</f>
        <v>2.3148148148148147E-5</v>
      </c>
    </row>
    <row r="731" spans="1:12" x14ac:dyDescent="0.25">
      <c r="A731" s="3">
        <v>45709.767418981486</v>
      </c>
      <c r="B731" t="s">
        <v>78</v>
      </c>
      <c r="C731" s="3">
        <v>45709.77208333333</v>
      </c>
      <c r="D731" t="s">
        <v>34</v>
      </c>
      <c r="E731" s="4">
        <v>1.361</v>
      </c>
      <c r="F731" s="4">
        <v>388375.36800000002</v>
      </c>
      <c r="G731" s="4">
        <v>388376.72899999999</v>
      </c>
      <c r="H731" s="5">
        <f>180 / 86400</f>
        <v>2.0833333333333333E-3</v>
      </c>
      <c r="I731" t="s">
        <v>182</v>
      </c>
      <c r="J731" t="s">
        <v>55</v>
      </c>
      <c r="K731" s="5">
        <f>403 / 86400</f>
        <v>4.6643518518518518E-3</v>
      </c>
      <c r="L731" s="5">
        <f>850 / 86400</f>
        <v>9.8379629629629633E-3</v>
      </c>
    </row>
    <row r="732" spans="1:12" x14ac:dyDescent="0.25">
      <c r="A732" s="3">
        <v>45709.781921296293</v>
      </c>
      <c r="B732" t="s">
        <v>34</v>
      </c>
      <c r="C732" s="3">
        <v>45709.782106481478</v>
      </c>
      <c r="D732" t="s">
        <v>34</v>
      </c>
      <c r="E732" s="4">
        <v>0</v>
      </c>
      <c r="F732" s="4">
        <v>388376.72899999999</v>
      </c>
      <c r="G732" s="4">
        <v>388376.72899999999</v>
      </c>
      <c r="H732" s="5">
        <f>0 / 86400</f>
        <v>0</v>
      </c>
      <c r="I732" t="s">
        <v>48</v>
      </c>
      <c r="J732" t="s">
        <v>48</v>
      </c>
      <c r="K732" s="5">
        <f>15 / 86400</f>
        <v>1.7361111111111112E-4</v>
      </c>
      <c r="L732" s="5">
        <f>18825 / 86400</f>
        <v>0.21788194444444445</v>
      </c>
    </row>
    <row r="733" spans="1:12" x14ac:dyDescent="0.25">
      <c r="A733" s="12"/>
      <c r="B733" s="12"/>
      <c r="C733" s="12"/>
      <c r="D733" s="12"/>
      <c r="E733" s="12"/>
      <c r="F733" s="12"/>
      <c r="G733" s="12"/>
      <c r="H733" s="12"/>
      <c r="I733" s="12"/>
      <c r="J733" s="12"/>
    </row>
    <row r="734" spans="1:12" x14ac:dyDescent="0.25">
      <c r="A734" s="12"/>
      <c r="B734" s="12"/>
      <c r="C734" s="12"/>
      <c r="D734" s="12"/>
      <c r="E734" s="12"/>
      <c r="F734" s="12"/>
      <c r="G734" s="12"/>
      <c r="H734" s="12"/>
      <c r="I734" s="12"/>
      <c r="J734" s="12"/>
    </row>
    <row r="735" spans="1:12" s="10" customFormat="1" ht="20.100000000000001" customHeight="1" x14ac:dyDescent="0.35">
      <c r="A735" s="15" t="s">
        <v>472</v>
      </c>
      <c r="B735" s="15"/>
      <c r="C735" s="15"/>
      <c r="D735" s="15"/>
      <c r="E735" s="15"/>
      <c r="F735" s="15"/>
      <c r="G735" s="15"/>
      <c r="H735" s="15"/>
      <c r="I735" s="15"/>
      <c r="J735" s="15"/>
    </row>
    <row r="736" spans="1:12" x14ac:dyDescent="0.25">
      <c r="A736" s="12"/>
      <c r="B736" s="12"/>
      <c r="C736" s="12"/>
      <c r="D736" s="12"/>
      <c r="E736" s="12"/>
      <c r="F736" s="12"/>
      <c r="G736" s="12"/>
      <c r="H736" s="12"/>
      <c r="I736" s="12"/>
      <c r="J736" s="12"/>
    </row>
    <row r="737" spans="1:12" ht="30" x14ac:dyDescent="0.25">
      <c r="A737" s="2" t="s">
        <v>6</v>
      </c>
      <c r="B737" s="2" t="s">
        <v>7</v>
      </c>
      <c r="C737" s="2" t="s">
        <v>8</v>
      </c>
      <c r="D737" s="2" t="s">
        <v>9</v>
      </c>
      <c r="E737" s="2" t="s">
        <v>10</v>
      </c>
      <c r="F737" s="2" t="s">
        <v>11</v>
      </c>
      <c r="G737" s="2" t="s">
        <v>12</v>
      </c>
      <c r="H737" s="2" t="s">
        <v>13</v>
      </c>
      <c r="I737" s="2" t="s">
        <v>14</v>
      </c>
      <c r="J737" s="2" t="s">
        <v>15</v>
      </c>
      <c r="K737" s="2" t="s">
        <v>16</v>
      </c>
      <c r="L737" s="2" t="s">
        <v>17</v>
      </c>
    </row>
    <row r="738" spans="1:12" x14ac:dyDescent="0.25">
      <c r="A738" s="3">
        <v>45709.146874999999</v>
      </c>
      <c r="B738" t="s">
        <v>61</v>
      </c>
      <c r="C738" s="3">
        <v>45709.304120370369</v>
      </c>
      <c r="D738" t="s">
        <v>403</v>
      </c>
      <c r="E738" s="4">
        <v>81.694999999940393</v>
      </c>
      <c r="F738" s="4">
        <v>524997.58600000001</v>
      </c>
      <c r="G738" s="4">
        <v>525079.28099999996</v>
      </c>
      <c r="H738" s="5">
        <f>3119 / 86400</f>
        <v>3.6099537037037034E-2</v>
      </c>
      <c r="I738" t="s">
        <v>62</v>
      </c>
      <c r="J738" t="s">
        <v>143</v>
      </c>
      <c r="K738" s="5">
        <f>13586 / 86400</f>
        <v>0.15724537037037037</v>
      </c>
      <c r="L738" s="5">
        <f>13824 / 86400</f>
        <v>0.16</v>
      </c>
    </row>
    <row r="739" spans="1:12" x14ac:dyDescent="0.25">
      <c r="A739" s="3">
        <v>45709.317245370374</v>
      </c>
      <c r="B739" t="s">
        <v>403</v>
      </c>
      <c r="C739" s="3">
        <v>45709.583680555559</v>
      </c>
      <c r="D739" t="s">
        <v>70</v>
      </c>
      <c r="E739" s="4">
        <v>101.78400000000001</v>
      </c>
      <c r="F739" s="4">
        <v>525079.28099999996</v>
      </c>
      <c r="G739" s="4">
        <v>525181.06499999994</v>
      </c>
      <c r="H739" s="5">
        <f>7519 / 86400</f>
        <v>8.7025462962962957E-2</v>
      </c>
      <c r="I739" t="s">
        <v>165</v>
      </c>
      <c r="J739" t="s">
        <v>28</v>
      </c>
      <c r="K739" s="5">
        <f>23019 / 86400</f>
        <v>0.26642361111111112</v>
      </c>
      <c r="L739" s="5">
        <f>4375 / 86400</f>
        <v>5.0636574074074077E-2</v>
      </c>
    </row>
    <row r="740" spans="1:12" x14ac:dyDescent="0.25">
      <c r="A740" s="3">
        <v>45709.634317129632</v>
      </c>
      <c r="B740" t="s">
        <v>70</v>
      </c>
      <c r="C740" s="3">
        <v>45709.634652777779</v>
      </c>
      <c r="D740" t="s">
        <v>70</v>
      </c>
      <c r="E740" s="4">
        <v>0</v>
      </c>
      <c r="F740" s="4">
        <v>525181.06499999994</v>
      </c>
      <c r="G740" s="4">
        <v>525181.06499999994</v>
      </c>
      <c r="H740" s="5">
        <f>19 / 86400</f>
        <v>2.199074074074074E-4</v>
      </c>
      <c r="I740" t="s">
        <v>48</v>
      </c>
      <c r="J740" t="s">
        <v>48</v>
      </c>
      <c r="K740" s="5">
        <f>29 / 86400</f>
        <v>3.3564814814814812E-4</v>
      </c>
      <c r="L740" s="5">
        <f>1764 / 86400</f>
        <v>2.0416666666666666E-2</v>
      </c>
    </row>
    <row r="741" spans="1:12" x14ac:dyDescent="0.25">
      <c r="A741" s="3">
        <v>45709.655069444445</v>
      </c>
      <c r="B741" t="s">
        <v>70</v>
      </c>
      <c r="C741" s="3">
        <v>45709.6566087963</v>
      </c>
      <c r="D741" t="s">
        <v>70</v>
      </c>
      <c r="E741" s="4">
        <v>2.3000000059604644E-2</v>
      </c>
      <c r="F741" s="4">
        <v>525181.06499999994</v>
      </c>
      <c r="G741" s="4">
        <v>525181.08799999999</v>
      </c>
      <c r="H741" s="5">
        <f>79 / 86400</f>
        <v>9.1435185185185185E-4</v>
      </c>
      <c r="I741" t="s">
        <v>121</v>
      </c>
      <c r="J741" t="s">
        <v>47</v>
      </c>
      <c r="K741" s="5">
        <f>132 / 86400</f>
        <v>1.5277777777777779E-3</v>
      </c>
      <c r="L741" s="5">
        <f>210 / 86400</f>
        <v>2.4305555555555556E-3</v>
      </c>
    </row>
    <row r="742" spans="1:12" x14ac:dyDescent="0.25">
      <c r="A742" s="3">
        <v>45709.659039351856</v>
      </c>
      <c r="B742" t="s">
        <v>70</v>
      </c>
      <c r="C742" s="3">
        <v>45709.719143518523</v>
      </c>
      <c r="D742" t="s">
        <v>189</v>
      </c>
      <c r="E742" s="4">
        <v>28.326000000000001</v>
      </c>
      <c r="F742" s="4">
        <v>525181.08799999999</v>
      </c>
      <c r="G742" s="4">
        <v>525209.41399999999</v>
      </c>
      <c r="H742" s="5">
        <f>1321 / 86400</f>
        <v>1.5289351851851853E-2</v>
      </c>
      <c r="I742" t="s">
        <v>131</v>
      </c>
      <c r="J742" t="s">
        <v>33</v>
      </c>
      <c r="K742" s="5">
        <f>5192 / 86400</f>
        <v>6.0092592592592593E-2</v>
      </c>
      <c r="L742" s="5">
        <f>1099 / 86400</f>
        <v>1.2719907407407407E-2</v>
      </c>
    </row>
    <row r="743" spans="1:12" x14ac:dyDescent="0.25">
      <c r="A743" s="3">
        <v>45709.731863425928</v>
      </c>
      <c r="B743" t="s">
        <v>189</v>
      </c>
      <c r="C743" s="3">
        <v>45709.7340162037</v>
      </c>
      <c r="D743" t="s">
        <v>61</v>
      </c>
      <c r="E743" s="4">
        <v>0.432</v>
      </c>
      <c r="F743" s="4">
        <v>525209.41399999999</v>
      </c>
      <c r="G743" s="4">
        <v>525209.84600000002</v>
      </c>
      <c r="H743" s="5">
        <f>40 / 86400</f>
        <v>4.6296296296296298E-4</v>
      </c>
      <c r="I743" t="s">
        <v>127</v>
      </c>
      <c r="J743" t="s">
        <v>59</v>
      </c>
      <c r="K743" s="5">
        <f>185 / 86400</f>
        <v>2.1412037037037038E-3</v>
      </c>
      <c r="L743" s="5">
        <f>22980 / 86400</f>
        <v>0.26597222222222222</v>
      </c>
    </row>
    <row r="744" spans="1:12" x14ac:dyDescent="0.25">
      <c r="A744" s="12"/>
      <c r="B744" s="12"/>
      <c r="C744" s="12"/>
      <c r="D744" s="12"/>
      <c r="E744" s="12"/>
      <c r="F744" s="12"/>
      <c r="G744" s="12"/>
      <c r="H744" s="12"/>
      <c r="I744" s="12"/>
      <c r="J744" s="12"/>
    </row>
    <row r="745" spans="1:12" x14ac:dyDescent="0.25">
      <c r="A745" s="12"/>
      <c r="B745" s="12"/>
      <c r="C745" s="12"/>
      <c r="D745" s="12"/>
      <c r="E745" s="12"/>
      <c r="F745" s="12"/>
      <c r="G745" s="12"/>
      <c r="H745" s="12"/>
      <c r="I745" s="12"/>
      <c r="J745" s="12"/>
    </row>
    <row r="746" spans="1:12" s="10" customFormat="1" ht="20.100000000000001" customHeight="1" x14ac:dyDescent="0.35">
      <c r="A746" s="15" t="s">
        <v>473</v>
      </c>
      <c r="B746" s="15"/>
      <c r="C746" s="15"/>
      <c r="D746" s="15"/>
      <c r="E746" s="15"/>
      <c r="F746" s="15"/>
      <c r="G746" s="15"/>
      <c r="H746" s="15"/>
      <c r="I746" s="15"/>
      <c r="J746" s="15"/>
    </row>
    <row r="747" spans="1:12" x14ac:dyDescent="0.25">
      <c r="A747" s="12"/>
      <c r="B747" s="12"/>
      <c r="C747" s="12"/>
      <c r="D747" s="12"/>
      <c r="E747" s="12"/>
      <c r="F747" s="12"/>
      <c r="G747" s="12"/>
      <c r="H747" s="12"/>
      <c r="I747" s="12"/>
      <c r="J747" s="12"/>
    </row>
    <row r="748" spans="1:12" ht="30" x14ac:dyDescent="0.25">
      <c r="A748" s="2" t="s">
        <v>6</v>
      </c>
      <c r="B748" s="2" t="s">
        <v>7</v>
      </c>
      <c r="C748" s="2" t="s">
        <v>8</v>
      </c>
      <c r="D748" s="2" t="s">
        <v>9</v>
      </c>
      <c r="E748" s="2" t="s">
        <v>10</v>
      </c>
      <c r="F748" s="2" t="s">
        <v>11</v>
      </c>
      <c r="G748" s="2" t="s">
        <v>12</v>
      </c>
      <c r="H748" s="2" t="s">
        <v>13</v>
      </c>
      <c r="I748" s="2" t="s">
        <v>14</v>
      </c>
      <c r="J748" s="2" t="s">
        <v>15</v>
      </c>
      <c r="K748" s="2" t="s">
        <v>16</v>
      </c>
      <c r="L748" s="2" t="s">
        <v>17</v>
      </c>
    </row>
    <row r="749" spans="1:12" x14ac:dyDescent="0.25">
      <c r="A749" s="3">
        <v>45709</v>
      </c>
      <c r="B749" t="s">
        <v>63</v>
      </c>
      <c r="C749" s="3">
        <v>45709.069722222222</v>
      </c>
      <c r="D749" t="s">
        <v>64</v>
      </c>
      <c r="E749" s="4">
        <v>41.453000000000003</v>
      </c>
      <c r="F749" s="4">
        <v>413006.26199999999</v>
      </c>
      <c r="G749" s="4">
        <v>413047.71500000003</v>
      </c>
      <c r="H749" s="5">
        <f>820 / 86400</f>
        <v>9.4907407407407406E-3</v>
      </c>
      <c r="I749" t="s">
        <v>65</v>
      </c>
      <c r="J749" t="s">
        <v>66</v>
      </c>
      <c r="K749" s="5">
        <f>6024 / 86400</f>
        <v>6.9722222222222227E-2</v>
      </c>
      <c r="L749" s="5">
        <f>80375 / 86400</f>
        <v>0.93026620370370372</v>
      </c>
    </row>
    <row r="750" spans="1:12" x14ac:dyDescent="0.25">
      <c r="A750" s="12"/>
      <c r="B750" s="12"/>
      <c r="C750" s="12"/>
      <c r="D750" s="12"/>
      <c r="E750" s="12"/>
      <c r="F750" s="12"/>
      <c r="G750" s="12"/>
      <c r="H750" s="12"/>
      <c r="I750" s="12"/>
      <c r="J750" s="12"/>
    </row>
    <row r="751" spans="1:12" x14ac:dyDescent="0.25">
      <c r="A751" s="12"/>
      <c r="B751" s="12"/>
      <c r="C751" s="12"/>
      <c r="D751" s="12"/>
      <c r="E751" s="12"/>
      <c r="F751" s="12"/>
      <c r="G751" s="12"/>
      <c r="H751" s="12"/>
      <c r="I751" s="12"/>
      <c r="J751" s="12"/>
    </row>
    <row r="752" spans="1:12" s="10" customFormat="1" ht="20.100000000000001" customHeight="1" x14ac:dyDescent="0.35">
      <c r="A752" s="15" t="s">
        <v>474</v>
      </c>
      <c r="B752" s="15"/>
      <c r="C752" s="15"/>
      <c r="D752" s="15"/>
      <c r="E752" s="15"/>
      <c r="F752" s="15"/>
      <c r="G752" s="15"/>
      <c r="H752" s="15"/>
      <c r="I752" s="15"/>
      <c r="J752" s="15"/>
    </row>
    <row r="753" spans="1:12" x14ac:dyDescent="0.25">
      <c r="A753" s="12"/>
      <c r="B753" s="12"/>
      <c r="C753" s="12"/>
      <c r="D753" s="12"/>
      <c r="E753" s="12"/>
      <c r="F753" s="12"/>
      <c r="G753" s="12"/>
      <c r="H753" s="12"/>
      <c r="I753" s="12"/>
      <c r="J753" s="12"/>
    </row>
    <row r="754" spans="1:12" ht="30" x14ac:dyDescent="0.25">
      <c r="A754" s="2" t="s">
        <v>6</v>
      </c>
      <c r="B754" s="2" t="s">
        <v>7</v>
      </c>
      <c r="C754" s="2" t="s">
        <v>8</v>
      </c>
      <c r="D754" s="2" t="s">
        <v>9</v>
      </c>
      <c r="E754" s="2" t="s">
        <v>10</v>
      </c>
      <c r="F754" s="2" t="s">
        <v>11</v>
      </c>
      <c r="G754" s="2" t="s">
        <v>12</v>
      </c>
      <c r="H754" s="2" t="s">
        <v>13</v>
      </c>
      <c r="I754" s="2" t="s">
        <v>14</v>
      </c>
      <c r="J754" s="2" t="s">
        <v>15</v>
      </c>
      <c r="K754" s="2" t="s">
        <v>16</v>
      </c>
      <c r="L754" s="2" t="s">
        <v>17</v>
      </c>
    </row>
    <row r="755" spans="1:12" x14ac:dyDescent="0.25">
      <c r="A755" s="3">
        <v>45709.240613425922</v>
      </c>
      <c r="B755" t="s">
        <v>67</v>
      </c>
      <c r="C755" s="3">
        <v>45709.247152777782</v>
      </c>
      <c r="D755" t="s">
        <v>151</v>
      </c>
      <c r="E755" s="4">
        <v>1.071</v>
      </c>
      <c r="F755" s="4">
        <v>404141.951</v>
      </c>
      <c r="G755" s="4">
        <v>404143.022</v>
      </c>
      <c r="H755" s="5">
        <f>279 / 86400</f>
        <v>3.2291666666666666E-3</v>
      </c>
      <c r="I755" t="s">
        <v>182</v>
      </c>
      <c r="J755" t="s">
        <v>88</v>
      </c>
      <c r="K755" s="5">
        <f>564 / 86400</f>
        <v>6.5277777777777782E-3</v>
      </c>
      <c r="L755" s="5">
        <f>20919 / 86400</f>
        <v>0.24211805555555554</v>
      </c>
    </row>
    <row r="756" spans="1:12" x14ac:dyDescent="0.25">
      <c r="A756" s="3">
        <v>45709.248657407406</v>
      </c>
      <c r="B756" t="s">
        <v>151</v>
      </c>
      <c r="C756" s="3">
        <v>45709.358541666668</v>
      </c>
      <c r="D756" t="s">
        <v>285</v>
      </c>
      <c r="E756" s="4">
        <v>50.106000000000002</v>
      </c>
      <c r="F756" s="4">
        <v>404143.022</v>
      </c>
      <c r="G756" s="4">
        <v>404193.12800000003</v>
      </c>
      <c r="H756" s="5">
        <f>2819 / 86400</f>
        <v>3.2627314814814817E-2</v>
      </c>
      <c r="I756" t="s">
        <v>68</v>
      </c>
      <c r="J756" t="s">
        <v>77</v>
      </c>
      <c r="K756" s="5">
        <f>9494 / 86400</f>
        <v>0.10988425925925926</v>
      </c>
      <c r="L756" s="5">
        <f>319 / 86400</f>
        <v>3.6921296296296298E-3</v>
      </c>
    </row>
    <row r="757" spans="1:12" x14ac:dyDescent="0.25">
      <c r="A757" s="3">
        <v>45709.362233796295</v>
      </c>
      <c r="B757" t="s">
        <v>285</v>
      </c>
      <c r="C757" s="3">
        <v>45709.476597222223</v>
      </c>
      <c r="D757" t="s">
        <v>70</v>
      </c>
      <c r="E757" s="4">
        <v>49.814999999999998</v>
      </c>
      <c r="F757" s="4">
        <v>404193.12800000003</v>
      </c>
      <c r="G757" s="4">
        <v>404242.94300000003</v>
      </c>
      <c r="H757" s="5">
        <f>3200 / 86400</f>
        <v>3.7037037037037035E-2</v>
      </c>
      <c r="I757" t="s">
        <v>167</v>
      </c>
      <c r="J757" t="s">
        <v>20</v>
      </c>
      <c r="K757" s="5">
        <f>9880 / 86400</f>
        <v>0.11435185185185186</v>
      </c>
      <c r="L757" s="5">
        <f>679 / 86400</f>
        <v>7.858796296296296E-3</v>
      </c>
    </row>
    <row r="758" spans="1:12" x14ac:dyDescent="0.25">
      <c r="A758" s="3">
        <v>45709.484456018516</v>
      </c>
      <c r="B758" t="s">
        <v>140</v>
      </c>
      <c r="C758" s="3">
        <v>45709.487928240742</v>
      </c>
      <c r="D758" t="s">
        <v>46</v>
      </c>
      <c r="E758" s="4">
        <v>0.86899999999999999</v>
      </c>
      <c r="F758" s="4">
        <v>404242.94300000003</v>
      </c>
      <c r="G758" s="4">
        <v>404243.81199999998</v>
      </c>
      <c r="H758" s="5">
        <f>99 / 86400</f>
        <v>1.1458333333333333E-3</v>
      </c>
      <c r="I758" t="s">
        <v>235</v>
      </c>
      <c r="J758" t="s">
        <v>60</v>
      </c>
      <c r="K758" s="5">
        <f>300 / 86400</f>
        <v>3.472222222222222E-3</v>
      </c>
      <c r="L758" s="5">
        <f>1583 / 86400</f>
        <v>1.832175925925926E-2</v>
      </c>
    </row>
    <row r="759" spans="1:12" x14ac:dyDescent="0.25">
      <c r="A759" s="3">
        <v>45709.506249999999</v>
      </c>
      <c r="B759" t="s">
        <v>46</v>
      </c>
      <c r="C759" s="3">
        <v>45709.509050925924</v>
      </c>
      <c r="D759" t="s">
        <v>126</v>
      </c>
      <c r="E759" s="4">
        <v>0.78700000000000003</v>
      </c>
      <c r="F759" s="4">
        <v>404243.81199999998</v>
      </c>
      <c r="G759" s="4">
        <v>404244.59899999999</v>
      </c>
      <c r="H759" s="5">
        <f>0 / 86400</f>
        <v>0</v>
      </c>
      <c r="I759" t="s">
        <v>52</v>
      </c>
      <c r="J759" t="s">
        <v>55</v>
      </c>
      <c r="K759" s="5">
        <f>242 / 86400</f>
        <v>2.8009259259259259E-3</v>
      </c>
      <c r="L759" s="5">
        <f>496 / 86400</f>
        <v>5.7407407407407407E-3</v>
      </c>
    </row>
    <row r="760" spans="1:12" x14ac:dyDescent="0.25">
      <c r="A760" s="3">
        <v>45709.514791666668</v>
      </c>
      <c r="B760" t="s">
        <v>126</v>
      </c>
      <c r="C760" s="3">
        <v>45709.653877314813</v>
      </c>
      <c r="D760" t="s">
        <v>417</v>
      </c>
      <c r="E760" s="4">
        <v>51.220999999999997</v>
      </c>
      <c r="F760" s="4">
        <v>404244.59899999999</v>
      </c>
      <c r="G760" s="4">
        <v>404295.82</v>
      </c>
      <c r="H760" s="5">
        <f>4319 / 86400</f>
        <v>4.9988425925925929E-2</v>
      </c>
      <c r="I760" t="s">
        <v>165</v>
      </c>
      <c r="J760" t="s">
        <v>41</v>
      </c>
      <c r="K760" s="5">
        <f>12017 / 86400</f>
        <v>0.13908564814814814</v>
      </c>
      <c r="L760" s="5">
        <f>213 / 86400</f>
        <v>2.4652777777777776E-3</v>
      </c>
    </row>
    <row r="761" spans="1:12" x14ac:dyDescent="0.25">
      <c r="A761" s="3">
        <v>45709.656342592592</v>
      </c>
      <c r="B761" t="s">
        <v>418</v>
      </c>
      <c r="C761" s="3">
        <v>45709.793912037036</v>
      </c>
      <c r="D761" t="s">
        <v>70</v>
      </c>
      <c r="E761" s="4">
        <v>50.654000000000003</v>
      </c>
      <c r="F761" s="4">
        <v>404295.82</v>
      </c>
      <c r="G761" s="4">
        <v>404346.47399999999</v>
      </c>
      <c r="H761" s="5">
        <f>3840 / 86400</f>
        <v>4.4444444444444446E-2</v>
      </c>
      <c r="I761" t="s">
        <v>65</v>
      </c>
      <c r="J761" t="s">
        <v>41</v>
      </c>
      <c r="K761" s="5">
        <f>11886 / 86400</f>
        <v>0.13756944444444444</v>
      </c>
      <c r="L761" s="5">
        <f>268 / 86400</f>
        <v>3.1018518518518517E-3</v>
      </c>
    </row>
    <row r="762" spans="1:12" x14ac:dyDescent="0.25">
      <c r="A762" s="3">
        <v>45709.797013888892</v>
      </c>
      <c r="B762" t="s">
        <v>70</v>
      </c>
      <c r="C762" s="3">
        <v>45709.79896990741</v>
      </c>
      <c r="D762" t="s">
        <v>352</v>
      </c>
      <c r="E762" s="4">
        <v>0.33700000000000002</v>
      </c>
      <c r="F762" s="4">
        <v>404346.47399999999</v>
      </c>
      <c r="G762" s="4">
        <v>404346.81099999999</v>
      </c>
      <c r="H762" s="5">
        <f>60 / 86400</f>
        <v>6.9444444444444447E-4</v>
      </c>
      <c r="I762" t="s">
        <v>20</v>
      </c>
      <c r="J762" t="s">
        <v>88</v>
      </c>
      <c r="K762" s="5">
        <f>168 / 86400</f>
        <v>1.9444444444444444E-3</v>
      </c>
      <c r="L762" s="5">
        <f>335 / 86400</f>
        <v>3.8773148148148148E-3</v>
      </c>
    </row>
    <row r="763" spans="1:12" x14ac:dyDescent="0.25">
      <c r="A763" s="3">
        <v>45709.802847222221</v>
      </c>
      <c r="B763" t="s">
        <v>352</v>
      </c>
      <c r="C763" s="3">
        <v>45709.80773148148</v>
      </c>
      <c r="D763" t="s">
        <v>67</v>
      </c>
      <c r="E763" s="4">
        <v>0.47499999999999998</v>
      </c>
      <c r="F763" s="4">
        <v>404346.81099999999</v>
      </c>
      <c r="G763" s="4">
        <v>404347.28600000002</v>
      </c>
      <c r="H763" s="5">
        <f>259 / 86400</f>
        <v>2.9976851851851853E-3</v>
      </c>
      <c r="I763" t="s">
        <v>143</v>
      </c>
      <c r="J763" t="s">
        <v>30</v>
      </c>
      <c r="K763" s="5">
        <f>422 / 86400</f>
        <v>4.8842592592592592E-3</v>
      </c>
      <c r="L763" s="5">
        <f>16611 / 86400</f>
        <v>0.19225694444444444</v>
      </c>
    </row>
    <row r="764" spans="1:12" x14ac:dyDescent="0.25">
      <c r="A764" s="12"/>
      <c r="B764" s="12"/>
      <c r="C764" s="12"/>
      <c r="D764" s="12"/>
      <c r="E764" s="12"/>
      <c r="F764" s="12"/>
      <c r="G764" s="12"/>
      <c r="H764" s="12"/>
      <c r="I764" s="12"/>
      <c r="J764" s="12"/>
    </row>
    <row r="765" spans="1:12" x14ac:dyDescent="0.25">
      <c r="A765" s="12"/>
      <c r="B765" s="12"/>
      <c r="C765" s="12"/>
      <c r="D765" s="12"/>
      <c r="E765" s="12"/>
      <c r="F765" s="12"/>
      <c r="G765" s="12"/>
      <c r="H765" s="12"/>
      <c r="I765" s="12"/>
      <c r="J765" s="12"/>
    </row>
    <row r="766" spans="1:12" s="10" customFormat="1" ht="20.100000000000001" customHeight="1" x14ac:dyDescent="0.35">
      <c r="A766" s="15" t="s">
        <v>475</v>
      </c>
      <c r="B766" s="15"/>
      <c r="C766" s="15"/>
      <c r="D766" s="15"/>
      <c r="E766" s="15"/>
      <c r="F766" s="15"/>
      <c r="G766" s="15"/>
      <c r="H766" s="15"/>
      <c r="I766" s="15"/>
      <c r="J766" s="15"/>
    </row>
    <row r="767" spans="1:12" x14ac:dyDescent="0.25">
      <c r="A767" s="12"/>
      <c r="B767" s="12"/>
      <c r="C767" s="12"/>
      <c r="D767" s="12"/>
      <c r="E767" s="12"/>
      <c r="F767" s="12"/>
      <c r="G767" s="12"/>
      <c r="H767" s="12"/>
      <c r="I767" s="12"/>
      <c r="J767" s="12"/>
    </row>
    <row r="768" spans="1:12" ht="30" x14ac:dyDescent="0.25">
      <c r="A768" s="2" t="s">
        <v>6</v>
      </c>
      <c r="B768" s="2" t="s">
        <v>7</v>
      </c>
      <c r="C768" s="2" t="s">
        <v>8</v>
      </c>
      <c r="D768" s="2" t="s">
        <v>9</v>
      </c>
      <c r="E768" s="2" t="s">
        <v>10</v>
      </c>
      <c r="F768" s="2" t="s">
        <v>11</v>
      </c>
      <c r="G768" s="2" t="s">
        <v>12</v>
      </c>
      <c r="H768" s="2" t="s">
        <v>13</v>
      </c>
      <c r="I768" s="2" t="s">
        <v>14</v>
      </c>
      <c r="J768" s="2" t="s">
        <v>15</v>
      </c>
      <c r="K768" s="2" t="s">
        <v>16</v>
      </c>
      <c r="L768" s="2" t="s">
        <v>17</v>
      </c>
    </row>
    <row r="769" spans="1:12" x14ac:dyDescent="0.25">
      <c r="A769" s="3">
        <v>45709.277372685188</v>
      </c>
      <c r="B769" t="s">
        <v>69</v>
      </c>
      <c r="C769" s="3">
        <v>45709.355266203704</v>
      </c>
      <c r="D769" t="s">
        <v>70</v>
      </c>
      <c r="E769" s="4">
        <v>34.841999999999999</v>
      </c>
      <c r="F769" s="4">
        <v>408328.14899999998</v>
      </c>
      <c r="G769" s="4">
        <v>408362.99099999998</v>
      </c>
      <c r="H769" s="5">
        <f>2039 / 86400</f>
        <v>2.3599537037037037E-2</v>
      </c>
      <c r="I769" t="s">
        <v>71</v>
      </c>
      <c r="J769" t="s">
        <v>77</v>
      </c>
      <c r="K769" s="5">
        <f>6729 / 86400</f>
        <v>7.7881944444444448E-2</v>
      </c>
      <c r="L769" s="5">
        <f>24004 / 86400</f>
        <v>0.27782407407407406</v>
      </c>
    </row>
    <row r="770" spans="1:12" x14ac:dyDescent="0.25">
      <c r="A770" s="3">
        <v>45709.355717592596</v>
      </c>
      <c r="B770" t="s">
        <v>70</v>
      </c>
      <c r="C770" s="3">
        <v>45709.356157407412</v>
      </c>
      <c r="D770" t="s">
        <v>70</v>
      </c>
      <c r="E770" s="4">
        <v>0</v>
      </c>
      <c r="F770" s="4">
        <v>408362.99099999998</v>
      </c>
      <c r="G770" s="4">
        <v>408362.99099999998</v>
      </c>
      <c r="H770" s="5">
        <f>19 / 86400</f>
        <v>2.199074074074074E-4</v>
      </c>
      <c r="I770" t="s">
        <v>48</v>
      </c>
      <c r="J770" t="s">
        <v>48</v>
      </c>
      <c r="K770" s="5">
        <f>38 / 86400</f>
        <v>4.3981481481481481E-4</v>
      </c>
      <c r="L770" s="5">
        <f>1388 / 86400</f>
        <v>1.6064814814814816E-2</v>
      </c>
    </row>
    <row r="771" spans="1:12" x14ac:dyDescent="0.25">
      <c r="A771" s="3">
        <v>45709.37222222222</v>
      </c>
      <c r="B771" t="s">
        <v>70</v>
      </c>
      <c r="C771" s="3">
        <v>45709.373159722221</v>
      </c>
      <c r="D771" t="s">
        <v>70</v>
      </c>
      <c r="E771" s="4">
        <v>0.01</v>
      </c>
      <c r="F771" s="4">
        <v>408362.99099999998</v>
      </c>
      <c r="G771" s="4">
        <v>408363.00099999999</v>
      </c>
      <c r="H771" s="5">
        <f>39 / 86400</f>
        <v>4.5138888888888887E-4</v>
      </c>
      <c r="I771" t="s">
        <v>47</v>
      </c>
      <c r="J771" t="s">
        <v>48</v>
      </c>
      <c r="K771" s="5">
        <f>81 / 86400</f>
        <v>9.3749999999999997E-4</v>
      </c>
      <c r="L771" s="5">
        <f>12326 / 86400</f>
        <v>0.14266203703703703</v>
      </c>
    </row>
    <row r="772" spans="1:12" x14ac:dyDescent="0.25">
      <c r="A772" s="12"/>
      <c r="B772" s="12"/>
      <c r="C772" s="12"/>
      <c r="D772" s="12"/>
      <c r="E772" s="12"/>
      <c r="F772" s="12"/>
      <c r="G772" s="12"/>
      <c r="H772" s="12"/>
      <c r="I772" s="12"/>
      <c r="J772" s="12"/>
    </row>
    <row r="773" spans="1:12" x14ac:dyDescent="0.25">
      <c r="A773" s="12"/>
      <c r="B773" s="12"/>
      <c r="C773" s="12"/>
      <c r="D773" s="12"/>
      <c r="E773" s="12"/>
      <c r="F773" s="12"/>
      <c r="G773" s="12"/>
      <c r="H773" s="12"/>
      <c r="I773" s="12"/>
      <c r="J773" s="12"/>
    </row>
    <row r="774" spans="1:12" s="10" customFormat="1" ht="20.100000000000001" customHeight="1" x14ac:dyDescent="0.35">
      <c r="A774" s="15" t="s">
        <v>476</v>
      </c>
      <c r="B774" s="15"/>
      <c r="C774" s="15"/>
      <c r="D774" s="15"/>
      <c r="E774" s="15"/>
      <c r="F774" s="15"/>
      <c r="G774" s="15"/>
      <c r="H774" s="15"/>
      <c r="I774" s="15"/>
      <c r="J774" s="15"/>
    </row>
    <row r="775" spans="1:12" x14ac:dyDescent="0.25">
      <c r="A775" s="12"/>
      <c r="B775" s="12"/>
      <c r="C775" s="12"/>
      <c r="D775" s="12"/>
      <c r="E775" s="12"/>
      <c r="F775" s="12"/>
      <c r="G775" s="12"/>
      <c r="H775" s="12"/>
      <c r="I775" s="12"/>
      <c r="J775" s="12"/>
    </row>
    <row r="776" spans="1:12" ht="30" x14ac:dyDescent="0.25">
      <c r="A776" s="2" t="s">
        <v>6</v>
      </c>
      <c r="B776" s="2" t="s">
        <v>7</v>
      </c>
      <c r="C776" s="2" t="s">
        <v>8</v>
      </c>
      <c r="D776" s="2" t="s">
        <v>9</v>
      </c>
      <c r="E776" s="2" t="s">
        <v>10</v>
      </c>
      <c r="F776" s="2" t="s">
        <v>11</v>
      </c>
      <c r="G776" s="2" t="s">
        <v>12</v>
      </c>
      <c r="H776" s="2" t="s">
        <v>13</v>
      </c>
      <c r="I776" s="2" t="s">
        <v>14</v>
      </c>
      <c r="J776" s="2" t="s">
        <v>15</v>
      </c>
      <c r="K776" s="2" t="s">
        <v>16</v>
      </c>
      <c r="L776" s="2" t="s">
        <v>17</v>
      </c>
    </row>
    <row r="777" spans="1:12" x14ac:dyDescent="0.25">
      <c r="A777" s="3">
        <v>45709.292638888888</v>
      </c>
      <c r="B777" t="s">
        <v>72</v>
      </c>
      <c r="C777" s="3">
        <v>45709.312013888892</v>
      </c>
      <c r="D777" t="s">
        <v>397</v>
      </c>
      <c r="E777" s="4">
        <v>5.5350000000000001</v>
      </c>
      <c r="F777" s="4">
        <v>348777.78</v>
      </c>
      <c r="G777" s="4">
        <v>348783.315</v>
      </c>
      <c r="H777" s="5">
        <f>619 / 86400</f>
        <v>7.1643518518518514E-3</v>
      </c>
      <c r="I777" t="s">
        <v>162</v>
      </c>
      <c r="J777" t="s">
        <v>55</v>
      </c>
      <c r="K777" s="5">
        <f>1673 / 86400</f>
        <v>1.9363425925925926E-2</v>
      </c>
      <c r="L777" s="5">
        <f>25642 / 86400</f>
        <v>0.29678240740740741</v>
      </c>
    </row>
    <row r="778" spans="1:12" x14ac:dyDescent="0.25">
      <c r="A778" s="3">
        <v>45709.316157407404</v>
      </c>
      <c r="B778" t="s">
        <v>397</v>
      </c>
      <c r="C778" s="3">
        <v>45709.404687499999</v>
      </c>
      <c r="D778" t="s">
        <v>70</v>
      </c>
      <c r="E778" s="4">
        <v>37.856000000000002</v>
      </c>
      <c r="F778" s="4">
        <v>348783.315</v>
      </c>
      <c r="G778" s="4">
        <v>348821.17099999997</v>
      </c>
      <c r="H778" s="5">
        <f>2279 / 86400</f>
        <v>2.6377314814814815E-2</v>
      </c>
      <c r="I778" t="s">
        <v>138</v>
      </c>
      <c r="J778" t="s">
        <v>20</v>
      </c>
      <c r="K778" s="5">
        <f>7649 / 86400</f>
        <v>8.8530092592592591E-2</v>
      </c>
      <c r="L778" s="5">
        <f>428 / 86400</f>
        <v>4.9537037037037041E-3</v>
      </c>
    </row>
    <row r="779" spans="1:12" x14ac:dyDescent="0.25">
      <c r="A779" s="3">
        <v>45709.409641203703</v>
      </c>
      <c r="B779" t="s">
        <v>70</v>
      </c>
      <c r="C779" s="3">
        <v>45709.415486111116</v>
      </c>
      <c r="D779" t="s">
        <v>126</v>
      </c>
      <c r="E779" s="4">
        <v>1.2989999999999999</v>
      </c>
      <c r="F779" s="4">
        <v>348821.17099999997</v>
      </c>
      <c r="G779" s="4">
        <v>348822.47</v>
      </c>
      <c r="H779" s="5">
        <f>139 / 86400</f>
        <v>1.6087962962962963E-3</v>
      </c>
      <c r="I779" t="s">
        <v>91</v>
      </c>
      <c r="J779" t="s">
        <v>125</v>
      </c>
      <c r="K779" s="5">
        <f>504 / 86400</f>
        <v>5.8333333333333336E-3</v>
      </c>
      <c r="L779" s="5">
        <f>5238 / 86400</f>
        <v>6.0624999999999998E-2</v>
      </c>
    </row>
    <row r="780" spans="1:12" x14ac:dyDescent="0.25">
      <c r="A780" s="3">
        <v>45709.476111111115</v>
      </c>
      <c r="B780" t="s">
        <v>126</v>
      </c>
      <c r="C780" s="3">
        <v>45709.715543981481</v>
      </c>
      <c r="D780" t="s">
        <v>72</v>
      </c>
      <c r="E780" s="4">
        <v>73.516000000000005</v>
      </c>
      <c r="F780" s="4">
        <v>348822.47</v>
      </c>
      <c r="G780" s="4">
        <v>348895.98599999998</v>
      </c>
      <c r="H780" s="5">
        <f>8440 / 86400</f>
        <v>9.768518518518518E-2</v>
      </c>
      <c r="I780" t="s">
        <v>73</v>
      </c>
      <c r="J780" t="s">
        <v>26</v>
      </c>
      <c r="K780" s="5">
        <f>20687 / 86400</f>
        <v>0.23943287037037037</v>
      </c>
      <c r="L780" s="5">
        <f>24576 / 86400</f>
        <v>0.28444444444444444</v>
      </c>
    </row>
    <row r="781" spans="1:12" x14ac:dyDescent="0.25">
      <c r="A781" s="12"/>
      <c r="B781" s="12"/>
      <c r="C781" s="12"/>
      <c r="D781" s="12"/>
      <c r="E781" s="12"/>
      <c r="F781" s="12"/>
      <c r="G781" s="12"/>
      <c r="H781" s="12"/>
      <c r="I781" s="12"/>
      <c r="J781" s="12"/>
    </row>
    <row r="782" spans="1:12" x14ac:dyDescent="0.25">
      <c r="A782" s="12"/>
      <c r="B782" s="12"/>
      <c r="C782" s="12"/>
      <c r="D782" s="12"/>
      <c r="E782" s="12"/>
      <c r="F782" s="12"/>
      <c r="G782" s="12"/>
      <c r="H782" s="12"/>
      <c r="I782" s="12"/>
      <c r="J782" s="12"/>
    </row>
    <row r="783" spans="1:12" s="10" customFormat="1" ht="20.100000000000001" customHeight="1" x14ac:dyDescent="0.35">
      <c r="A783" s="15" t="s">
        <v>477</v>
      </c>
      <c r="B783" s="15"/>
      <c r="C783" s="15"/>
      <c r="D783" s="15"/>
      <c r="E783" s="15"/>
      <c r="F783" s="15"/>
      <c r="G783" s="15"/>
      <c r="H783" s="15"/>
      <c r="I783" s="15"/>
      <c r="J783" s="15"/>
    </row>
    <row r="784" spans="1:12" x14ac:dyDescent="0.25">
      <c r="A784" s="12"/>
      <c r="B784" s="12"/>
      <c r="C784" s="12"/>
      <c r="D784" s="12"/>
      <c r="E784" s="12"/>
      <c r="F784" s="12"/>
      <c r="G784" s="12"/>
      <c r="H784" s="12"/>
      <c r="I784" s="12"/>
      <c r="J784" s="12"/>
    </row>
    <row r="785" spans="1:12" ht="30" x14ac:dyDescent="0.25">
      <c r="A785" s="2" t="s">
        <v>6</v>
      </c>
      <c r="B785" s="2" t="s">
        <v>7</v>
      </c>
      <c r="C785" s="2" t="s">
        <v>8</v>
      </c>
      <c r="D785" s="2" t="s">
        <v>9</v>
      </c>
      <c r="E785" s="2" t="s">
        <v>10</v>
      </c>
      <c r="F785" s="2" t="s">
        <v>11</v>
      </c>
      <c r="G785" s="2" t="s">
        <v>12</v>
      </c>
      <c r="H785" s="2" t="s">
        <v>13</v>
      </c>
      <c r="I785" s="2" t="s">
        <v>14</v>
      </c>
      <c r="J785" s="2" t="s">
        <v>15</v>
      </c>
      <c r="K785" s="2" t="s">
        <v>16</v>
      </c>
      <c r="L785" s="2" t="s">
        <v>17</v>
      </c>
    </row>
    <row r="786" spans="1:12" x14ac:dyDescent="0.25">
      <c r="A786" s="3">
        <v>45709.123078703706</v>
      </c>
      <c r="B786" t="s">
        <v>74</v>
      </c>
      <c r="C786" s="3">
        <v>45709.299351851849</v>
      </c>
      <c r="D786" t="s">
        <v>126</v>
      </c>
      <c r="E786" s="4">
        <v>91.353999999999999</v>
      </c>
      <c r="F786" s="4">
        <v>42503.646000000001</v>
      </c>
      <c r="G786" s="4">
        <v>42595</v>
      </c>
      <c r="H786" s="5">
        <f>3780 / 86400</f>
        <v>4.3749999999999997E-2</v>
      </c>
      <c r="I786" t="s">
        <v>130</v>
      </c>
      <c r="J786" t="s">
        <v>143</v>
      </c>
      <c r="K786" s="5">
        <f>15229 / 86400</f>
        <v>0.17626157407407408</v>
      </c>
      <c r="L786" s="5">
        <f>11028 / 86400</f>
        <v>0.12763888888888889</v>
      </c>
    </row>
    <row r="787" spans="1:12" x14ac:dyDescent="0.25">
      <c r="A787" s="3">
        <v>45709.303912037038</v>
      </c>
      <c r="B787" t="s">
        <v>126</v>
      </c>
      <c r="C787" s="3">
        <v>45709.309513888889</v>
      </c>
      <c r="D787" t="s">
        <v>113</v>
      </c>
      <c r="E787" s="4">
        <v>1.135</v>
      </c>
      <c r="F787" s="4">
        <v>42595</v>
      </c>
      <c r="G787" s="4">
        <v>42596.135000000002</v>
      </c>
      <c r="H787" s="5">
        <f>160 / 86400</f>
        <v>1.8518518518518519E-3</v>
      </c>
      <c r="I787" t="s">
        <v>127</v>
      </c>
      <c r="J787" t="s">
        <v>59</v>
      </c>
      <c r="K787" s="5">
        <f>484 / 86400</f>
        <v>5.6018518518518518E-3</v>
      </c>
      <c r="L787" s="5">
        <f>1851 / 86400</f>
        <v>2.1423611111111112E-2</v>
      </c>
    </row>
    <row r="788" spans="1:12" x14ac:dyDescent="0.25">
      <c r="A788" s="3">
        <v>45709.330937499995</v>
      </c>
      <c r="B788" t="s">
        <v>113</v>
      </c>
      <c r="C788" s="3">
        <v>45709.616238425922</v>
      </c>
      <c r="D788" t="s">
        <v>70</v>
      </c>
      <c r="E788" s="4">
        <v>102.371</v>
      </c>
      <c r="F788" s="4">
        <v>42596.135000000002</v>
      </c>
      <c r="G788" s="4">
        <v>42698.506000000001</v>
      </c>
      <c r="H788" s="5">
        <f>8875 / 86400</f>
        <v>0.10271990740740741</v>
      </c>
      <c r="I788" t="s">
        <v>38</v>
      </c>
      <c r="J788" t="s">
        <v>41</v>
      </c>
      <c r="K788" s="5">
        <f>24650 / 86400</f>
        <v>0.28530092592592593</v>
      </c>
      <c r="L788" s="5">
        <f>358 / 86400</f>
        <v>4.1435185185185186E-3</v>
      </c>
    </row>
    <row r="789" spans="1:12" x14ac:dyDescent="0.25">
      <c r="A789" s="3">
        <v>45709.620381944449</v>
      </c>
      <c r="B789" t="s">
        <v>70</v>
      </c>
      <c r="C789" s="3">
        <v>45709.889421296291</v>
      </c>
      <c r="D789" t="s">
        <v>92</v>
      </c>
      <c r="E789" s="4">
        <v>130.90700000000001</v>
      </c>
      <c r="F789" s="4">
        <v>42698.506000000001</v>
      </c>
      <c r="G789" s="4">
        <v>42829.413</v>
      </c>
      <c r="H789" s="5">
        <f>7781 / 86400</f>
        <v>9.0057870370370371E-2</v>
      </c>
      <c r="I789" t="s">
        <v>408</v>
      </c>
      <c r="J789" t="s">
        <v>33</v>
      </c>
      <c r="K789" s="5">
        <f>23245 / 86400</f>
        <v>0.26903935185185185</v>
      </c>
      <c r="L789" s="5">
        <f>295 / 86400</f>
        <v>3.414351851851852E-3</v>
      </c>
    </row>
    <row r="790" spans="1:12" x14ac:dyDescent="0.25">
      <c r="A790" s="3">
        <v>45709.892835648148</v>
      </c>
      <c r="B790" t="s">
        <v>92</v>
      </c>
      <c r="C790" s="3">
        <v>45709.940243055556</v>
      </c>
      <c r="D790" t="s">
        <v>419</v>
      </c>
      <c r="E790" s="4">
        <v>15.811</v>
      </c>
      <c r="F790" s="4">
        <v>42829.413</v>
      </c>
      <c r="G790" s="4">
        <v>42845.224000000002</v>
      </c>
      <c r="H790" s="5">
        <f>1860 / 86400</f>
        <v>2.1527777777777778E-2</v>
      </c>
      <c r="I790" t="s">
        <v>167</v>
      </c>
      <c r="J790" t="s">
        <v>57</v>
      </c>
      <c r="K790" s="5">
        <f>4096 / 86400</f>
        <v>4.7407407407407405E-2</v>
      </c>
      <c r="L790" s="5">
        <f>435 / 86400</f>
        <v>5.0347222222222225E-3</v>
      </c>
    </row>
    <row r="791" spans="1:12" x14ac:dyDescent="0.25">
      <c r="A791" s="3">
        <v>45709.945277777777</v>
      </c>
      <c r="B791" t="s">
        <v>419</v>
      </c>
      <c r="C791" s="3">
        <v>45709.952002314814</v>
      </c>
      <c r="D791" t="s">
        <v>74</v>
      </c>
      <c r="E791" s="4">
        <v>3.0870000000000002</v>
      </c>
      <c r="F791" s="4">
        <v>42845.224000000002</v>
      </c>
      <c r="G791" s="4">
        <v>42848.311000000002</v>
      </c>
      <c r="H791" s="5">
        <f>20 / 86400</f>
        <v>2.3148148148148149E-4</v>
      </c>
      <c r="I791" t="s">
        <v>76</v>
      </c>
      <c r="J791" t="s">
        <v>77</v>
      </c>
      <c r="K791" s="5">
        <f>580 / 86400</f>
        <v>6.7129629629629631E-3</v>
      </c>
      <c r="L791" s="5">
        <f>4146 / 86400</f>
        <v>4.7986111111111111E-2</v>
      </c>
    </row>
    <row r="792" spans="1:12" x14ac:dyDescent="0.25">
      <c r="A792" s="12"/>
      <c r="B792" s="12"/>
      <c r="C792" s="12"/>
      <c r="D792" s="12"/>
      <c r="E792" s="12"/>
      <c r="F792" s="12"/>
      <c r="G792" s="12"/>
      <c r="H792" s="12"/>
      <c r="I792" s="12"/>
      <c r="J792" s="12"/>
    </row>
    <row r="793" spans="1:12" x14ac:dyDescent="0.25">
      <c r="A793" s="12"/>
      <c r="B793" s="12"/>
      <c r="C793" s="12"/>
      <c r="D793" s="12"/>
      <c r="E793" s="12"/>
      <c r="F793" s="12"/>
      <c r="G793" s="12"/>
      <c r="H793" s="12"/>
      <c r="I793" s="12"/>
      <c r="J793" s="12"/>
    </row>
    <row r="794" spans="1:12" s="10" customFormat="1" ht="20.100000000000001" customHeight="1" x14ac:dyDescent="0.35">
      <c r="A794" s="15" t="s">
        <v>478</v>
      </c>
      <c r="B794" s="15"/>
      <c r="C794" s="15"/>
      <c r="D794" s="15"/>
      <c r="E794" s="15"/>
      <c r="F794" s="15"/>
      <c r="G794" s="15"/>
      <c r="H794" s="15"/>
      <c r="I794" s="15"/>
      <c r="J794" s="15"/>
    </row>
    <row r="795" spans="1:12" x14ac:dyDescent="0.25">
      <c r="A795" s="12"/>
      <c r="B795" s="12"/>
      <c r="C795" s="12"/>
      <c r="D795" s="12"/>
      <c r="E795" s="12"/>
      <c r="F795" s="12"/>
      <c r="G795" s="12"/>
      <c r="H795" s="12"/>
      <c r="I795" s="12"/>
      <c r="J795" s="12"/>
    </row>
    <row r="796" spans="1:12" ht="30" x14ac:dyDescent="0.25">
      <c r="A796" s="2" t="s">
        <v>6</v>
      </c>
      <c r="B796" s="2" t="s">
        <v>7</v>
      </c>
      <c r="C796" s="2" t="s">
        <v>8</v>
      </c>
      <c r="D796" s="2" t="s">
        <v>9</v>
      </c>
      <c r="E796" s="2" t="s">
        <v>10</v>
      </c>
      <c r="F796" s="2" t="s">
        <v>11</v>
      </c>
      <c r="G796" s="2" t="s">
        <v>12</v>
      </c>
      <c r="H796" s="2" t="s">
        <v>13</v>
      </c>
      <c r="I796" s="2" t="s">
        <v>14</v>
      </c>
      <c r="J796" s="2" t="s">
        <v>15</v>
      </c>
      <c r="K796" s="2" t="s">
        <v>16</v>
      </c>
      <c r="L796" s="2" t="s">
        <v>17</v>
      </c>
    </row>
    <row r="797" spans="1:12" x14ac:dyDescent="0.25">
      <c r="A797" s="3">
        <v>45709</v>
      </c>
      <c r="B797" t="s">
        <v>75</v>
      </c>
      <c r="C797" s="3">
        <v>45709.017916666664</v>
      </c>
      <c r="D797" t="s">
        <v>78</v>
      </c>
      <c r="E797" s="4">
        <v>9.6620000000000008</v>
      </c>
      <c r="F797" s="4">
        <v>48511.582000000002</v>
      </c>
      <c r="G797" s="4">
        <v>48521.243999999999</v>
      </c>
      <c r="H797" s="5">
        <f>380 / 86400</f>
        <v>4.3981481481481484E-3</v>
      </c>
      <c r="I797" t="s">
        <v>76</v>
      </c>
      <c r="J797" t="s">
        <v>143</v>
      </c>
      <c r="K797" s="5">
        <f>1548 / 86400</f>
        <v>1.7916666666666668E-2</v>
      </c>
      <c r="L797" s="5">
        <f>12 / 86400</f>
        <v>1.3888888888888889E-4</v>
      </c>
    </row>
    <row r="798" spans="1:12" x14ac:dyDescent="0.25">
      <c r="A798" s="3">
        <v>45709.018055555556</v>
      </c>
      <c r="B798" t="s">
        <v>78</v>
      </c>
      <c r="C798" s="3">
        <v>45709.018125000002</v>
      </c>
      <c r="D798" t="s">
        <v>78</v>
      </c>
      <c r="E798" s="4">
        <v>1E-3</v>
      </c>
      <c r="F798" s="4">
        <v>48521.243999999999</v>
      </c>
      <c r="G798" s="4">
        <v>48521.245000000003</v>
      </c>
      <c r="H798" s="5">
        <f>0 / 86400</f>
        <v>0</v>
      </c>
      <c r="I798" t="s">
        <v>48</v>
      </c>
      <c r="J798" t="s">
        <v>47</v>
      </c>
      <c r="K798" s="5">
        <f>5 / 86400</f>
        <v>5.7870370370370373E-5</v>
      </c>
      <c r="L798" s="5">
        <f>819 / 86400</f>
        <v>9.479166666666667E-3</v>
      </c>
    </row>
    <row r="799" spans="1:12" x14ac:dyDescent="0.25">
      <c r="A799" s="3">
        <v>45709.027604166666</v>
      </c>
      <c r="B799" t="s">
        <v>78</v>
      </c>
      <c r="C799" s="3">
        <v>45709.031446759254</v>
      </c>
      <c r="D799" t="s">
        <v>34</v>
      </c>
      <c r="E799" s="4">
        <v>1.4019999999999999</v>
      </c>
      <c r="F799" s="4">
        <v>48521.245000000003</v>
      </c>
      <c r="G799" s="4">
        <v>48522.646999999997</v>
      </c>
      <c r="H799" s="5">
        <f>119 / 86400</f>
        <v>1.3773148148148147E-3</v>
      </c>
      <c r="I799" t="s">
        <v>231</v>
      </c>
      <c r="J799" t="s">
        <v>41</v>
      </c>
      <c r="K799" s="5">
        <f>331 / 86400</f>
        <v>3.8310185185185183E-3</v>
      </c>
      <c r="L799" s="5">
        <f>13935 / 86400</f>
        <v>0.16128472222222223</v>
      </c>
    </row>
    <row r="800" spans="1:12" x14ac:dyDescent="0.25">
      <c r="A800" s="3">
        <v>45709.192731481482</v>
      </c>
      <c r="B800" t="s">
        <v>34</v>
      </c>
      <c r="C800" s="3">
        <v>45709.19368055556</v>
      </c>
      <c r="D800" t="s">
        <v>34</v>
      </c>
      <c r="E800" s="4">
        <v>3.5000000000000003E-2</v>
      </c>
      <c r="F800" s="4">
        <v>48522.646999999997</v>
      </c>
      <c r="G800" s="4">
        <v>48522.682000000001</v>
      </c>
      <c r="H800" s="5">
        <f>40 / 86400</f>
        <v>4.6296296296296298E-4</v>
      </c>
      <c r="I800" t="s">
        <v>47</v>
      </c>
      <c r="J800" t="s">
        <v>122</v>
      </c>
      <c r="K800" s="5">
        <f>81 / 86400</f>
        <v>9.3749999999999997E-4</v>
      </c>
      <c r="L800" s="5">
        <f>41413 / 86400</f>
        <v>0.47931712962962963</v>
      </c>
    </row>
    <row r="801" spans="1:12" x14ac:dyDescent="0.25">
      <c r="A801" s="3">
        <v>45709.672997685186</v>
      </c>
      <c r="B801" t="s">
        <v>34</v>
      </c>
      <c r="C801" s="3">
        <v>45709.674282407403</v>
      </c>
      <c r="D801" t="s">
        <v>34</v>
      </c>
      <c r="E801" s="4">
        <v>4.5999999999999999E-2</v>
      </c>
      <c r="F801" s="4">
        <v>48522.682000000001</v>
      </c>
      <c r="G801" s="4">
        <v>48522.728000000003</v>
      </c>
      <c r="H801" s="5">
        <f>59 / 86400</f>
        <v>6.8287037037037036E-4</v>
      </c>
      <c r="I801" t="s">
        <v>121</v>
      </c>
      <c r="J801" t="s">
        <v>122</v>
      </c>
      <c r="K801" s="5">
        <f>110 / 86400</f>
        <v>1.2731481481481483E-3</v>
      </c>
      <c r="L801" s="5">
        <f>28141 / 86400</f>
        <v>0.32570601851851849</v>
      </c>
    </row>
    <row r="802" spans="1:12" x14ac:dyDescent="0.25">
      <c r="A802" s="12"/>
      <c r="B802" s="12"/>
      <c r="C802" s="12"/>
      <c r="D802" s="12"/>
      <c r="E802" s="12"/>
      <c r="F802" s="12"/>
      <c r="G802" s="12"/>
      <c r="H802" s="12"/>
      <c r="I802" s="12"/>
      <c r="J802" s="12"/>
    </row>
    <row r="803" spans="1:12" x14ac:dyDescent="0.25">
      <c r="A803" s="12"/>
      <c r="B803" s="12"/>
      <c r="C803" s="12"/>
      <c r="D803" s="12"/>
      <c r="E803" s="12"/>
      <c r="F803" s="12"/>
      <c r="G803" s="12"/>
      <c r="H803" s="12"/>
      <c r="I803" s="12"/>
      <c r="J803" s="12"/>
    </row>
    <row r="804" spans="1:12" s="10" customFormat="1" ht="20.100000000000001" customHeight="1" x14ac:dyDescent="0.35">
      <c r="A804" s="15" t="s">
        <v>479</v>
      </c>
      <c r="B804" s="15"/>
      <c r="C804" s="15"/>
      <c r="D804" s="15"/>
      <c r="E804" s="15"/>
      <c r="F804" s="15"/>
      <c r="G804" s="15"/>
      <c r="H804" s="15"/>
      <c r="I804" s="15"/>
      <c r="J804" s="15"/>
    </row>
    <row r="805" spans="1:12" x14ac:dyDescent="0.25">
      <c r="A805" s="12"/>
      <c r="B805" s="12"/>
      <c r="C805" s="12"/>
      <c r="D805" s="12"/>
      <c r="E805" s="12"/>
      <c r="F805" s="12"/>
      <c r="G805" s="12"/>
      <c r="H805" s="12"/>
      <c r="I805" s="12"/>
      <c r="J805" s="12"/>
    </row>
    <row r="806" spans="1:12" ht="30" x14ac:dyDescent="0.25">
      <c r="A806" s="2" t="s">
        <v>6</v>
      </c>
      <c r="B806" s="2" t="s">
        <v>7</v>
      </c>
      <c r="C806" s="2" t="s">
        <v>8</v>
      </c>
      <c r="D806" s="2" t="s">
        <v>9</v>
      </c>
      <c r="E806" s="2" t="s">
        <v>10</v>
      </c>
      <c r="F806" s="2" t="s">
        <v>11</v>
      </c>
      <c r="G806" s="2" t="s">
        <v>12</v>
      </c>
      <c r="H806" s="2" t="s">
        <v>13</v>
      </c>
      <c r="I806" s="2" t="s">
        <v>14</v>
      </c>
      <c r="J806" s="2" t="s">
        <v>15</v>
      </c>
      <c r="K806" s="2" t="s">
        <v>16</v>
      </c>
      <c r="L806" s="2" t="s">
        <v>17</v>
      </c>
    </row>
    <row r="807" spans="1:12" x14ac:dyDescent="0.25">
      <c r="A807" s="3">
        <v>45709.183541666665</v>
      </c>
      <c r="B807" t="s">
        <v>78</v>
      </c>
      <c r="C807" s="3">
        <v>45709.189247685186</v>
      </c>
      <c r="D807" t="s">
        <v>420</v>
      </c>
      <c r="E807" s="4">
        <v>1.2950000000596047</v>
      </c>
      <c r="F807" s="4">
        <v>529832.38899999997</v>
      </c>
      <c r="G807" s="4">
        <v>529833.68400000001</v>
      </c>
      <c r="H807" s="5">
        <f>199 / 86400</f>
        <v>2.3032407407407407E-3</v>
      </c>
      <c r="I807" t="s">
        <v>171</v>
      </c>
      <c r="J807" t="s">
        <v>125</v>
      </c>
      <c r="K807" s="5">
        <f>493 / 86400</f>
        <v>5.7060185185185183E-3</v>
      </c>
      <c r="L807" s="5">
        <f>16333 / 86400</f>
        <v>0.18903935185185186</v>
      </c>
    </row>
    <row r="808" spans="1:12" x14ac:dyDescent="0.25">
      <c r="A808" s="3">
        <v>45709.194745370369</v>
      </c>
      <c r="B808" t="s">
        <v>420</v>
      </c>
      <c r="C808" s="3">
        <v>45709.362974537042</v>
      </c>
      <c r="D808" t="s">
        <v>37</v>
      </c>
      <c r="E808" s="4">
        <v>84.090999999999994</v>
      </c>
      <c r="F808" s="4">
        <v>529833.68400000001</v>
      </c>
      <c r="G808" s="4">
        <v>529917.77500000002</v>
      </c>
      <c r="H808" s="5">
        <f>3707 / 86400</f>
        <v>4.2905092592592592E-2</v>
      </c>
      <c r="I808" t="s">
        <v>130</v>
      </c>
      <c r="J808" t="s">
        <v>136</v>
      </c>
      <c r="K808" s="5">
        <f>14535 / 86400</f>
        <v>0.16822916666666668</v>
      </c>
      <c r="L808" s="5">
        <f>684 / 86400</f>
        <v>7.9166666666666673E-3</v>
      </c>
    </row>
    <row r="809" spans="1:12" x14ac:dyDescent="0.25">
      <c r="A809" s="3">
        <v>45709.370891203704</v>
      </c>
      <c r="B809" t="s">
        <v>37</v>
      </c>
      <c r="C809" s="3">
        <v>45709.372384259259</v>
      </c>
      <c r="D809" t="s">
        <v>113</v>
      </c>
      <c r="E809" s="4">
        <v>0.29799999999999999</v>
      </c>
      <c r="F809" s="4">
        <v>529917.77500000002</v>
      </c>
      <c r="G809" s="4">
        <v>529918.07299999997</v>
      </c>
      <c r="H809" s="5">
        <f>0 / 86400</f>
        <v>0</v>
      </c>
      <c r="I809" t="s">
        <v>26</v>
      </c>
      <c r="J809" t="s">
        <v>59</v>
      </c>
      <c r="K809" s="5">
        <f>128 / 86400</f>
        <v>1.4814814814814814E-3</v>
      </c>
      <c r="L809" s="5">
        <f>1385 / 86400</f>
        <v>1.6030092592592592E-2</v>
      </c>
    </row>
    <row r="810" spans="1:12" x14ac:dyDescent="0.25">
      <c r="A810" s="3">
        <v>45709.388414351852</v>
      </c>
      <c r="B810" t="s">
        <v>113</v>
      </c>
      <c r="C810" s="3">
        <v>45709.390694444446</v>
      </c>
      <c r="D810" t="s">
        <v>140</v>
      </c>
      <c r="E810" s="4">
        <v>0.80300000005960459</v>
      </c>
      <c r="F810" s="4">
        <v>529918.07299999997</v>
      </c>
      <c r="G810" s="4">
        <v>529918.87600000005</v>
      </c>
      <c r="H810" s="5">
        <f>0 / 86400</f>
        <v>0</v>
      </c>
      <c r="I810" t="s">
        <v>204</v>
      </c>
      <c r="J810" t="s">
        <v>41</v>
      </c>
      <c r="K810" s="5">
        <f>196 / 86400</f>
        <v>2.2685185185185187E-3</v>
      </c>
      <c r="L810" s="5">
        <f>78 / 86400</f>
        <v>9.0277777777777774E-4</v>
      </c>
    </row>
    <row r="811" spans="1:12" x14ac:dyDescent="0.25">
      <c r="A811" s="3">
        <v>45709.391597222224</v>
      </c>
      <c r="B811" t="s">
        <v>70</v>
      </c>
      <c r="C811" s="3">
        <v>45709.392118055555</v>
      </c>
      <c r="D811" t="s">
        <v>70</v>
      </c>
      <c r="E811" s="4">
        <v>0</v>
      </c>
      <c r="F811" s="4">
        <v>529918.87600000005</v>
      </c>
      <c r="G811" s="4">
        <v>529918.87600000005</v>
      </c>
      <c r="H811" s="5">
        <f>39 / 86400</f>
        <v>4.5138888888888887E-4</v>
      </c>
      <c r="I811" t="s">
        <v>48</v>
      </c>
      <c r="J811" t="s">
        <v>48</v>
      </c>
      <c r="K811" s="5">
        <f>44 / 86400</f>
        <v>5.0925925925925921E-4</v>
      </c>
      <c r="L811" s="5">
        <f>332 / 86400</f>
        <v>3.8425925925925928E-3</v>
      </c>
    </row>
    <row r="812" spans="1:12" x14ac:dyDescent="0.25">
      <c r="A812" s="3">
        <v>45709.395960648151</v>
      </c>
      <c r="B812" t="s">
        <v>140</v>
      </c>
      <c r="C812" s="3">
        <v>45709.399201388893</v>
      </c>
      <c r="D812" t="s">
        <v>421</v>
      </c>
      <c r="E812" s="4">
        <v>0.1649999998807907</v>
      </c>
      <c r="F812" s="4">
        <v>529918.87600000005</v>
      </c>
      <c r="G812" s="4">
        <v>529919.04099999997</v>
      </c>
      <c r="H812" s="5">
        <f>159 / 86400</f>
        <v>1.8402777777777777E-3</v>
      </c>
      <c r="I812" t="s">
        <v>125</v>
      </c>
      <c r="J812" t="s">
        <v>122</v>
      </c>
      <c r="K812" s="5">
        <f>280 / 86400</f>
        <v>3.2407407407407406E-3</v>
      </c>
      <c r="L812" s="5">
        <f>7719 / 86400</f>
        <v>8.9340277777777782E-2</v>
      </c>
    </row>
    <row r="813" spans="1:12" x14ac:dyDescent="0.25">
      <c r="A813" s="3">
        <v>45709.488541666666</v>
      </c>
      <c r="B813" t="s">
        <v>403</v>
      </c>
      <c r="C813" s="3">
        <v>45709.593969907408</v>
      </c>
      <c r="D813" t="s">
        <v>272</v>
      </c>
      <c r="E813" s="4">
        <v>47.627000000000002</v>
      </c>
      <c r="F813" s="4">
        <v>529919.04099999997</v>
      </c>
      <c r="G813" s="4">
        <v>529966.66799999995</v>
      </c>
      <c r="H813" s="5">
        <f>3100 / 86400</f>
        <v>3.5879629629629629E-2</v>
      </c>
      <c r="I813" t="s">
        <v>408</v>
      </c>
      <c r="J813" t="s">
        <v>77</v>
      </c>
      <c r="K813" s="5">
        <f>9108 / 86400</f>
        <v>0.10541666666666667</v>
      </c>
      <c r="L813" s="5">
        <f>75 / 86400</f>
        <v>8.6805555555555551E-4</v>
      </c>
    </row>
    <row r="814" spans="1:12" x14ac:dyDescent="0.25">
      <c r="A814" s="3">
        <v>45709.594837962963</v>
      </c>
      <c r="B814" t="s">
        <v>272</v>
      </c>
      <c r="C814" s="3">
        <v>45709.600613425922</v>
      </c>
      <c r="D814" t="s">
        <v>270</v>
      </c>
      <c r="E814" s="4">
        <v>0.71700000005960463</v>
      </c>
      <c r="F814" s="4">
        <v>529966.66799999995</v>
      </c>
      <c r="G814" s="4">
        <v>529967.38500000001</v>
      </c>
      <c r="H814" s="5">
        <f>320 / 86400</f>
        <v>3.7037037037037038E-3</v>
      </c>
      <c r="I814" t="s">
        <v>212</v>
      </c>
      <c r="J814" t="s">
        <v>121</v>
      </c>
      <c r="K814" s="5">
        <f>499 / 86400</f>
        <v>5.7754629629629631E-3</v>
      </c>
      <c r="L814" s="5">
        <f>569 / 86400</f>
        <v>6.5856481481481478E-3</v>
      </c>
    </row>
    <row r="815" spans="1:12" x14ac:dyDescent="0.25">
      <c r="A815" s="3">
        <v>45709.607199074075</v>
      </c>
      <c r="B815" t="s">
        <v>270</v>
      </c>
      <c r="C815" s="3">
        <v>45709.719953703709</v>
      </c>
      <c r="D815" t="s">
        <v>350</v>
      </c>
      <c r="E815" s="4">
        <v>46.900999999940396</v>
      </c>
      <c r="F815" s="4">
        <v>529967.38500000001</v>
      </c>
      <c r="G815" s="4">
        <v>530014.28599999996</v>
      </c>
      <c r="H815" s="5">
        <f>3222 / 86400</f>
        <v>3.7291666666666667E-2</v>
      </c>
      <c r="I815" t="s">
        <v>35</v>
      </c>
      <c r="J815" t="s">
        <v>52</v>
      </c>
      <c r="K815" s="5">
        <f>9741 / 86400</f>
        <v>0.11274305555555555</v>
      </c>
      <c r="L815" s="5">
        <f>837 / 86400</f>
        <v>9.6874999999999999E-3</v>
      </c>
    </row>
    <row r="816" spans="1:12" x14ac:dyDescent="0.25">
      <c r="A816" s="3">
        <v>45709.729641203703</v>
      </c>
      <c r="B816" t="s">
        <v>350</v>
      </c>
      <c r="C816" s="3">
        <v>45709.783634259264</v>
      </c>
      <c r="D816" t="s">
        <v>86</v>
      </c>
      <c r="E816" s="4">
        <v>22.356000000059606</v>
      </c>
      <c r="F816" s="4">
        <v>530014.28599999996</v>
      </c>
      <c r="G816" s="4">
        <v>530036.64199999999</v>
      </c>
      <c r="H816" s="5">
        <f>2079 / 86400</f>
        <v>2.4062500000000001E-2</v>
      </c>
      <c r="I816" t="s">
        <v>109</v>
      </c>
      <c r="J816" t="s">
        <v>52</v>
      </c>
      <c r="K816" s="5">
        <f>4665 / 86400</f>
        <v>5.3993055555555558E-2</v>
      </c>
      <c r="L816" s="5">
        <f>1364 / 86400</f>
        <v>1.5787037037037037E-2</v>
      </c>
    </row>
    <row r="817" spans="1:12" x14ac:dyDescent="0.25">
      <c r="A817" s="3">
        <v>45709.799421296295</v>
      </c>
      <c r="B817" t="s">
        <v>86</v>
      </c>
      <c r="C817" s="3">
        <v>45709.920335648145</v>
      </c>
      <c r="D817" t="s">
        <v>422</v>
      </c>
      <c r="E817" s="4">
        <v>55.085999999999999</v>
      </c>
      <c r="F817" s="4">
        <v>530036.64199999999</v>
      </c>
      <c r="G817" s="4">
        <v>530091.728</v>
      </c>
      <c r="H817" s="5">
        <f>3880 / 86400</f>
        <v>4.490740740740741E-2</v>
      </c>
      <c r="I817" t="s">
        <v>80</v>
      </c>
      <c r="J817" t="s">
        <v>77</v>
      </c>
      <c r="K817" s="5">
        <f>10446 / 86400</f>
        <v>0.12090277777777778</v>
      </c>
      <c r="L817" s="5">
        <f>814 / 86400</f>
        <v>9.4212962962962957E-3</v>
      </c>
    </row>
    <row r="818" spans="1:12" x14ac:dyDescent="0.25">
      <c r="A818" s="3">
        <v>45709.929756944446</v>
      </c>
      <c r="B818" t="s">
        <v>422</v>
      </c>
      <c r="C818" s="3">
        <v>45709.936909722222</v>
      </c>
      <c r="D818" t="s">
        <v>356</v>
      </c>
      <c r="E818" s="4">
        <v>0.80900000000000005</v>
      </c>
      <c r="F818" s="4">
        <v>530091.728</v>
      </c>
      <c r="G818" s="4">
        <v>530092.53700000001</v>
      </c>
      <c r="H818" s="5">
        <f>380 / 86400</f>
        <v>4.3981481481481484E-3</v>
      </c>
      <c r="I818" t="s">
        <v>124</v>
      </c>
      <c r="J818" t="s">
        <v>121</v>
      </c>
      <c r="K818" s="5">
        <f>618 / 86400</f>
        <v>7.1527777777777779E-3</v>
      </c>
      <c r="L818" s="5">
        <f>56 / 86400</f>
        <v>6.4814814814814813E-4</v>
      </c>
    </row>
    <row r="819" spans="1:12" x14ac:dyDescent="0.25">
      <c r="A819" s="3">
        <v>45709.937557870369</v>
      </c>
      <c r="B819" t="s">
        <v>356</v>
      </c>
      <c r="C819" s="3">
        <v>45709.99998842593</v>
      </c>
      <c r="D819" t="s">
        <v>79</v>
      </c>
      <c r="E819" s="4">
        <v>29.410000000059604</v>
      </c>
      <c r="F819" s="4">
        <v>530092.53700000001</v>
      </c>
      <c r="G819" s="4">
        <v>530121.94700000004</v>
      </c>
      <c r="H819" s="5">
        <f>2200 / 86400</f>
        <v>2.5462962962962962E-2</v>
      </c>
      <c r="I819" t="s">
        <v>108</v>
      </c>
      <c r="J819" t="s">
        <v>33</v>
      </c>
      <c r="K819" s="5">
        <f>5394 / 86400</f>
        <v>6.2430555555555559E-2</v>
      </c>
      <c r="L819" s="5">
        <f>0 / 86400</f>
        <v>0</v>
      </c>
    </row>
    <row r="820" spans="1:12" x14ac:dyDescent="0.25">
      <c r="A820" s="12"/>
      <c r="B820" s="12"/>
      <c r="C820" s="12"/>
      <c r="D820" s="12"/>
      <c r="E820" s="12"/>
      <c r="F820" s="12"/>
      <c r="G820" s="12"/>
      <c r="H820" s="12"/>
      <c r="I820" s="12"/>
      <c r="J820" s="12"/>
    </row>
    <row r="821" spans="1:12" x14ac:dyDescent="0.25">
      <c r="A821" s="12"/>
      <c r="B821" s="12"/>
      <c r="C821" s="12"/>
      <c r="D821" s="12"/>
      <c r="E821" s="12"/>
      <c r="F821" s="12"/>
      <c r="G821" s="12"/>
      <c r="H821" s="12"/>
      <c r="I821" s="12"/>
      <c r="J821" s="12"/>
    </row>
    <row r="822" spans="1:12" s="10" customFormat="1" ht="20.100000000000001" customHeight="1" x14ac:dyDescent="0.35">
      <c r="A822" s="15" t="s">
        <v>480</v>
      </c>
      <c r="B822" s="15"/>
      <c r="C822" s="15"/>
      <c r="D822" s="15"/>
      <c r="E822" s="15"/>
      <c r="F822" s="15"/>
      <c r="G822" s="15"/>
      <c r="H822" s="15"/>
      <c r="I822" s="15"/>
      <c r="J822" s="15"/>
    </row>
    <row r="823" spans="1:12" x14ac:dyDescent="0.25">
      <c r="A823" s="12"/>
      <c r="B823" s="12"/>
      <c r="C823" s="12"/>
      <c r="D823" s="12"/>
      <c r="E823" s="12"/>
      <c r="F823" s="12"/>
      <c r="G823" s="12"/>
      <c r="H823" s="12"/>
      <c r="I823" s="12"/>
      <c r="J823" s="12"/>
    </row>
    <row r="824" spans="1:12" ht="30" x14ac:dyDescent="0.25">
      <c r="A824" s="2" t="s">
        <v>6</v>
      </c>
      <c r="B824" s="2" t="s">
        <v>7</v>
      </c>
      <c r="C824" s="2" t="s">
        <v>8</v>
      </c>
      <c r="D824" s="2" t="s">
        <v>9</v>
      </c>
      <c r="E824" s="2" t="s">
        <v>10</v>
      </c>
      <c r="F824" s="2" t="s">
        <v>11</v>
      </c>
      <c r="G824" s="2" t="s">
        <v>12</v>
      </c>
      <c r="H824" s="2" t="s">
        <v>13</v>
      </c>
      <c r="I824" s="2" t="s">
        <v>14</v>
      </c>
      <c r="J824" s="2" t="s">
        <v>15</v>
      </c>
      <c r="K824" s="2" t="s">
        <v>16</v>
      </c>
      <c r="L824" s="2" t="s">
        <v>17</v>
      </c>
    </row>
    <row r="825" spans="1:12" x14ac:dyDescent="0.25">
      <c r="A825" s="3">
        <v>45709.323576388888</v>
      </c>
      <c r="B825" t="s">
        <v>34</v>
      </c>
      <c r="C825" s="3">
        <v>45709.333541666667</v>
      </c>
      <c r="D825" t="s">
        <v>21</v>
      </c>
      <c r="E825" s="4">
        <v>4.2</v>
      </c>
      <c r="F825" s="4">
        <v>569455.98300000001</v>
      </c>
      <c r="G825" s="4">
        <v>569460.18299999996</v>
      </c>
      <c r="H825" s="5">
        <f>219 / 86400</f>
        <v>2.5347222222222221E-3</v>
      </c>
      <c r="I825" t="s">
        <v>65</v>
      </c>
      <c r="J825" t="s">
        <v>20</v>
      </c>
      <c r="K825" s="5">
        <f>861 / 86400</f>
        <v>9.9652777777777778E-3</v>
      </c>
      <c r="L825" s="5">
        <f>27973 / 86400</f>
        <v>0.32376157407407408</v>
      </c>
    </row>
    <row r="826" spans="1:12" x14ac:dyDescent="0.25">
      <c r="A826" s="3">
        <v>45709.333726851852</v>
      </c>
      <c r="B826" t="s">
        <v>21</v>
      </c>
      <c r="C826" s="3">
        <v>45709.338321759264</v>
      </c>
      <c r="D826" t="s">
        <v>423</v>
      </c>
      <c r="E826" s="4">
        <v>1.641</v>
      </c>
      <c r="F826" s="4">
        <v>569460.18299999996</v>
      </c>
      <c r="G826" s="4">
        <v>569461.82400000002</v>
      </c>
      <c r="H826" s="5">
        <f>60 / 86400</f>
        <v>6.9444444444444447E-4</v>
      </c>
      <c r="I826" t="s">
        <v>205</v>
      </c>
      <c r="J826" t="s">
        <v>41</v>
      </c>
      <c r="K826" s="5">
        <f>397 / 86400</f>
        <v>4.5949074074074078E-3</v>
      </c>
      <c r="L826" s="5">
        <f>1148 / 86400</f>
        <v>1.3287037037037036E-2</v>
      </c>
    </row>
    <row r="827" spans="1:12" x14ac:dyDescent="0.25">
      <c r="A827" s="3">
        <v>45709.351608796293</v>
      </c>
      <c r="B827" t="s">
        <v>423</v>
      </c>
      <c r="C827" s="3">
        <v>45709.352141203708</v>
      </c>
      <c r="D827" t="s">
        <v>423</v>
      </c>
      <c r="E827" s="4">
        <v>0</v>
      </c>
      <c r="F827" s="4">
        <v>569461.82400000002</v>
      </c>
      <c r="G827" s="4">
        <v>569461.82400000002</v>
      </c>
      <c r="H827" s="5">
        <f>39 / 86400</f>
        <v>4.5138888888888887E-4</v>
      </c>
      <c r="I827" t="s">
        <v>48</v>
      </c>
      <c r="J827" t="s">
        <v>48</v>
      </c>
      <c r="K827" s="5">
        <f>45 / 86400</f>
        <v>5.2083333333333333E-4</v>
      </c>
      <c r="L827" s="5">
        <f>3201 / 86400</f>
        <v>3.7048611111111109E-2</v>
      </c>
    </row>
    <row r="828" spans="1:12" x14ac:dyDescent="0.25">
      <c r="A828" s="3">
        <v>45709.389189814814</v>
      </c>
      <c r="B828" t="s">
        <v>423</v>
      </c>
      <c r="C828" s="3">
        <v>45709.389722222222</v>
      </c>
      <c r="D828" t="s">
        <v>423</v>
      </c>
      <c r="E828" s="4">
        <v>0</v>
      </c>
      <c r="F828" s="4">
        <v>569461.82400000002</v>
      </c>
      <c r="G828" s="4">
        <v>569461.82400000002</v>
      </c>
      <c r="H828" s="5">
        <f>39 / 86400</f>
        <v>4.5138888888888887E-4</v>
      </c>
      <c r="I828" t="s">
        <v>48</v>
      </c>
      <c r="J828" t="s">
        <v>48</v>
      </c>
      <c r="K828" s="5">
        <f>45 / 86400</f>
        <v>5.2083333333333333E-4</v>
      </c>
      <c r="L828" s="5">
        <f>1720 / 86400</f>
        <v>1.9907407407407408E-2</v>
      </c>
    </row>
    <row r="829" spans="1:12" x14ac:dyDescent="0.25">
      <c r="A829" s="3">
        <v>45709.409629629634</v>
      </c>
      <c r="B829" t="s">
        <v>24</v>
      </c>
      <c r="C829" s="3">
        <v>45709.409675925926</v>
      </c>
      <c r="D829" t="s">
        <v>423</v>
      </c>
      <c r="E829" s="4">
        <v>0</v>
      </c>
      <c r="F829" s="4">
        <v>569461.82400000002</v>
      </c>
      <c r="G829" s="4">
        <v>569461.82400000002</v>
      </c>
      <c r="H829" s="5">
        <f>0 / 86400</f>
        <v>0</v>
      </c>
      <c r="I829" t="s">
        <v>48</v>
      </c>
      <c r="J829" t="s">
        <v>48</v>
      </c>
      <c r="K829" s="5">
        <f>3 / 86400</f>
        <v>3.4722222222222222E-5</v>
      </c>
      <c r="L829" s="5">
        <f>37 / 86400</f>
        <v>4.2824074074074075E-4</v>
      </c>
    </row>
    <row r="830" spans="1:12" x14ac:dyDescent="0.25">
      <c r="A830" s="3">
        <v>45709.410104166665</v>
      </c>
      <c r="B830" t="s">
        <v>423</v>
      </c>
      <c r="C830" s="3">
        <v>45709.410150462965</v>
      </c>
      <c r="D830" t="s">
        <v>423</v>
      </c>
      <c r="E830" s="4">
        <v>0</v>
      </c>
      <c r="F830" s="4">
        <v>569461.82400000002</v>
      </c>
      <c r="G830" s="4">
        <v>569461.82400000002</v>
      </c>
      <c r="H830" s="5">
        <f>0 / 86400</f>
        <v>0</v>
      </c>
      <c r="I830" t="s">
        <v>48</v>
      </c>
      <c r="J830" t="s">
        <v>48</v>
      </c>
      <c r="K830" s="5">
        <f>3 / 86400</f>
        <v>3.4722222222222222E-5</v>
      </c>
      <c r="L830" s="5">
        <f>23 / 86400</f>
        <v>2.6620370370370372E-4</v>
      </c>
    </row>
    <row r="831" spans="1:12" x14ac:dyDescent="0.25">
      <c r="A831" s="3">
        <v>45709.410416666666</v>
      </c>
      <c r="B831" t="s">
        <v>24</v>
      </c>
      <c r="C831" s="3">
        <v>45709.410682870366</v>
      </c>
      <c r="D831" t="s">
        <v>24</v>
      </c>
      <c r="E831" s="4">
        <v>0</v>
      </c>
      <c r="F831" s="4">
        <v>569461.82400000002</v>
      </c>
      <c r="G831" s="4">
        <v>569461.82400000002</v>
      </c>
      <c r="H831" s="5">
        <f>19 / 86400</f>
        <v>2.199074074074074E-4</v>
      </c>
      <c r="I831" t="s">
        <v>48</v>
      </c>
      <c r="J831" t="s">
        <v>48</v>
      </c>
      <c r="K831" s="5">
        <f>22 / 86400</f>
        <v>2.5462962962962961E-4</v>
      </c>
      <c r="L831" s="5">
        <f>2 / 86400</f>
        <v>2.3148148148148147E-5</v>
      </c>
    </row>
    <row r="832" spans="1:12" x14ac:dyDescent="0.25">
      <c r="A832" s="3">
        <v>45709.41070601852</v>
      </c>
      <c r="B832" t="s">
        <v>24</v>
      </c>
      <c r="C832" s="3">
        <v>45709.41106481482</v>
      </c>
      <c r="D832" t="s">
        <v>24</v>
      </c>
      <c r="E832" s="4">
        <v>0</v>
      </c>
      <c r="F832" s="4">
        <v>569461.82400000002</v>
      </c>
      <c r="G832" s="4">
        <v>569461.82400000002</v>
      </c>
      <c r="H832" s="5">
        <f>15 / 86400</f>
        <v>1.7361111111111112E-4</v>
      </c>
      <c r="I832" t="s">
        <v>48</v>
      </c>
      <c r="J832" t="s">
        <v>48</v>
      </c>
      <c r="K832" s="5">
        <f>31 / 86400</f>
        <v>3.5879629629629629E-4</v>
      </c>
      <c r="L832" s="5">
        <f>869 / 86400</f>
        <v>1.005787037037037E-2</v>
      </c>
    </row>
    <row r="833" spans="1:12" x14ac:dyDescent="0.25">
      <c r="A833" s="3">
        <v>45709.421122685184</v>
      </c>
      <c r="B833" t="s">
        <v>24</v>
      </c>
      <c r="C833" s="3">
        <v>45709.428912037038</v>
      </c>
      <c r="D833" t="s">
        <v>24</v>
      </c>
      <c r="E833" s="4">
        <v>2.6360000000000001</v>
      </c>
      <c r="F833" s="4">
        <v>569461.82400000002</v>
      </c>
      <c r="G833" s="4">
        <v>569464.46</v>
      </c>
      <c r="H833" s="5">
        <f>79 / 86400</f>
        <v>9.1435185185185185E-4</v>
      </c>
      <c r="I833" t="s">
        <v>182</v>
      </c>
      <c r="J833" t="s">
        <v>57</v>
      </c>
      <c r="K833" s="5">
        <f>672 / 86400</f>
        <v>7.7777777777777776E-3</v>
      </c>
      <c r="L833" s="5">
        <f>2244 / 86400</f>
        <v>2.5972222222222223E-2</v>
      </c>
    </row>
    <row r="834" spans="1:12" x14ac:dyDescent="0.25">
      <c r="A834" s="3">
        <v>45709.454884259263</v>
      </c>
      <c r="B834" t="s">
        <v>24</v>
      </c>
      <c r="C834" s="3">
        <v>45709.457986111112</v>
      </c>
      <c r="D834" t="s">
        <v>86</v>
      </c>
      <c r="E834" s="4">
        <v>1.5529999999999999</v>
      </c>
      <c r="F834" s="4">
        <v>569464.46</v>
      </c>
      <c r="G834" s="4">
        <v>569466.01300000004</v>
      </c>
      <c r="H834" s="5">
        <f>20 / 86400</f>
        <v>2.3148148148148149E-4</v>
      </c>
      <c r="I834" t="s">
        <v>120</v>
      </c>
      <c r="J834" t="s">
        <v>136</v>
      </c>
      <c r="K834" s="5">
        <f>267 / 86400</f>
        <v>3.0902777777777777E-3</v>
      </c>
      <c r="L834" s="5">
        <f>270 / 86400</f>
        <v>3.1250000000000002E-3</v>
      </c>
    </row>
    <row r="835" spans="1:12" x14ac:dyDescent="0.25">
      <c r="A835" s="3">
        <v>45709.461111111115</v>
      </c>
      <c r="B835" t="s">
        <v>86</v>
      </c>
      <c r="C835" s="3">
        <v>45709.462476851855</v>
      </c>
      <c r="D835" t="s">
        <v>86</v>
      </c>
      <c r="E835" s="4">
        <v>0.06</v>
      </c>
      <c r="F835" s="4">
        <v>569466.01300000004</v>
      </c>
      <c r="G835" s="4">
        <v>569466.07299999997</v>
      </c>
      <c r="H835" s="5">
        <f>59 / 86400</f>
        <v>6.8287037037037036E-4</v>
      </c>
      <c r="I835" t="s">
        <v>121</v>
      </c>
      <c r="J835" t="s">
        <v>122</v>
      </c>
      <c r="K835" s="5">
        <f>117 / 86400</f>
        <v>1.3541666666666667E-3</v>
      </c>
      <c r="L835" s="5">
        <f>329 / 86400</f>
        <v>3.8078703703703703E-3</v>
      </c>
    </row>
    <row r="836" spans="1:12" x14ac:dyDescent="0.25">
      <c r="A836" s="3">
        <v>45709.466284722221</v>
      </c>
      <c r="B836" t="s">
        <v>86</v>
      </c>
      <c r="C836" s="3">
        <v>45709.468611111108</v>
      </c>
      <c r="D836" t="s">
        <v>86</v>
      </c>
      <c r="E836" s="4">
        <v>1.2210000000000001</v>
      </c>
      <c r="F836" s="4">
        <v>569466.07299999997</v>
      </c>
      <c r="G836" s="4">
        <v>569467.29399999999</v>
      </c>
      <c r="H836" s="5">
        <f>39 / 86400</f>
        <v>4.5138888888888887E-4</v>
      </c>
      <c r="I836" t="s">
        <v>181</v>
      </c>
      <c r="J836" t="s">
        <v>143</v>
      </c>
      <c r="K836" s="5">
        <f>201 / 86400</f>
        <v>2.3263888888888887E-3</v>
      </c>
      <c r="L836" s="5">
        <f>1560 / 86400</f>
        <v>1.8055555555555554E-2</v>
      </c>
    </row>
    <row r="837" spans="1:12" x14ac:dyDescent="0.25">
      <c r="A837" s="3">
        <v>45709.486666666664</v>
      </c>
      <c r="B837" t="s">
        <v>86</v>
      </c>
      <c r="C837" s="3">
        <v>45709.54179398148</v>
      </c>
      <c r="D837" t="s">
        <v>248</v>
      </c>
      <c r="E837" s="4">
        <v>18.103999999999999</v>
      </c>
      <c r="F837" s="4">
        <v>569467.29399999999</v>
      </c>
      <c r="G837" s="4">
        <v>569485.39800000004</v>
      </c>
      <c r="H837" s="5">
        <f>2041 / 86400</f>
        <v>2.3622685185185184E-2</v>
      </c>
      <c r="I837" t="s">
        <v>234</v>
      </c>
      <c r="J837" t="s">
        <v>57</v>
      </c>
      <c r="K837" s="5">
        <f>4763 / 86400</f>
        <v>5.5127314814814816E-2</v>
      </c>
      <c r="L837" s="5">
        <f>1907 / 86400</f>
        <v>2.207175925925926E-2</v>
      </c>
    </row>
    <row r="838" spans="1:12" x14ac:dyDescent="0.25">
      <c r="A838" s="3">
        <v>45709.56386574074</v>
      </c>
      <c r="B838" t="s">
        <v>248</v>
      </c>
      <c r="C838" s="3">
        <v>45709.565335648149</v>
      </c>
      <c r="D838" t="s">
        <v>248</v>
      </c>
      <c r="E838" s="4">
        <v>0.442</v>
      </c>
      <c r="F838" s="4">
        <v>569485.39800000004</v>
      </c>
      <c r="G838" s="4">
        <v>569485.84</v>
      </c>
      <c r="H838" s="5">
        <f>59 / 86400</f>
        <v>6.8287037037037036E-4</v>
      </c>
      <c r="I838" t="s">
        <v>182</v>
      </c>
      <c r="J838" t="s">
        <v>26</v>
      </c>
      <c r="K838" s="5">
        <f>127 / 86400</f>
        <v>1.4699074074074074E-3</v>
      </c>
      <c r="L838" s="5">
        <f>70 / 86400</f>
        <v>8.1018518518518516E-4</v>
      </c>
    </row>
    <row r="839" spans="1:12" x14ac:dyDescent="0.25">
      <c r="A839" s="3">
        <v>45709.566145833334</v>
      </c>
      <c r="B839" t="s">
        <v>248</v>
      </c>
      <c r="C839" s="3">
        <v>45709.654351851852</v>
      </c>
      <c r="D839" t="s">
        <v>149</v>
      </c>
      <c r="E839" s="4">
        <v>34.271999999999998</v>
      </c>
      <c r="F839" s="4">
        <v>569485.84</v>
      </c>
      <c r="G839" s="4">
        <v>569520.11199999996</v>
      </c>
      <c r="H839" s="5">
        <f>2660 / 86400</f>
        <v>3.0787037037037036E-2</v>
      </c>
      <c r="I839" t="s">
        <v>35</v>
      </c>
      <c r="J839" t="s">
        <v>28</v>
      </c>
      <c r="K839" s="5">
        <f>7621 / 86400</f>
        <v>8.8206018518518517E-2</v>
      </c>
      <c r="L839" s="5">
        <f>998 / 86400</f>
        <v>1.1550925925925926E-2</v>
      </c>
    </row>
    <row r="840" spans="1:12" x14ac:dyDescent="0.25">
      <c r="A840" s="3">
        <v>45709.665902777779</v>
      </c>
      <c r="B840" t="s">
        <v>149</v>
      </c>
      <c r="C840" s="3">
        <v>45709.725937499999</v>
      </c>
      <c r="D840" t="s">
        <v>86</v>
      </c>
      <c r="E840" s="4">
        <v>28.663</v>
      </c>
      <c r="F840" s="4">
        <v>569520.11199999996</v>
      </c>
      <c r="G840" s="4">
        <v>569548.77500000002</v>
      </c>
      <c r="H840" s="5">
        <f>839 / 86400</f>
        <v>9.7106481481481488E-3</v>
      </c>
      <c r="I840" t="s">
        <v>165</v>
      </c>
      <c r="J840" t="s">
        <v>33</v>
      </c>
      <c r="K840" s="5">
        <f>5186 / 86400</f>
        <v>6.0023148148148145E-2</v>
      </c>
      <c r="L840" s="5">
        <f>394 / 86400</f>
        <v>4.5601851851851853E-3</v>
      </c>
    </row>
    <row r="841" spans="1:12" x14ac:dyDescent="0.25">
      <c r="A841" s="3">
        <v>45709.730497685188</v>
      </c>
      <c r="B841" t="s">
        <v>86</v>
      </c>
      <c r="C841" s="3">
        <v>45709.734675925924</v>
      </c>
      <c r="D841" t="s">
        <v>34</v>
      </c>
      <c r="E841" s="4">
        <v>2.35</v>
      </c>
      <c r="F841" s="4">
        <v>569548.77500000002</v>
      </c>
      <c r="G841" s="4">
        <v>569551.125</v>
      </c>
      <c r="H841" s="5">
        <f>60 / 86400</f>
        <v>6.9444444444444447E-4</v>
      </c>
      <c r="I841" t="s">
        <v>120</v>
      </c>
      <c r="J841" t="s">
        <v>124</v>
      </c>
      <c r="K841" s="5">
        <f>361 / 86400</f>
        <v>4.178240740740741E-3</v>
      </c>
      <c r="L841" s="5">
        <f>21707 / 86400</f>
        <v>0.25123842592592593</v>
      </c>
    </row>
    <row r="842" spans="1:12" x14ac:dyDescent="0.25">
      <c r="A842" s="3">
        <v>45709.985914351855</v>
      </c>
      <c r="B842" t="s">
        <v>34</v>
      </c>
      <c r="C842" s="3">
        <v>45709.986620370371</v>
      </c>
      <c r="D842" t="s">
        <v>34</v>
      </c>
      <c r="E842" s="4">
        <v>2.5000000000000001E-2</v>
      </c>
      <c r="F842" s="4">
        <v>569551.125</v>
      </c>
      <c r="G842" s="4">
        <v>569551.15</v>
      </c>
      <c r="H842" s="5">
        <f>40 / 86400</f>
        <v>4.6296296296296298E-4</v>
      </c>
      <c r="I842" t="s">
        <v>122</v>
      </c>
      <c r="J842" t="s">
        <v>122</v>
      </c>
      <c r="K842" s="5">
        <f>60 / 86400</f>
        <v>6.9444444444444447E-4</v>
      </c>
      <c r="L842" s="5">
        <f>1155 / 86400</f>
        <v>1.3368055555555555E-2</v>
      </c>
    </row>
    <row r="843" spans="1:12" x14ac:dyDescent="0.25">
      <c r="A843" s="12"/>
      <c r="B843" s="12"/>
      <c r="C843" s="12"/>
      <c r="D843" s="12"/>
      <c r="E843" s="12"/>
      <c r="F843" s="12"/>
      <c r="G843" s="12"/>
      <c r="H843" s="12"/>
      <c r="I843" s="12"/>
      <c r="J843" s="12"/>
    </row>
    <row r="844" spans="1:12" x14ac:dyDescent="0.25">
      <c r="A844" s="12"/>
      <c r="B844" s="12"/>
      <c r="C844" s="12"/>
      <c r="D844" s="12"/>
      <c r="E844" s="12"/>
      <c r="F844" s="12"/>
      <c r="G844" s="12"/>
      <c r="H844" s="12"/>
      <c r="I844" s="12"/>
      <c r="J844" s="12"/>
    </row>
    <row r="845" spans="1:12" s="10" customFormat="1" ht="20.100000000000001" customHeight="1" x14ac:dyDescent="0.35">
      <c r="A845" s="15" t="s">
        <v>481</v>
      </c>
      <c r="B845" s="15"/>
      <c r="C845" s="15"/>
      <c r="D845" s="15"/>
      <c r="E845" s="15"/>
      <c r="F845" s="15"/>
      <c r="G845" s="15"/>
      <c r="H845" s="15"/>
      <c r="I845" s="15"/>
      <c r="J845" s="15"/>
    </row>
    <row r="846" spans="1:12" x14ac:dyDescent="0.25">
      <c r="A846" s="12"/>
      <c r="B846" s="12"/>
      <c r="C846" s="12"/>
      <c r="D846" s="12"/>
      <c r="E846" s="12"/>
      <c r="F846" s="12"/>
      <c r="G846" s="12"/>
      <c r="H846" s="12"/>
      <c r="I846" s="12"/>
      <c r="J846" s="12"/>
    </row>
    <row r="847" spans="1:12" ht="30" x14ac:dyDescent="0.25">
      <c r="A847" s="2" t="s">
        <v>6</v>
      </c>
      <c r="B847" s="2" t="s">
        <v>7</v>
      </c>
      <c r="C847" s="2" t="s">
        <v>8</v>
      </c>
      <c r="D847" s="2" t="s">
        <v>9</v>
      </c>
      <c r="E847" s="2" t="s">
        <v>10</v>
      </c>
      <c r="F847" s="2" t="s">
        <v>11</v>
      </c>
      <c r="G847" s="2" t="s">
        <v>12</v>
      </c>
      <c r="H847" s="2" t="s">
        <v>13</v>
      </c>
      <c r="I847" s="2" t="s">
        <v>14</v>
      </c>
      <c r="J847" s="2" t="s">
        <v>15</v>
      </c>
      <c r="K847" s="2" t="s">
        <v>16</v>
      </c>
      <c r="L847" s="2" t="s">
        <v>17</v>
      </c>
    </row>
    <row r="848" spans="1:12" x14ac:dyDescent="0.25">
      <c r="A848" s="3">
        <v>45709.21465277778</v>
      </c>
      <c r="B848" t="s">
        <v>70</v>
      </c>
      <c r="C848" s="3">
        <v>45709.21670138889</v>
      </c>
      <c r="D848" t="s">
        <v>350</v>
      </c>
      <c r="E848" s="4">
        <v>0.309</v>
      </c>
      <c r="F848" s="4">
        <v>436200.10399999999</v>
      </c>
      <c r="G848" s="4">
        <v>436200.413</v>
      </c>
      <c r="H848" s="5">
        <f>59 / 86400</f>
        <v>6.8287037037037036E-4</v>
      </c>
      <c r="I848" t="s">
        <v>127</v>
      </c>
      <c r="J848" t="s">
        <v>134</v>
      </c>
      <c r="K848" s="5">
        <f>177 / 86400</f>
        <v>2.0486111111111113E-3</v>
      </c>
      <c r="L848" s="5">
        <f>18923 / 86400</f>
        <v>0.2190162037037037</v>
      </c>
    </row>
    <row r="849" spans="1:12" x14ac:dyDescent="0.25">
      <c r="A849" s="3">
        <v>45709.221064814818</v>
      </c>
      <c r="B849" t="s">
        <v>350</v>
      </c>
      <c r="C849" s="3">
        <v>45709.222592592589</v>
      </c>
      <c r="D849" t="s">
        <v>350</v>
      </c>
      <c r="E849" s="4">
        <v>0.04</v>
      </c>
      <c r="F849" s="4">
        <v>436200.413</v>
      </c>
      <c r="G849" s="4">
        <v>436200.45299999998</v>
      </c>
      <c r="H849" s="5">
        <f>100 / 86400</f>
        <v>1.1574074074074073E-3</v>
      </c>
      <c r="I849" t="s">
        <v>88</v>
      </c>
      <c r="J849" t="s">
        <v>47</v>
      </c>
      <c r="K849" s="5">
        <f>131 / 86400</f>
        <v>1.5162037037037036E-3</v>
      </c>
      <c r="L849" s="5">
        <f>364 / 86400</f>
        <v>4.2129629629629626E-3</v>
      </c>
    </row>
    <row r="850" spans="1:12" x14ac:dyDescent="0.25">
      <c r="A850" s="3">
        <v>45709.226805555554</v>
      </c>
      <c r="B850" t="s">
        <v>350</v>
      </c>
      <c r="C850" s="3">
        <v>45709.480254629627</v>
      </c>
      <c r="D850" t="s">
        <v>126</v>
      </c>
      <c r="E850" s="4">
        <v>102.72499999999999</v>
      </c>
      <c r="F850" s="4">
        <v>436200.45299999998</v>
      </c>
      <c r="G850" s="4">
        <v>436303.17800000001</v>
      </c>
      <c r="H850" s="5">
        <f>7021 / 86400</f>
        <v>8.1261574074074069E-2</v>
      </c>
      <c r="I850" t="s">
        <v>25</v>
      </c>
      <c r="J850" t="s">
        <v>52</v>
      </c>
      <c r="K850" s="5">
        <f>21897 / 86400</f>
        <v>0.25343749999999998</v>
      </c>
      <c r="L850" s="5">
        <f>2702 / 86400</f>
        <v>3.1273148148148147E-2</v>
      </c>
    </row>
    <row r="851" spans="1:12" x14ac:dyDescent="0.25">
      <c r="A851" s="3">
        <v>45709.51152777778</v>
      </c>
      <c r="B851" t="s">
        <v>126</v>
      </c>
      <c r="C851" s="3">
        <v>45709.511874999997</v>
      </c>
      <c r="D851" t="s">
        <v>126</v>
      </c>
      <c r="E851" s="4">
        <v>2.5000000000000001E-2</v>
      </c>
      <c r="F851" s="4">
        <v>436303.17800000001</v>
      </c>
      <c r="G851" s="4">
        <v>436303.20299999998</v>
      </c>
      <c r="H851" s="5">
        <f>0 / 86400</f>
        <v>0</v>
      </c>
      <c r="I851" t="s">
        <v>88</v>
      </c>
      <c r="J851" t="s">
        <v>135</v>
      </c>
      <c r="K851" s="5">
        <f>30 / 86400</f>
        <v>3.4722222222222224E-4</v>
      </c>
      <c r="L851" s="5">
        <f>352 / 86400</f>
        <v>4.0740740740740737E-3</v>
      </c>
    </row>
    <row r="852" spans="1:12" x14ac:dyDescent="0.25">
      <c r="A852" s="3">
        <v>45709.515949074077</v>
      </c>
      <c r="B852" t="s">
        <v>126</v>
      </c>
      <c r="C852" s="3">
        <v>45709.519907407404</v>
      </c>
      <c r="D852" t="s">
        <v>70</v>
      </c>
      <c r="E852" s="4">
        <v>1.3129999999999999</v>
      </c>
      <c r="F852" s="4">
        <v>436303.20299999998</v>
      </c>
      <c r="G852" s="4">
        <v>436304.516</v>
      </c>
      <c r="H852" s="5">
        <f>60 / 86400</f>
        <v>6.9444444444444447E-4</v>
      </c>
      <c r="I852" t="s">
        <v>205</v>
      </c>
      <c r="J852" t="s">
        <v>57</v>
      </c>
      <c r="K852" s="5">
        <f>342 / 86400</f>
        <v>3.9583333333333337E-3</v>
      </c>
      <c r="L852" s="5">
        <f>2539 / 86400</f>
        <v>2.9386574074074075E-2</v>
      </c>
    </row>
    <row r="853" spans="1:12" x14ac:dyDescent="0.25">
      <c r="A853" s="3">
        <v>45709.549293981487</v>
      </c>
      <c r="B853" t="s">
        <v>70</v>
      </c>
      <c r="C853" s="3">
        <v>45709.550891203704</v>
      </c>
      <c r="D853" t="s">
        <v>350</v>
      </c>
      <c r="E853" s="4">
        <v>0.17399999999999999</v>
      </c>
      <c r="F853" s="4">
        <v>436304.516</v>
      </c>
      <c r="G853" s="4">
        <v>436304.69</v>
      </c>
      <c r="H853" s="5">
        <f>60 / 86400</f>
        <v>6.9444444444444447E-4</v>
      </c>
      <c r="I853" t="s">
        <v>143</v>
      </c>
      <c r="J853" t="s">
        <v>121</v>
      </c>
      <c r="K853" s="5">
        <f>137 / 86400</f>
        <v>1.5856481481481481E-3</v>
      </c>
      <c r="L853" s="5">
        <f>2 / 86400</f>
        <v>2.3148148148148147E-5</v>
      </c>
    </row>
    <row r="854" spans="1:12" x14ac:dyDescent="0.25">
      <c r="A854" s="3">
        <v>45709.55091435185</v>
      </c>
      <c r="B854" t="s">
        <v>350</v>
      </c>
      <c r="C854" s="3">
        <v>45709.863923611112</v>
      </c>
      <c r="D854" t="s">
        <v>70</v>
      </c>
      <c r="E854" s="4">
        <v>101.69</v>
      </c>
      <c r="F854" s="4">
        <v>436304.69</v>
      </c>
      <c r="G854" s="4">
        <v>436406.38</v>
      </c>
      <c r="H854" s="5">
        <f>10262 / 86400</f>
        <v>0.11877314814814814</v>
      </c>
      <c r="I854" t="s">
        <v>238</v>
      </c>
      <c r="J854" t="s">
        <v>57</v>
      </c>
      <c r="K854" s="5">
        <f>27044 / 86400</f>
        <v>0.31300925925925926</v>
      </c>
      <c r="L854" s="5">
        <f>350 / 86400</f>
        <v>4.0509259259259257E-3</v>
      </c>
    </row>
    <row r="855" spans="1:12" x14ac:dyDescent="0.25">
      <c r="A855" s="3">
        <v>45709.867974537032</v>
      </c>
      <c r="B855" t="s">
        <v>70</v>
      </c>
      <c r="C855" s="3">
        <v>45709.870127314818</v>
      </c>
      <c r="D855" t="s">
        <v>350</v>
      </c>
      <c r="E855" s="4">
        <v>0.191</v>
      </c>
      <c r="F855" s="4">
        <v>436406.38</v>
      </c>
      <c r="G855" s="4">
        <v>436406.571</v>
      </c>
      <c r="H855" s="5">
        <f>120 / 86400</f>
        <v>1.3888888888888889E-3</v>
      </c>
      <c r="I855" t="s">
        <v>33</v>
      </c>
      <c r="J855" t="s">
        <v>30</v>
      </c>
      <c r="K855" s="5">
        <f>186 / 86400</f>
        <v>2.1527777777777778E-3</v>
      </c>
      <c r="L855" s="5">
        <f>348 / 86400</f>
        <v>4.0277777777777777E-3</v>
      </c>
    </row>
    <row r="856" spans="1:12" x14ac:dyDescent="0.25">
      <c r="A856" s="3">
        <v>45709.874155092592</v>
      </c>
      <c r="B856" t="s">
        <v>70</v>
      </c>
      <c r="C856" s="3">
        <v>45709.876134259262</v>
      </c>
      <c r="D856" t="s">
        <v>349</v>
      </c>
      <c r="E856" s="4">
        <v>9.5000000000000001E-2</v>
      </c>
      <c r="F856" s="4">
        <v>436406.571</v>
      </c>
      <c r="G856" s="4">
        <v>436406.66600000003</v>
      </c>
      <c r="H856" s="5">
        <f>79 / 86400</f>
        <v>9.1435185185185185E-4</v>
      </c>
      <c r="I856" t="s">
        <v>134</v>
      </c>
      <c r="J856" t="s">
        <v>122</v>
      </c>
      <c r="K856" s="5">
        <f>171 / 86400</f>
        <v>1.9791666666666668E-3</v>
      </c>
      <c r="L856" s="5">
        <f>1443 / 86400</f>
        <v>1.6701388888888891E-2</v>
      </c>
    </row>
    <row r="857" spans="1:12" x14ac:dyDescent="0.25">
      <c r="A857" s="3">
        <v>45709.892835648148</v>
      </c>
      <c r="B857" t="s">
        <v>349</v>
      </c>
      <c r="C857" s="3">
        <v>45709.893530092595</v>
      </c>
      <c r="D857" t="s">
        <v>140</v>
      </c>
      <c r="E857" s="4">
        <v>7.5999999999999998E-2</v>
      </c>
      <c r="F857" s="4">
        <v>436406.66600000003</v>
      </c>
      <c r="G857" s="4">
        <v>436406.74200000003</v>
      </c>
      <c r="H857" s="5">
        <f>19 / 86400</f>
        <v>2.199074074074074E-4</v>
      </c>
      <c r="I857" t="s">
        <v>26</v>
      </c>
      <c r="J857" t="s">
        <v>121</v>
      </c>
      <c r="K857" s="5">
        <f>59 / 86400</f>
        <v>6.8287037037037036E-4</v>
      </c>
      <c r="L857" s="5">
        <f>2656 / 86400</f>
        <v>3.0740740740740742E-2</v>
      </c>
    </row>
    <row r="858" spans="1:12" x14ac:dyDescent="0.25">
      <c r="A858" s="3">
        <v>45709.924270833333</v>
      </c>
      <c r="B858" t="s">
        <v>140</v>
      </c>
      <c r="C858" s="3">
        <v>45709.924756944441</v>
      </c>
      <c r="D858" t="s">
        <v>140</v>
      </c>
      <c r="E858" s="4">
        <v>5.0000000000000001E-3</v>
      </c>
      <c r="F858" s="4">
        <v>436406.74200000003</v>
      </c>
      <c r="G858" s="4">
        <v>436406.74699999997</v>
      </c>
      <c r="H858" s="5">
        <f>20 / 86400</f>
        <v>2.3148148148148149E-4</v>
      </c>
      <c r="I858" t="s">
        <v>135</v>
      </c>
      <c r="J858" t="s">
        <v>48</v>
      </c>
      <c r="K858" s="5">
        <f>42 / 86400</f>
        <v>4.861111111111111E-4</v>
      </c>
      <c r="L858" s="5">
        <f>397 / 86400</f>
        <v>4.5949074074074078E-3</v>
      </c>
    </row>
    <row r="859" spans="1:12" x14ac:dyDescent="0.25">
      <c r="A859" s="3">
        <v>45709.929351851853</v>
      </c>
      <c r="B859" t="s">
        <v>140</v>
      </c>
      <c r="C859" s="3">
        <v>45709.930671296301</v>
      </c>
      <c r="D859" t="s">
        <v>350</v>
      </c>
      <c r="E859" s="4">
        <v>0.111</v>
      </c>
      <c r="F859" s="4">
        <v>436406.74699999997</v>
      </c>
      <c r="G859" s="4">
        <v>436406.85800000001</v>
      </c>
      <c r="H859" s="5">
        <f>20 / 86400</f>
        <v>2.3148148148148149E-4</v>
      </c>
      <c r="I859" t="s">
        <v>125</v>
      </c>
      <c r="J859" t="s">
        <v>30</v>
      </c>
      <c r="K859" s="5">
        <f>113 / 86400</f>
        <v>1.3078703703703703E-3</v>
      </c>
      <c r="L859" s="5">
        <f>725 / 86400</f>
        <v>8.3912037037037045E-3</v>
      </c>
    </row>
    <row r="860" spans="1:12" x14ac:dyDescent="0.25">
      <c r="A860" s="3">
        <v>45709.939062500001</v>
      </c>
      <c r="B860" t="s">
        <v>350</v>
      </c>
      <c r="C860" s="3">
        <v>45709.940127314811</v>
      </c>
      <c r="D860" t="s">
        <v>140</v>
      </c>
      <c r="E860" s="4">
        <v>7.2999999999999995E-2</v>
      </c>
      <c r="F860" s="4">
        <v>436406.85800000001</v>
      </c>
      <c r="G860" s="4">
        <v>436406.93099999998</v>
      </c>
      <c r="H860" s="5">
        <f>20 / 86400</f>
        <v>2.3148148148148149E-4</v>
      </c>
      <c r="I860" t="s">
        <v>134</v>
      </c>
      <c r="J860" t="s">
        <v>135</v>
      </c>
      <c r="K860" s="5">
        <f>92 / 86400</f>
        <v>1.0648148148148149E-3</v>
      </c>
      <c r="L860" s="5">
        <f>3858 / 86400</f>
        <v>4.4652777777777777E-2</v>
      </c>
    </row>
    <row r="861" spans="1:12" x14ac:dyDescent="0.25">
      <c r="A861" s="3">
        <v>45709.984780092593</v>
      </c>
      <c r="B861" t="s">
        <v>140</v>
      </c>
      <c r="C861" s="3">
        <v>45709.987141203703</v>
      </c>
      <c r="D861" t="s">
        <v>70</v>
      </c>
      <c r="E861" s="4">
        <v>0.30199999999999999</v>
      </c>
      <c r="F861" s="4">
        <v>436406.93099999998</v>
      </c>
      <c r="G861" s="4">
        <v>436407.23300000001</v>
      </c>
      <c r="H861" s="5">
        <f>99 / 86400</f>
        <v>1.1458333333333333E-3</v>
      </c>
      <c r="I861" t="s">
        <v>143</v>
      </c>
      <c r="J861" t="s">
        <v>121</v>
      </c>
      <c r="K861" s="5">
        <f>204 / 86400</f>
        <v>2.3611111111111111E-3</v>
      </c>
      <c r="L861" s="5">
        <f>1110 / 86400</f>
        <v>1.2847222222222222E-2</v>
      </c>
    </row>
    <row r="862" spans="1:12" x14ac:dyDescent="0.25">
      <c r="A862" s="12"/>
      <c r="B862" s="12"/>
      <c r="C862" s="12"/>
      <c r="D862" s="12"/>
      <c r="E862" s="12"/>
      <c r="F862" s="12"/>
      <c r="G862" s="12"/>
      <c r="H862" s="12"/>
      <c r="I862" s="12"/>
      <c r="J862" s="12"/>
    </row>
    <row r="863" spans="1:12" x14ac:dyDescent="0.25">
      <c r="A863" s="12"/>
      <c r="B863" s="12"/>
      <c r="C863" s="12"/>
      <c r="D863" s="12"/>
      <c r="E863" s="12"/>
      <c r="F863" s="12"/>
      <c r="G863" s="12"/>
      <c r="H863" s="12"/>
      <c r="I863" s="12"/>
      <c r="J863" s="12"/>
    </row>
    <row r="864" spans="1:12" s="10" customFormat="1" ht="20.100000000000001" customHeight="1" x14ac:dyDescent="0.35">
      <c r="A864" s="15" t="s">
        <v>482</v>
      </c>
      <c r="B864" s="15"/>
      <c r="C864" s="15"/>
      <c r="D864" s="15"/>
      <c r="E864" s="15"/>
      <c r="F864" s="15"/>
      <c r="G864" s="15"/>
      <c r="H864" s="15"/>
      <c r="I864" s="15"/>
      <c r="J864" s="15"/>
    </row>
    <row r="865" spans="1:12" x14ac:dyDescent="0.25">
      <c r="A865" s="12"/>
      <c r="B865" s="12"/>
      <c r="C865" s="12"/>
      <c r="D865" s="12"/>
      <c r="E865" s="12"/>
      <c r="F865" s="12"/>
      <c r="G865" s="12"/>
      <c r="H865" s="12"/>
      <c r="I865" s="12"/>
      <c r="J865" s="12"/>
    </row>
    <row r="866" spans="1:12" ht="30" x14ac:dyDescent="0.25">
      <c r="A866" s="2" t="s">
        <v>6</v>
      </c>
      <c r="B866" s="2" t="s">
        <v>7</v>
      </c>
      <c r="C866" s="2" t="s">
        <v>8</v>
      </c>
      <c r="D866" s="2" t="s">
        <v>9</v>
      </c>
      <c r="E866" s="2" t="s">
        <v>10</v>
      </c>
      <c r="F866" s="2" t="s">
        <v>11</v>
      </c>
      <c r="G866" s="2" t="s">
        <v>12</v>
      </c>
      <c r="H866" s="2" t="s">
        <v>13</v>
      </c>
      <c r="I866" s="2" t="s">
        <v>14</v>
      </c>
      <c r="J866" s="2" t="s">
        <v>15</v>
      </c>
      <c r="K866" s="2" t="s">
        <v>16</v>
      </c>
      <c r="L866" s="2" t="s">
        <v>17</v>
      </c>
    </row>
    <row r="867" spans="1:12" x14ac:dyDescent="0.25">
      <c r="A867" s="3">
        <v>45709.203738425931</v>
      </c>
      <c r="B867" t="s">
        <v>46</v>
      </c>
      <c r="C867" s="3">
        <v>45709.204259259262</v>
      </c>
      <c r="D867" t="s">
        <v>46</v>
      </c>
      <c r="E867" s="4">
        <v>1.6E-2</v>
      </c>
      <c r="F867" s="4">
        <v>517044.93800000002</v>
      </c>
      <c r="G867" s="4">
        <v>517044.95400000003</v>
      </c>
      <c r="H867" s="5">
        <f>1 / 86400</f>
        <v>1.1574074074074073E-5</v>
      </c>
      <c r="I867" t="s">
        <v>57</v>
      </c>
      <c r="J867" t="s">
        <v>47</v>
      </c>
      <c r="K867" s="5">
        <f>45 / 86400</f>
        <v>5.2083333333333333E-4</v>
      </c>
      <c r="L867" s="5">
        <f>17618 / 86400</f>
        <v>0.20391203703703703</v>
      </c>
    </row>
    <row r="868" spans="1:12" x14ac:dyDescent="0.25">
      <c r="A868" s="3">
        <v>45709.204432870371</v>
      </c>
      <c r="B868" t="s">
        <v>46</v>
      </c>
      <c r="C868" s="3">
        <v>45709.20449074074</v>
      </c>
      <c r="D868" t="s">
        <v>46</v>
      </c>
      <c r="E868" s="4">
        <v>0</v>
      </c>
      <c r="F868" s="4">
        <v>517044.95400000003</v>
      </c>
      <c r="G868" s="4">
        <v>517044.95400000003</v>
      </c>
      <c r="H868" s="5">
        <f>1 / 86400</f>
        <v>1.1574074074074073E-5</v>
      </c>
      <c r="I868" t="s">
        <v>48</v>
      </c>
      <c r="J868" t="s">
        <v>48</v>
      </c>
      <c r="K868" s="5">
        <f>5 / 86400</f>
        <v>5.7870370370370373E-5</v>
      </c>
      <c r="L868" s="5">
        <f>12 / 86400</f>
        <v>1.3888888888888889E-4</v>
      </c>
    </row>
    <row r="869" spans="1:12" x14ac:dyDescent="0.25">
      <c r="A869" s="3">
        <v>45709.204629629632</v>
      </c>
      <c r="B869" t="s">
        <v>46</v>
      </c>
      <c r="C869" s="3">
        <v>45709.204664351855</v>
      </c>
      <c r="D869" t="s">
        <v>46</v>
      </c>
      <c r="E869" s="4">
        <v>0</v>
      </c>
      <c r="F869" s="4">
        <v>517044.95400000003</v>
      </c>
      <c r="G869" s="4">
        <v>517044.95400000003</v>
      </c>
      <c r="H869" s="5">
        <f>0 / 86400</f>
        <v>0</v>
      </c>
      <c r="I869" t="s">
        <v>48</v>
      </c>
      <c r="J869" t="s">
        <v>48</v>
      </c>
      <c r="K869" s="5">
        <f>3 / 86400</f>
        <v>3.4722222222222222E-5</v>
      </c>
      <c r="L869" s="5">
        <f>2689 / 86400</f>
        <v>3.1122685185185184E-2</v>
      </c>
    </row>
    <row r="870" spans="1:12" x14ac:dyDescent="0.25">
      <c r="A870" s="3">
        <v>45709.235787037032</v>
      </c>
      <c r="B870" t="s">
        <v>46</v>
      </c>
      <c r="C870" s="3">
        <v>45709.394166666665</v>
      </c>
      <c r="D870" t="s">
        <v>63</v>
      </c>
      <c r="E870" s="4">
        <v>61.170999999999999</v>
      </c>
      <c r="F870" s="4">
        <v>517044.95400000003</v>
      </c>
      <c r="G870" s="4">
        <v>517106.125</v>
      </c>
      <c r="H870" s="5">
        <f>4155 / 86400</f>
        <v>4.809027777777778E-2</v>
      </c>
      <c r="I870" t="s">
        <v>19</v>
      </c>
      <c r="J870" t="s">
        <v>28</v>
      </c>
      <c r="K870" s="5">
        <f>13684 / 86400</f>
        <v>0.15837962962962962</v>
      </c>
      <c r="L870" s="5">
        <f>30 / 86400</f>
        <v>3.4722222222222224E-4</v>
      </c>
    </row>
    <row r="871" spans="1:12" x14ac:dyDescent="0.25">
      <c r="A871" s="3">
        <v>45709.394513888888</v>
      </c>
      <c r="B871" t="s">
        <v>63</v>
      </c>
      <c r="C871" s="3">
        <v>45709.468009259261</v>
      </c>
      <c r="D871" t="s">
        <v>70</v>
      </c>
      <c r="E871" s="4">
        <v>38.741999999999997</v>
      </c>
      <c r="F871" s="4">
        <v>517106.359</v>
      </c>
      <c r="G871" s="4">
        <v>517145.10100000002</v>
      </c>
      <c r="H871" s="5">
        <f>1321 / 86400</f>
        <v>1.5289351851851853E-2</v>
      </c>
      <c r="I871" t="s">
        <v>165</v>
      </c>
      <c r="J871" t="s">
        <v>143</v>
      </c>
      <c r="K871" s="5">
        <f>6350 / 86400</f>
        <v>7.3495370370370364E-2</v>
      </c>
      <c r="L871" s="5">
        <f>1469 / 86400</f>
        <v>1.7002314814814814E-2</v>
      </c>
    </row>
    <row r="872" spans="1:12" x14ac:dyDescent="0.25">
      <c r="A872" s="3">
        <v>45709.48501157407</v>
      </c>
      <c r="B872" t="s">
        <v>140</v>
      </c>
      <c r="C872" s="3">
        <v>45709.48538194444</v>
      </c>
      <c r="D872" t="s">
        <v>140</v>
      </c>
      <c r="E872" s="4">
        <v>0</v>
      </c>
      <c r="F872" s="4">
        <v>517145.10100000002</v>
      </c>
      <c r="G872" s="4">
        <v>517145.10100000002</v>
      </c>
      <c r="H872" s="5">
        <f>30 / 86400</f>
        <v>3.4722222222222224E-4</v>
      </c>
      <c r="I872" t="s">
        <v>48</v>
      </c>
      <c r="J872" t="s">
        <v>48</v>
      </c>
      <c r="K872" s="5">
        <f>32 / 86400</f>
        <v>3.7037037037037035E-4</v>
      </c>
      <c r="L872" s="5">
        <f>4 / 86400</f>
        <v>4.6296296296296294E-5</v>
      </c>
    </row>
    <row r="873" spans="1:12" x14ac:dyDescent="0.25">
      <c r="A873" s="3">
        <v>45709.48542824074</v>
      </c>
      <c r="B873" t="s">
        <v>140</v>
      </c>
      <c r="C873" s="3">
        <v>45709.48637731481</v>
      </c>
      <c r="D873" t="s">
        <v>140</v>
      </c>
      <c r="E873" s="4">
        <v>0</v>
      </c>
      <c r="F873" s="4">
        <v>517145.10100000002</v>
      </c>
      <c r="G873" s="4">
        <v>517145.10100000002</v>
      </c>
      <c r="H873" s="5">
        <f>54 / 86400</f>
        <v>6.2500000000000001E-4</v>
      </c>
      <c r="I873" t="s">
        <v>48</v>
      </c>
      <c r="J873" t="s">
        <v>48</v>
      </c>
      <c r="K873" s="5">
        <f>82 / 86400</f>
        <v>9.4907407407407408E-4</v>
      </c>
      <c r="L873" s="5">
        <f>326 / 86400</f>
        <v>3.7731481481481483E-3</v>
      </c>
    </row>
    <row r="874" spans="1:12" x14ac:dyDescent="0.25">
      <c r="A874" s="3">
        <v>45709.490150462967</v>
      </c>
      <c r="B874" t="s">
        <v>70</v>
      </c>
      <c r="C874" s="3">
        <v>45709.525300925925</v>
      </c>
      <c r="D874" t="s">
        <v>126</v>
      </c>
      <c r="E874" s="4">
        <v>1.302</v>
      </c>
      <c r="F874" s="4">
        <v>517145.10100000002</v>
      </c>
      <c r="G874" s="4">
        <v>517146.40299999999</v>
      </c>
      <c r="H874" s="5">
        <f>2640 / 86400</f>
        <v>3.0555555555555555E-2</v>
      </c>
      <c r="I874" t="s">
        <v>29</v>
      </c>
      <c r="J874" t="s">
        <v>122</v>
      </c>
      <c r="K874" s="5">
        <f>3037 / 86400</f>
        <v>3.515046296296296E-2</v>
      </c>
      <c r="L874" s="5">
        <f>2 / 86400</f>
        <v>2.3148148148148147E-5</v>
      </c>
    </row>
    <row r="875" spans="1:12" x14ac:dyDescent="0.25">
      <c r="A875" s="3">
        <v>45709.525324074071</v>
      </c>
      <c r="B875" t="s">
        <v>126</v>
      </c>
      <c r="C875" s="3">
        <v>45709.61105324074</v>
      </c>
      <c r="D875" t="s">
        <v>249</v>
      </c>
      <c r="E875" s="4">
        <v>37.218000000000004</v>
      </c>
      <c r="F875" s="4">
        <v>517146.40299999999</v>
      </c>
      <c r="G875" s="4">
        <v>517183.62099999998</v>
      </c>
      <c r="H875" s="5">
        <f>2130 / 86400</f>
        <v>2.4652777777777777E-2</v>
      </c>
      <c r="I875" t="s">
        <v>238</v>
      </c>
      <c r="J875" t="s">
        <v>20</v>
      </c>
      <c r="K875" s="5">
        <f>7407 / 86400</f>
        <v>8.5729166666666662E-2</v>
      </c>
      <c r="L875" s="5">
        <f>2 / 86400</f>
        <v>2.3148148148148147E-5</v>
      </c>
    </row>
    <row r="876" spans="1:12" x14ac:dyDescent="0.25">
      <c r="A876" s="3">
        <v>45709.611076388886</v>
      </c>
      <c r="B876" t="s">
        <v>249</v>
      </c>
      <c r="C876" s="3">
        <v>45709.611087962963</v>
      </c>
      <c r="D876" t="s">
        <v>101</v>
      </c>
      <c r="E876" s="4">
        <v>1.6E-2</v>
      </c>
      <c r="F876" s="4">
        <v>517183.62900000002</v>
      </c>
      <c r="G876" s="4">
        <v>517183.64500000002</v>
      </c>
      <c r="H876" s="5">
        <f>0 / 86400</f>
        <v>0</v>
      </c>
      <c r="I876" t="s">
        <v>205</v>
      </c>
      <c r="J876" t="s">
        <v>156</v>
      </c>
      <c r="K876" s="5">
        <f>1 / 86400</f>
        <v>1.1574074074074073E-5</v>
      </c>
      <c r="L876" s="5">
        <f>30 / 86400</f>
        <v>3.4722222222222224E-4</v>
      </c>
    </row>
    <row r="877" spans="1:12" x14ac:dyDescent="0.25">
      <c r="A877" s="3">
        <v>45709.611435185187</v>
      </c>
      <c r="B877" t="s">
        <v>251</v>
      </c>
      <c r="C877" s="3">
        <v>45709.620844907404</v>
      </c>
      <c r="D877" t="s">
        <v>424</v>
      </c>
      <c r="E877" s="4">
        <v>2.3959999999999999</v>
      </c>
      <c r="F877" s="4">
        <v>517183.94799999997</v>
      </c>
      <c r="G877" s="4">
        <v>517186.34399999998</v>
      </c>
      <c r="H877" s="5">
        <f>391 / 86400</f>
        <v>4.5254629629629629E-3</v>
      </c>
      <c r="I877" t="s">
        <v>200</v>
      </c>
      <c r="J877" t="s">
        <v>128</v>
      </c>
      <c r="K877" s="5">
        <f>813 / 86400</f>
        <v>9.4097222222222221E-3</v>
      </c>
      <c r="L877" s="5">
        <f>1 / 86400</f>
        <v>1.1574074074074073E-5</v>
      </c>
    </row>
    <row r="878" spans="1:12" x14ac:dyDescent="0.25">
      <c r="A878" s="3">
        <v>45709.620856481481</v>
      </c>
      <c r="B878" t="s">
        <v>424</v>
      </c>
      <c r="C878" s="3">
        <v>45709.7575</v>
      </c>
      <c r="D878" t="s">
        <v>92</v>
      </c>
      <c r="E878" s="4">
        <v>30.975999999999999</v>
      </c>
      <c r="F878" s="4">
        <v>517186.34899999999</v>
      </c>
      <c r="G878" s="4">
        <v>517217.32500000001</v>
      </c>
      <c r="H878" s="5">
        <f>5190 / 86400</f>
        <v>6.0069444444444446E-2</v>
      </c>
      <c r="I878" t="s">
        <v>96</v>
      </c>
      <c r="J878" t="s">
        <v>125</v>
      </c>
      <c r="K878" s="5">
        <f>11806 / 86400</f>
        <v>0.13664351851851853</v>
      </c>
      <c r="L878" s="5">
        <f>3 / 86400</f>
        <v>3.4722222222222222E-5</v>
      </c>
    </row>
    <row r="879" spans="1:12" x14ac:dyDescent="0.25">
      <c r="A879" s="3">
        <v>45709.757534722223</v>
      </c>
      <c r="B879" t="s">
        <v>92</v>
      </c>
      <c r="C879" s="3">
        <v>45709.757789351846</v>
      </c>
      <c r="D879" t="s">
        <v>92</v>
      </c>
      <c r="E879" s="4">
        <v>0.08</v>
      </c>
      <c r="F879" s="4">
        <v>517217.33600000001</v>
      </c>
      <c r="G879" s="4">
        <v>517217.41600000003</v>
      </c>
      <c r="H879" s="5">
        <f>0 / 86400</f>
        <v>0</v>
      </c>
      <c r="I879" t="s">
        <v>141</v>
      </c>
      <c r="J879" t="s">
        <v>26</v>
      </c>
      <c r="K879" s="5">
        <f>22 / 86400</f>
        <v>2.5462962962962961E-4</v>
      </c>
      <c r="L879" s="5">
        <f>3 / 86400</f>
        <v>3.4722222222222222E-5</v>
      </c>
    </row>
    <row r="880" spans="1:12" x14ac:dyDescent="0.25">
      <c r="A880" s="3">
        <v>45709.75782407407</v>
      </c>
      <c r="B880" t="s">
        <v>92</v>
      </c>
      <c r="C880" s="3">
        <v>45709.820937500001</v>
      </c>
      <c r="D880" t="s">
        <v>70</v>
      </c>
      <c r="E880" s="4">
        <v>28.859000000000002</v>
      </c>
      <c r="F880" s="4">
        <v>517217.41800000001</v>
      </c>
      <c r="G880" s="4">
        <v>517246.277</v>
      </c>
      <c r="H880" s="5">
        <f>1229 / 86400</f>
        <v>1.4224537037037037E-2</v>
      </c>
      <c r="I880" t="s">
        <v>146</v>
      </c>
      <c r="J880" t="s">
        <v>77</v>
      </c>
      <c r="K880" s="5">
        <f>5453 / 86400</f>
        <v>6.311342592592592E-2</v>
      </c>
      <c r="L880" s="5">
        <f>1148 / 86400</f>
        <v>1.3287037037037036E-2</v>
      </c>
    </row>
    <row r="881" spans="1:12" x14ac:dyDescent="0.25">
      <c r="A881" s="3">
        <v>45709.834224537037</v>
      </c>
      <c r="B881" t="s">
        <v>70</v>
      </c>
      <c r="C881" s="3">
        <v>45709.839282407411</v>
      </c>
      <c r="D881" t="s">
        <v>46</v>
      </c>
      <c r="E881" s="4">
        <v>0.93100000000000005</v>
      </c>
      <c r="F881" s="4">
        <v>517246.277</v>
      </c>
      <c r="G881" s="4">
        <v>517247.20799999998</v>
      </c>
      <c r="H881" s="5">
        <f>209 / 86400</f>
        <v>2.4189814814814816E-3</v>
      </c>
      <c r="I881" t="s">
        <v>143</v>
      </c>
      <c r="J881" t="s">
        <v>59</v>
      </c>
      <c r="K881" s="5">
        <f>437 / 86400</f>
        <v>5.0578703703703706E-3</v>
      </c>
      <c r="L881" s="5">
        <f>13885 / 86400</f>
        <v>0.16070601851851851</v>
      </c>
    </row>
    <row r="882" spans="1:12" x14ac:dyDescent="0.25">
      <c r="A882" s="12"/>
      <c r="B882" s="12"/>
      <c r="C882" s="12"/>
      <c r="D882" s="12"/>
      <c r="E882" s="12"/>
      <c r="F882" s="12"/>
      <c r="G882" s="12"/>
      <c r="H882" s="12"/>
      <c r="I882" s="12"/>
      <c r="J882" s="12"/>
    </row>
    <row r="883" spans="1:12" x14ac:dyDescent="0.25">
      <c r="A883" s="12"/>
      <c r="B883" s="12"/>
      <c r="C883" s="12"/>
      <c r="D883" s="12"/>
      <c r="E883" s="12"/>
      <c r="F883" s="12"/>
      <c r="G883" s="12"/>
      <c r="H883" s="12"/>
      <c r="I883" s="12"/>
      <c r="J883" s="12"/>
    </row>
    <row r="884" spans="1:12" s="10" customFormat="1" ht="20.100000000000001" customHeight="1" x14ac:dyDescent="0.35">
      <c r="A884" s="15" t="s">
        <v>483</v>
      </c>
      <c r="B884" s="15"/>
      <c r="C884" s="15"/>
      <c r="D884" s="15"/>
      <c r="E884" s="15"/>
      <c r="F884" s="15"/>
      <c r="G884" s="15"/>
      <c r="H884" s="15"/>
      <c r="I884" s="15"/>
      <c r="J884" s="15"/>
    </row>
    <row r="885" spans="1:12" x14ac:dyDescent="0.25">
      <c r="A885" s="12"/>
      <c r="B885" s="12"/>
      <c r="C885" s="12"/>
      <c r="D885" s="12"/>
      <c r="E885" s="12"/>
      <c r="F885" s="12"/>
      <c r="G885" s="12"/>
      <c r="H885" s="12"/>
      <c r="I885" s="12"/>
      <c r="J885" s="12"/>
    </row>
    <row r="886" spans="1:12" ht="30" x14ac:dyDescent="0.25">
      <c r="A886" s="2" t="s">
        <v>6</v>
      </c>
      <c r="B886" s="2" t="s">
        <v>7</v>
      </c>
      <c r="C886" s="2" t="s">
        <v>8</v>
      </c>
      <c r="D886" s="2" t="s">
        <v>9</v>
      </c>
      <c r="E886" s="2" t="s">
        <v>10</v>
      </c>
      <c r="F886" s="2" t="s">
        <v>11</v>
      </c>
      <c r="G886" s="2" t="s">
        <v>12</v>
      </c>
      <c r="H886" s="2" t="s">
        <v>13</v>
      </c>
      <c r="I886" s="2" t="s">
        <v>14</v>
      </c>
      <c r="J886" s="2" t="s">
        <v>15</v>
      </c>
      <c r="K886" s="2" t="s">
        <v>16</v>
      </c>
      <c r="L886" s="2" t="s">
        <v>17</v>
      </c>
    </row>
    <row r="887" spans="1:12" x14ac:dyDescent="0.25">
      <c r="A887" s="3">
        <v>45709.219710648147</v>
      </c>
      <c r="B887" t="s">
        <v>81</v>
      </c>
      <c r="C887" s="3">
        <v>45709.801793981482</v>
      </c>
      <c r="D887" t="s">
        <v>81</v>
      </c>
      <c r="E887" s="4">
        <v>206.911</v>
      </c>
      <c r="F887" s="4">
        <v>506476.58399999997</v>
      </c>
      <c r="G887" s="4">
        <v>506683.495</v>
      </c>
      <c r="H887" s="5">
        <f>20341 / 86400</f>
        <v>0.23542824074074073</v>
      </c>
      <c r="I887" t="s">
        <v>73</v>
      </c>
      <c r="J887" t="s">
        <v>41</v>
      </c>
      <c r="K887" s="5">
        <f>50292 / 86400</f>
        <v>0.58208333333333329</v>
      </c>
      <c r="L887" s="5">
        <f>36107 / 86400</f>
        <v>0.41790509259259262</v>
      </c>
    </row>
    <row r="888" spans="1:12" x14ac:dyDescent="0.25">
      <c r="A888" s="12"/>
      <c r="B888" s="12"/>
      <c r="C888" s="12"/>
      <c r="D888" s="12"/>
      <c r="E888" s="12"/>
      <c r="F888" s="12"/>
      <c r="G888" s="12"/>
      <c r="H888" s="12"/>
      <c r="I888" s="12"/>
      <c r="J888" s="12"/>
    </row>
    <row r="889" spans="1:12" x14ac:dyDescent="0.25">
      <c r="A889" s="12"/>
      <c r="B889" s="12"/>
      <c r="C889" s="12"/>
      <c r="D889" s="12"/>
      <c r="E889" s="12"/>
      <c r="F889" s="12"/>
      <c r="G889" s="12"/>
      <c r="H889" s="12"/>
      <c r="I889" s="12"/>
      <c r="J889" s="12"/>
    </row>
    <row r="890" spans="1:12" s="10" customFormat="1" ht="20.100000000000001" customHeight="1" x14ac:dyDescent="0.35">
      <c r="A890" s="15" t="s">
        <v>484</v>
      </c>
      <c r="B890" s="15"/>
      <c r="C890" s="15"/>
      <c r="D890" s="15"/>
      <c r="E890" s="15"/>
      <c r="F890" s="15"/>
      <c r="G890" s="15"/>
      <c r="H890" s="15"/>
      <c r="I890" s="15"/>
      <c r="J890" s="15"/>
    </row>
    <row r="891" spans="1:12" x14ac:dyDescent="0.25">
      <c r="A891" s="12"/>
      <c r="B891" s="12"/>
      <c r="C891" s="12"/>
      <c r="D891" s="12"/>
      <c r="E891" s="12"/>
      <c r="F891" s="12"/>
      <c r="G891" s="12"/>
      <c r="H891" s="12"/>
      <c r="I891" s="12"/>
      <c r="J891" s="12"/>
    </row>
    <row r="892" spans="1:12" ht="30" x14ac:dyDescent="0.25">
      <c r="A892" s="2" t="s">
        <v>6</v>
      </c>
      <c r="B892" s="2" t="s">
        <v>7</v>
      </c>
      <c r="C892" s="2" t="s">
        <v>8</v>
      </c>
      <c r="D892" s="2" t="s">
        <v>9</v>
      </c>
      <c r="E892" s="2" t="s">
        <v>10</v>
      </c>
      <c r="F892" s="2" t="s">
        <v>11</v>
      </c>
      <c r="G892" s="2" t="s">
        <v>12</v>
      </c>
      <c r="H892" s="2" t="s">
        <v>13</v>
      </c>
      <c r="I892" s="2" t="s">
        <v>14</v>
      </c>
      <c r="J892" s="2" t="s">
        <v>15</v>
      </c>
      <c r="K892" s="2" t="s">
        <v>16</v>
      </c>
      <c r="L892" s="2" t="s">
        <v>17</v>
      </c>
    </row>
    <row r="893" spans="1:12" x14ac:dyDescent="0.25">
      <c r="A893" s="3">
        <v>45709.264560185184</v>
      </c>
      <c r="B893" t="s">
        <v>82</v>
      </c>
      <c r="C893" s="3">
        <v>45709.425486111111</v>
      </c>
      <c r="D893" t="s">
        <v>425</v>
      </c>
      <c r="E893" s="4">
        <v>55.268000000000001</v>
      </c>
      <c r="F893" s="4">
        <v>353129.02799999999</v>
      </c>
      <c r="G893" s="4">
        <v>353184.29599999997</v>
      </c>
      <c r="H893" s="5">
        <f>5238 / 86400</f>
        <v>6.0624999999999998E-2</v>
      </c>
      <c r="I893" t="s">
        <v>40</v>
      </c>
      <c r="J893" t="s">
        <v>57</v>
      </c>
      <c r="K893" s="5">
        <f>13904 / 86400</f>
        <v>0.16092592592592592</v>
      </c>
      <c r="L893" s="5">
        <f>23253 / 86400</f>
        <v>0.26913194444444444</v>
      </c>
    </row>
    <row r="894" spans="1:12" x14ac:dyDescent="0.25">
      <c r="A894" s="3">
        <v>45709.43005787037</v>
      </c>
      <c r="B894" t="s">
        <v>425</v>
      </c>
      <c r="C894" s="3">
        <v>45709.437407407408</v>
      </c>
      <c r="D894" t="s">
        <v>426</v>
      </c>
      <c r="E894" s="4">
        <v>1.7370000000000001</v>
      </c>
      <c r="F894" s="4">
        <v>353184.29599999997</v>
      </c>
      <c r="G894" s="4">
        <v>353186.033</v>
      </c>
      <c r="H894" s="5">
        <f>179 / 86400</f>
        <v>2.0717592592592593E-3</v>
      </c>
      <c r="I894" t="s">
        <v>143</v>
      </c>
      <c r="J894" t="s">
        <v>60</v>
      </c>
      <c r="K894" s="5">
        <f>635 / 86400</f>
        <v>7.3495370370370372E-3</v>
      </c>
      <c r="L894" s="5">
        <f>116 / 86400</f>
        <v>1.3425925925925925E-3</v>
      </c>
    </row>
    <row r="895" spans="1:12" x14ac:dyDescent="0.25">
      <c r="A895" s="3">
        <v>45709.438750000001</v>
      </c>
      <c r="B895" t="s">
        <v>426</v>
      </c>
      <c r="C895" s="3">
        <v>45709.450300925921</v>
      </c>
      <c r="D895" t="s">
        <v>427</v>
      </c>
      <c r="E895" s="4">
        <v>3.7829999999999999</v>
      </c>
      <c r="F895" s="4">
        <v>353186.033</v>
      </c>
      <c r="G895" s="4">
        <v>353189.81599999999</v>
      </c>
      <c r="H895" s="5">
        <f>259 / 86400</f>
        <v>2.9976851851851853E-3</v>
      </c>
      <c r="I895" t="s">
        <v>204</v>
      </c>
      <c r="J895" t="s">
        <v>57</v>
      </c>
      <c r="K895" s="5">
        <f>997 / 86400</f>
        <v>1.1539351851851851E-2</v>
      </c>
      <c r="L895" s="5">
        <f>298 / 86400</f>
        <v>3.449074074074074E-3</v>
      </c>
    </row>
    <row r="896" spans="1:12" x14ac:dyDescent="0.25">
      <c r="A896" s="3">
        <v>45709.453750000001</v>
      </c>
      <c r="B896" t="s">
        <v>427</v>
      </c>
      <c r="C896" s="3">
        <v>45709.674895833334</v>
      </c>
      <c r="D896" t="s">
        <v>428</v>
      </c>
      <c r="E896" s="4">
        <v>60.585000000000001</v>
      </c>
      <c r="F896" s="4">
        <v>353189.81599999999</v>
      </c>
      <c r="G896" s="4">
        <v>353250.40100000001</v>
      </c>
      <c r="H896" s="5">
        <f>8619 / 86400</f>
        <v>9.975694444444444E-2</v>
      </c>
      <c r="I896" t="s">
        <v>178</v>
      </c>
      <c r="J896" t="s">
        <v>128</v>
      </c>
      <c r="K896" s="5">
        <f>19106 / 86400</f>
        <v>0.22113425925925925</v>
      </c>
      <c r="L896" s="5">
        <f>1240 / 86400</f>
        <v>1.4351851851851852E-2</v>
      </c>
    </row>
    <row r="897" spans="1:12" x14ac:dyDescent="0.25">
      <c r="A897" s="3">
        <v>45709.689247685186</v>
      </c>
      <c r="B897" t="s">
        <v>428</v>
      </c>
      <c r="C897" s="3">
        <v>45709.69153935185</v>
      </c>
      <c r="D897" t="s">
        <v>70</v>
      </c>
      <c r="E897" s="4">
        <v>0.73299999999999998</v>
      </c>
      <c r="F897" s="4">
        <v>353250.40100000001</v>
      </c>
      <c r="G897" s="4">
        <v>353251.13400000002</v>
      </c>
      <c r="H897" s="5">
        <f>40 / 86400</f>
        <v>4.6296296296296298E-4</v>
      </c>
      <c r="I897" t="s">
        <v>168</v>
      </c>
      <c r="J897" t="s">
        <v>26</v>
      </c>
      <c r="K897" s="5">
        <f>197 / 86400</f>
        <v>2.2800925925925927E-3</v>
      </c>
      <c r="L897" s="5">
        <f>549 / 86400</f>
        <v>6.3541666666666668E-3</v>
      </c>
    </row>
    <row r="898" spans="1:12" x14ac:dyDescent="0.25">
      <c r="A898" s="3">
        <v>45709.697893518518</v>
      </c>
      <c r="B898" t="s">
        <v>70</v>
      </c>
      <c r="C898" s="3">
        <v>45709.70376157407</v>
      </c>
      <c r="D898" t="s">
        <v>46</v>
      </c>
      <c r="E898" s="4">
        <v>0.85299999999999998</v>
      </c>
      <c r="F898" s="4">
        <v>353251.13400000002</v>
      </c>
      <c r="G898" s="4">
        <v>353251.98700000002</v>
      </c>
      <c r="H898" s="5">
        <f>280 / 86400</f>
        <v>3.2407407407407406E-3</v>
      </c>
      <c r="I898" t="s">
        <v>247</v>
      </c>
      <c r="J898" t="s">
        <v>134</v>
      </c>
      <c r="K898" s="5">
        <f>507 / 86400</f>
        <v>5.8680555555555552E-3</v>
      </c>
      <c r="L898" s="5">
        <f>61 / 86400</f>
        <v>7.0601851851851847E-4</v>
      </c>
    </row>
    <row r="899" spans="1:12" x14ac:dyDescent="0.25">
      <c r="A899" s="3">
        <v>45709.704467592594</v>
      </c>
      <c r="B899" t="s">
        <v>46</v>
      </c>
      <c r="C899" s="3">
        <v>45709.709710648152</v>
      </c>
      <c r="D899" t="s">
        <v>151</v>
      </c>
      <c r="E899" s="4">
        <v>0.747</v>
      </c>
      <c r="F899" s="4">
        <v>353251.98700000002</v>
      </c>
      <c r="G899" s="4">
        <v>353252.734</v>
      </c>
      <c r="H899" s="5">
        <f>239 / 86400</f>
        <v>2.7662037037037039E-3</v>
      </c>
      <c r="I899" t="s">
        <v>143</v>
      </c>
      <c r="J899" t="s">
        <v>134</v>
      </c>
      <c r="K899" s="5">
        <f>452 / 86400</f>
        <v>5.2314814814814811E-3</v>
      </c>
      <c r="L899" s="5">
        <f>265 / 86400</f>
        <v>3.0671296296296297E-3</v>
      </c>
    </row>
    <row r="900" spans="1:12" x14ac:dyDescent="0.25">
      <c r="A900" s="3">
        <v>45709.712777777779</v>
      </c>
      <c r="B900" t="s">
        <v>151</v>
      </c>
      <c r="C900" s="3">
        <v>45709.713738425926</v>
      </c>
      <c r="D900" t="s">
        <v>151</v>
      </c>
      <c r="E900" s="4">
        <v>7.0000000000000001E-3</v>
      </c>
      <c r="F900" s="4">
        <v>353252.734</v>
      </c>
      <c r="G900" s="4">
        <v>353252.74099999998</v>
      </c>
      <c r="H900" s="5">
        <f>79 / 86400</f>
        <v>9.1435185185185185E-4</v>
      </c>
      <c r="I900" t="s">
        <v>48</v>
      </c>
      <c r="J900" t="s">
        <v>48</v>
      </c>
      <c r="K900" s="5">
        <f>83 / 86400</f>
        <v>9.6064814814814819E-4</v>
      </c>
      <c r="L900" s="5">
        <f>65 / 86400</f>
        <v>7.5231481481481482E-4</v>
      </c>
    </row>
    <row r="901" spans="1:12" x14ac:dyDescent="0.25">
      <c r="A901" s="3">
        <v>45709.714490740742</v>
      </c>
      <c r="B901" t="s">
        <v>151</v>
      </c>
      <c r="C901" s="3">
        <v>45709.716203703705</v>
      </c>
      <c r="D901" t="s">
        <v>151</v>
      </c>
      <c r="E901" s="4">
        <v>8.9999999999999993E-3</v>
      </c>
      <c r="F901" s="4">
        <v>353252.74099999998</v>
      </c>
      <c r="G901" s="4">
        <v>353252.75</v>
      </c>
      <c r="H901" s="5">
        <f>140 / 86400</f>
        <v>1.6203703703703703E-3</v>
      </c>
      <c r="I901" t="s">
        <v>48</v>
      </c>
      <c r="J901" t="s">
        <v>48</v>
      </c>
      <c r="K901" s="5">
        <f>148 / 86400</f>
        <v>1.712962962962963E-3</v>
      </c>
      <c r="L901" s="5">
        <f>8 / 86400</f>
        <v>9.2592592592592588E-5</v>
      </c>
    </row>
    <row r="902" spans="1:12" x14ac:dyDescent="0.25">
      <c r="A902" s="3">
        <v>45709.716296296298</v>
      </c>
      <c r="B902" t="s">
        <v>151</v>
      </c>
      <c r="C902" s="3">
        <v>45709.721284722225</v>
      </c>
      <c r="D902" t="s">
        <v>151</v>
      </c>
      <c r="E902" s="4">
        <v>2E-3</v>
      </c>
      <c r="F902" s="4">
        <v>353252.75</v>
      </c>
      <c r="G902" s="4">
        <v>353252.75199999998</v>
      </c>
      <c r="H902" s="5">
        <f>424 / 86400</f>
        <v>4.9074074074074072E-3</v>
      </c>
      <c r="I902" t="s">
        <v>48</v>
      </c>
      <c r="J902" t="s">
        <v>48</v>
      </c>
      <c r="K902" s="5">
        <f>431 / 86400</f>
        <v>4.9884259259259257E-3</v>
      </c>
      <c r="L902" s="5">
        <f>131 / 86400</f>
        <v>1.5162037037037036E-3</v>
      </c>
    </row>
    <row r="903" spans="1:12" x14ac:dyDescent="0.25">
      <c r="A903" s="3">
        <v>45709.722800925927</v>
      </c>
      <c r="B903" t="s">
        <v>151</v>
      </c>
      <c r="C903" s="3">
        <v>45709.747928240744</v>
      </c>
      <c r="D903" t="s">
        <v>429</v>
      </c>
      <c r="E903" s="4">
        <v>14.497</v>
      </c>
      <c r="F903" s="4">
        <v>353252.75199999998</v>
      </c>
      <c r="G903" s="4">
        <v>353267.24900000001</v>
      </c>
      <c r="H903" s="5">
        <f>379 / 86400</f>
        <v>4.386574074074074E-3</v>
      </c>
      <c r="I903" t="s">
        <v>35</v>
      </c>
      <c r="J903" t="s">
        <v>127</v>
      </c>
      <c r="K903" s="5">
        <f>2171 / 86400</f>
        <v>2.5127314814814814E-2</v>
      </c>
      <c r="L903" s="5">
        <f>65 / 86400</f>
        <v>7.5231481481481482E-4</v>
      </c>
    </row>
    <row r="904" spans="1:12" x14ac:dyDescent="0.25">
      <c r="A904" s="3">
        <v>45709.748680555553</v>
      </c>
      <c r="B904" t="s">
        <v>429</v>
      </c>
      <c r="C904" s="3">
        <v>45709.895277777774</v>
      </c>
      <c r="D904" t="s">
        <v>430</v>
      </c>
      <c r="E904" s="4">
        <v>38.844000000000001</v>
      </c>
      <c r="F904" s="4">
        <v>353267.24900000001</v>
      </c>
      <c r="G904" s="4">
        <v>353306.09299999999</v>
      </c>
      <c r="H904" s="5">
        <f>6379 / 86400</f>
        <v>7.3831018518518518E-2</v>
      </c>
      <c r="I904" t="s">
        <v>408</v>
      </c>
      <c r="J904" t="s">
        <v>128</v>
      </c>
      <c r="K904" s="5">
        <f>12665 / 86400</f>
        <v>0.14658564814814815</v>
      </c>
      <c r="L904" s="5">
        <f>174 / 86400</f>
        <v>2.0138888888888888E-3</v>
      </c>
    </row>
    <row r="905" spans="1:12" x14ac:dyDescent="0.25">
      <c r="A905" s="3">
        <v>45709.897291666668</v>
      </c>
      <c r="B905" t="s">
        <v>289</v>
      </c>
      <c r="C905" s="3">
        <v>45709.997395833328</v>
      </c>
      <c r="D905" t="s">
        <v>83</v>
      </c>
      <c r="E905" s="4">
        <v>47.987000000000002</v>
      </c>
      <c r="F905" s="4">
        <v>353306.09299999999</v>
      </c>
      <c r="G905" s="4">
        <v>353354.08</v>
      </c>
      <c r="H905" s="5">
        <f>2739 / 86400</f>
        <v>3.170138888888889E-2</v>
      </c>
      <c r="I905" t="s">
        <v>43</v>
      </c>
      <c r="J905" t="s">
        <v>33</v>
      </c>
      <c r="K905" s="5">
        <f>8649 / 86400</f>
        <v>0.10010416666666666</v>
      </c>
      <c r="L905" s="5">
        <f>97 / 86400</f>
        <v>1.1226851851851851E-3</v>
      </c>
    </row>
    <row r="906" spans="1:12" x14ac:dyDescent="0.25">
      <c r="A906" s="3">
        <v>45709.998518518521</v>
      </c>
      <c r="B906" t="s">
        <v>83</v>
      </c>
      <c r="C906" s="3">
        <v>45709.99998842593</v>
      </c>
      <c r="D906" t="s">
        <v>83</v>
      </c>
      <c r="E906" s="4">
        <v>0</v>
      </c>
      <c r="F906" s="4">
        <v>353354.08</v>
      </c>
      <c r="G906" s="4">
        <v>353354.08</v>
      </c>
      <c r="H906" s="5">
        <f>119 / 86400</f>
        <v>1.3773148148148147E-3</v>
      </c>
      <c r="I906" t="s">
        <v>48</v>
      </c>
      <c r="J906" t="s">
        <v>48</v>
      </c>
      <c r="K906" s="5">
        <f>127 / 86400</f>
        <v>1.4699074074074074E-3</v>
      </c>
      <c r="L906" s="5">
        <f>0 / 86400</f>
        <v>0</v>
      </c>
    </row>
    <row r="907" spans="1:12" x14ac:dyDescent="0.25">
      <c r="A907" s="12"/>
      <c r="B907" s="12"/>
      <c r="C907" s="12"/>
      <c r="D907" s="12"/>
      <c r="E907" s="12"/>
      <c r="F907" s="12"/>
      <c r="G907" s="12"/>
      <c r="H907" s="12"/>
      <c r="I907" s="12"/>
      <c r="J907" s="12"/>
    </row>
    <row r="908" spans="1:12" x14ac:dyDescent="0.25">
      <c r="A908" s="12"/>
      <c r="B908" s="12"/>
      <c r="C908" s="12"/>
      <c r="D908" s="12"/>
      <c r="E908" s="12"/>
      <c r="F908" s="12"/>
      <c r="G908" s="12"/>
      <c r="H908" s="12"/>
      <c r="I908" s="12"/>
      <c r="J908" s="12"/>
    </row>
    <row r="909" spans="1:12" s="10" customFormat="1" ht="20.100000000000001" customHeight="1" x14ac:dyDescent="0.35">
      <c r="A909" s="15" t="s">
        <v>485</v>
      </c>
      <c r="B909" s="15"/>
      <c r="C909" s="15"/>
      <c r="D909" s="15"/>
      <c r="E909" s="15"/>
      <c r="F909" s="15"/>
      <c r="G909" s="15"/>
      <c r="H909" s="15"/>
      <c r="I909" s="15"/>
      <c r="J909" s="15"/>
    </row>
    <row r="910" spans="1:12" x14ac:dyDescent="0.25">
      <c r="A910" s="12"/>
      <c r="B910" s="12"/>
      <c r="C910" s="12"/>
      <c r="D910" s="12"/>
      <c r="E910" s="12"/>
      <c r="F910" s="12"/>
      <c r="G910" s="12"/>
      <c r="H910" s="12"/>
      <c r="I910" s="12"/>
      <c r="J910" s="12"/>
    </row>
    <row r="911" spans="1:12" ht="30" x14ac:dyDescent="0.25">
      <c r="A911" s="2" t="s">
        <v>6</v>
      </c>
      <c r="B911" s="2" t="s">
        <v>7</v>
      </c>
      <c r="C911" s="2" t="s">
        <v>8</v>
      </c>
      <c r="D911" s="2" t="s">
        <v>9</v>
      </c>
      <c r="E911" s="2" t="s">
        <v>10</v>
      </c>
      <c r="F911" s="2" t="s">
        <v>11</v>
      </c>
      <c r="G911" s="2" t="s">
        <v>12</v>
      </c>
      <c r="H911" s="2" t="s">
        <v>13</v>
      </c>
      <c r="I911" s="2" t="s">
        <v>14</v>
      </c>
      <c r="J911" s="2" t="s">
        <v>15</v>
      </c>
      <c r="K911" s="2" t="s">
        <v>16</v>
      </c>
      <c r="L911" s="2" t="s">
        <v>17</v>
      </c>
    </row>
    <row r="912" spans="1:12" x14ac:dyDescent="0.25">
      <c r="A912" s="3">
        <v>45709.214062500003</v>
      </c>
      <c r="B912" t="s">
        <v>84</v>
      </c>
      <c r="C912" s="3">
        <v>45709.214201388888</v>
      </c>
      <c r="D912" t="s">
        <v>84</v>
      </c>
      <c r="E912" s="4">
        <v>0</v>
      </c>
      <c r="F912" s="4">
        <v>412084.19099999999</v>
      </c>
      <c r="G912" s="4">
        <v>412084.19099999999</v>
      </c>
      <c r="H912" s="5">
        <f>0 / 86400</f>
        <v>0</v>
      </c>
      <c r="I912" t="s">
        <v>48</v>
      </c>
      <c r="J912" t="s">
        <v>48</v>
      </c>
      <c r="K912" s="5">
        <f>12 / 86400</f>
        <v>1.3888888888888889E-4</v>
      </c>
      <c r="L912" s="5">
        <f>18535 / 86400</f>
        <v>0.21452546296296296</v>
      </c>
    </row>
    <row r="913" spans="1:12" x14ac:dyDescent="0.25">
      <c r="A913" s="3">
        <v>45709.21466435185</v>
      </c>
      <c r="B913" t="s">
        <v>84</v>
      </c>
      <c r="C913" s="3">
        <v>45709.229027777779</v>
      </c>
      <c r="D913" t="s">
        <v>207</v>
      </c>
      <c r="E913" s="4">
        <v>9.7560000000000002</v>
      </c>
      <c r="F913" s="4">
        <v>412084.19099999999</v>
      </c>
      <c r="G913" s="4">
        <v>412093.94699999999</v>
      </c>
      <c r="H913" s="5">
        <f>219 / 86400</f>
        <v>2.5347222222222221E-3</v>
      </c>
      <c r="I913" t="s">
        <v>76</v>
      </c>
      <c r="J913" t="s">
        <v>91</v>
      </c>
      <c r="K913" s="5">
        <f>1241 / 86400</f>
        <v>1.4363425925925925E-2</v>
      </c>
      <c r="L913" s="5">
        <f>1379 / 86400</f>
        <v>1.5960648148148147E-2</v>
      </c>
    </row>
    <row r="914" spans="1:12" x14ac:dyDescent="0.25">
      <c r="A914" s="3">
        <v>45709.244988425926</v>
      </c>
      <c r="B914" t="s">
        <v>207</v>
      </c>
      <c r="C914" s="3">
        <v>45709.458194444444</v>
      </c>
      <c r="D914" t="s">
        <v>149</v>
      </c>
      <c r="E914" s="4">
        <v>84.91</v>
      </c>
      <c r="F914" s="4">
        <v>412093.94699999999</v>
      </c>
      <c r="G914" s="4">
        <v>412178.85700000002</v>
      </c>
      <c r="H914" s="5">
        <f>5660 / 86400</f>
        <v>6.5509259259259253E-2</v>
      </c>
      <c r="I914" t="s">
        <v>238</v>
      </c>
      <c r="J914" t="s">
        <v>52</v>
      </c>
      <c r="K914" s="5">
        <f>18420 / 86400</f>
        <v>0.21319444444444444</v>
      </c>
      <c r="L914" s="5">
        <f>1559 / 86400</f>
        <v>1.804398148148148E-2</v>
      </c>
    </row>
    <row r="915" spans="1:12" x14ac:dyDescent="0.25">
      <c r="A915" s="3">
        <v>45709.476238425923</v>
      </c>
      <c r="B915" t="s">
        <v>149</v>
      </c>
      <c r="C915" s="3">
        <v>45709.478749999995</v>
      </c>
      <c r="D915" t="s">
        <v>126</v>
      </c>
      <c r="E915" s="4">
        <v>0.67</v>
      </c>
      <c r="F915" s="4">
        <v>412178.85700000002</v>
      </c>
      <c r="G915" s="4">
        <v>412179.527</v>
      </c>
      <c r="H915" s="5">
        <f>0 / 86400</f>
        <v>0</v>
      </c>
      <c r="I915" t="s">
        <v>168</v>
      </c>
      <c r="J915" t="s">
        <v>128</v>
      </c>
      <c r="K915" s="5">
        <f>216 / 86400</f>
        <v>2.5000000000000001E-3</v>
      </c>
      <c r="L915" s="5">
        <f>1081 / 86400</f>
        <v>1.2511574074074074E-2</v>
      </c>
    </row>
    <row r="916" spans="1:12" x14ac:dyDescent="0.25">
      <c r="A916" s="3">
        <v>45709.491261574076</v>
      </c>
      <c r="B916" t="s">
        <v>126</v>
      </c>
      <c r="C916" s="3">
        <v>45709.768645833334</v>
      </c>
      <c r="D916" t="s">
        <v>84</v>
      </c>
      <c r="E916" s="4">
        <v>113.748</v>
      </c>
      <c r="F916" s="4">
        <v>412179.527</v>
      </c>
      <c r="G916" s="4">
        <v>412293.27500000002</v>
      </c>
      <c r="H916" s="5">
        <f>8104 / 86400</f>
        <v>9.3796296296296294E-2</v>
      </c>
      <c r="I916" t="s">
        <v>35</v>
      </c>
      <c r="J916" t="s">
        <v>52</v>
      </c>
      <c r="K916" s="5">
        <f>23965 / 86400</f>
        <v>0.27737268518518521</v>
      </c>
      <c r="L916" s="5">
        <f>1092 / 86400</f>
        <v>1.2638888888888889E-2</v>
      </c>
    </row>
    <row r="917" spans="1:12" x14ac:dyDescent="0.25">
      <c r="A917" s="3">
        <v>45709.781284722223</v>
      </c>
      <c r="B917" t="s">
        <v>84</v>
      </c>
      <c r="C917" s="3">
        <v>45709.781863425931</v>
      </c>
      <c r="D917" t="s">
        <v>84</v>
      </c>
      <c r="E917" s="4">
        <v>4.0000000000000001E-3</v>
      </c>
      <c r="F917" s="4">
        <v>412293.27500000002</v>
      </c>
      <c r="G917" s="4">
        <v>412293.27899999998</v>
      </c>
      <c r="H917" s="5">
        <f>20 / 86400</f>
        <v>2.3148148148148149E-4</v>
      </c>
      <c r="I917" t="s">
        <v>47</v>
      </c>
      <c r="J917" t="s">
        <v>48</v>
      </c>
      <c r="K917" s="5">
        <f>49 / 86400</f>
        <v>5.6712962962962967E-4</v>
      </c>
      <c r="L917" s="5">
        <f>18846 / 86400</f>
        <v>0.21812500000000001</v>
      </c>
    </row>
    <row r="918" spans="1:12" x14ac:dyDescent="0.25">
      <c r="A918" s="12"/>
      <c r="B918" s="12"/>
      <c r="C918" s="12"/>
      <c r="D918" s="12"/>
      <c r="E918" s="12"/>
      <c r="F918" s="12"/>
      <c r="G918" s="12"/>
      <c r="H918" s="12"/>
      <c r="I918" s="12"/>
      <c r="J918" s="12"/>
    </row>
    <row r="919" spans="1:12" x14ac:dyDescent="0.25">
      <c r="A919" s="12"/>
      <c r="B919" s="12"/>
      <c r="C919" s="12"/>
      <c r="D919" s="12"/>
      <c r="E919" s="12"/>
      <c r="F919" s="12"/>
      <c r="G919" s="12"/>
      <c r="H919" s="12"/>
      <c r="I919" s="12"/>
      <c r="J919" s="12"/>
    </row>
    <row r="920" spans="1:12" s="10" customFormat="1" ht="20.100000000000001" customHeight="1" x14ac:dyDescent="0.35">
      <c r="A920" s="15" t="s">
        <v>486</v>
      </c>
      <c r="B920" s="15"/>
      <c r="C920" s="15"/>
      <c r="D920" s="15"/>
      <c r="E920" s="15"/>
      <c r="F920" s="15"/>
      <c r="G920" s="15"/>
      <c r="H920" s="15"/>
      <c r="I920" s="15"/>
      <c r="J920" s="15"/>
    </row>
    <row r="921" spans="1:12" x14ac:dyDescent="0.25">
      <c r="A921" s="12"/>
      <c r="B921" s="12"/>
      <c r="C921" s="12"/>
      <c r="D921" s="12"/>
      <c r="E921" s="12"/>
      <c r="F921" s="12"/>
      <c r="G921" s="12"/>
      <c r="H921" s="12"/>
      <c r="I921" s="12"/>
      <c r="J921" s="12"/>
    </row>
    <row r="922" spans="1:12" ht="30" x14ac:dyDescent="0.25">
      <c r="A922" s="2" t="s">
        <v>6</v>
      </c>
      <c r="B922" s="2" t="s">
        <v>7</v>
      </c>
      <c r="C922" s="2" t="s">
        <v>8</v>
      </c>
      <c r="D922" s="2" t="s">
        <v>9</v>
      </c>
      <c r="E922" s="2" t="s">
        <v>10</v>
      </c>
      <c r="F922" s="2" t="s">
        <v>11</v>
      </c>
      <c r="G922" s="2" t="s">
        <v>12</v>
      </c>
      <c r="H922" s="2" t="s">
        <v>13</v>
      </c>
      <c r="I922" s="2" t="s">
        <v>14</v>
      </c>
      <c r="J922" s="2" t="s">
        <v>15</v>
      </c>
      <c r="K922" s="2" t="s">
        <v>16</v>
      </c>
      <c r="L922" s="2" t="s">
        <v>17</v>
      </c>
    </row>
    <row r="923" spans="1:12" x14ac:dyDescent="0.25">
      <c r="A923" s="3">
        <v>45709.336550925931</v>
      </c>
      <c r="B923" t="s">
        <v>82</v>
      </c>
      <c r="C923" s="3">
        <v>45709.58525462963</v>
      </c>
      <c r="D923" t="s">
        <v>126</v>
      </c>
      <c r="E923" s="4">
        <v>96.626999999999995</v>
      </c>
      <c r="F923" s="4">
        <v>475320.99099999998</v>
      </c>
      <c r="G923" s="4">
        <v>475417.61800000002</v>
      </c>
      <c r="H923" s="5">
        <f>7201 / 86400</f>
        <v>8.3344907407407409E-2</v>
      </c>
      <c r="I923" t="s">
        <v>73</v>
      </c>
      <c r="J923" t="s">
        <v>28</v>
      </c>
      <c r="K923" s="5">
        <f>21487 / 86400</f>
        <v>0.24869212962962964</v>
      </c>
      <c r="L923" s="5">
        <f>29285 / 86400</f>
        <v>0.33894675925925927</v>
      </c>
    </row>
    <row r="924" spans="1:12" x14ac:dyDescent="0.25">
      <c r="A924" s="3">
        <v>45709.587650462963</v>
      </c>
      <c r="B924" t="s">
        <v>126</v>
      </c>
      <c r="C924" s="3">
        <v>45709.591493055559</v>
      </c>
      <c r="D924" t="s">
        <v>113</v>
      </c>
      <c r="E924" s="4">
        <v>1.133</v>
      </c>
      <c r="F924" s="4">
        <v>475417.61800000002</v>
      </c>
      <c r="G924" s="4">
        <v>475418.75099999999</v>
      </c>
      <c r="H924" s="5">
        <f>40 / 86400</f>
        <v>4.6296296296296298E-4</v>
      </c>
      <c r="I924" t="s">
        <v>143</v>
      </c>
      <c r="J924" t="s">
        <v>55</v>
      </c>
      <c r="K924" s="5">
        <f>332 / 86400</f>
        <v>3.8425925925925928E-3</v>
      </c>
      <c r="L924" s="5">
        <f>1311 / 86400</f>
        <v>1.5173611111111112E-2</v>
      </c>
    </row>
    <row r="925" spans="1:12" x14ac:dyDescent="0.25">
      <c r="A925" s="3">
        <v>45709.606666666667</v>
      </c>
      <c r="B925" t="s">
        <v>113</v>
      </c>
      <c r="C925" s="3">
        <v>45709.609884259262</v>
      </c>
      <c r="D925" t="s">
        <v>70</v>
      </c>
      <c r="E925" s="4">
        <v>0.999</v>
      </c>
      <c r="F925" s="4">
        <v>475418.75099999999</v>
      </c>
      <c r="G925" s="4">
        <v>475419.75</v>
      </c>
      <c r="H925" s="5">
        <f>60 / 86400</f>
        <v>6.9444444444444447E-4</v>
      </c>
      <c r="I925" t="s">
        <v>201</v>
      </c>
      <c r="J925" t="s">
        <v>26</v>
      </c>
      <c r="K925" s="5">
        <f>278 / 86400</f>
        <v>3.2175925925925926E-3</v>
      </c>
      <c r="L925" s="5">
        <f>548 / 86400</f>
        <v>6.3425925925925924E-3</v>
      </c>
    </row>
    <row r="926" spans="1:12" x14ac:dyDescent="0.25">
      <c r="A926" s="3">
        <v>45709.616226851853</v>
      </c>
      <c r="B926" t="s">
        <v>70</v>
      </c>
      <c r="C926" s="3">
        <v>45709.61787037037</v>
      </c>
      <c r="D926" t="s">
        <v>431</v>
      </c>
      <c r="E926" s="4">
        <v>0.254</v>
      </c>
      <c r="F926" s="4">
        <v>475419.75</v>
      </c>
      <c r="G926" s="4">
        <v>475420.00400000002</v>
      </c>
      <c r="H926" s="5">
        <f>74 / 86400</f>
        <v>8.564814814814815E-4</v>
      </c>
      <c r="I926" t="s">
        <v>127</v>
      </c>
      <c r="J926" t="s">
        <v>134</v>
      </c>
      <c r="K926" s="5">
        <f>142 / 86400</f>
        <v>1.6435185185185185E-3</v>
      </c>
      <c r="L926" s="5">
        <f>356 / 86400</f>
        <v>4.1203703703703706E-3</v>
      </c>
    </row>
    <row r="927" spans="1:12" x14ac:dyDescent="0.25">
      <c r="A927" s="3">
        <v>45709.621990740736</v>
      </c>
      <c r="B927" t="s">
        <v>431</v>
      </c>
      <c r="C927" s="3">
        <v>45709.62462962963</v>
      </c>
      <c r="D927" t="s">
        <v>44</v>
      </c>
      <c r="E927" s="4">
        <v>0.36899999999999999</v>
      </c>
      <c r="F927" s="4">
        <v>475420.00400000002</v>
      </c>
      <c r="G927" s="4">
        <v>475420.37300000002</v>
      </c>
      <c r="H927" s="5">
        <f>58 / 86400</f>
        <v>6.7129629629629625E-4</v>
      </c>
      <c r="I927" t="s">
        <v>66</v>
      </c>
      <c r="J927" t="s">
        <v>134</v>
      </c>
      <c r="K927" s="5">
        <f>227 / 86400</f>
        <v>2.627314814814815E-3</v>
      </c>
      <c r="L927" s="5">
        <f>1770 / 86400</f>
        <v>2.0486111111111111E-2</v>
      </c>
    </row>
    <row r="928" spans="1:12" x14ac:dyDescent="0.25">
      <c r="A928" s="3">
        <v>45709.645115740743</v>
      </c>
      <c r="B928" t="s">
        <v>44</v>
      </c>
      <c r="C928" s="3">
        <v>45709.720995370371</v>
      </c>
      <c r="D928" t="s">
        <v>248</v>
      </c>
      <c r="E928" s="4">
        <v>34.36</v>
      </c>
      <c r="F928" s="4">
        <v>475420.37300000002</v>
      </c>
      <c r="G928" s="4">
        <v>475454.73300000001</v>
      </c>
      <c r="H928" s="5">
        <f>1920 / 86400</f>
        <v>2.2222222222222223E-2</v>
      </c>
      <c r="I928" t="s">
        <v>35</v>
      </c>
      <c r="J928" t="s">
        <v>77</v>
      </c>
      <c r="K928" s="5">
        <f>6555 / 86400</f>
        <v>7.586805555555555E-2</v>
      </c>
      <c r="L928" s="5">
        <f>357 / 86400</f>
        <v>4.1319444444444442E-3</v>
      </c>
    </row>
    <row r="929" spans="1:12" x14ac:dyDescent="0.25">
      <c r="A929" s="3">
        <v>45709.725127314814</v>
      </c>
      <c r="B929" t="s">
        <v>248</v>
      </c>
      <c r="C929" s="3">
        <v>45709.805972222224</v>
      </c>
      <c r="D929" t="s">
        <v>83</v>
      </c>
      <c r="E929" s="4">
        <v>31.834</v>
      </c>
      <c r="F929" s="4">
        <v>475454.73300000001</v>
      </c>
      <c r="G929" s="4">
        <v>475486.56699999998</v>
      </c>
      <c r="H929" s="5">
        <f>2160 / 86400</f>
        <v>2.5000000000000001E-2</v>
      </c>
      <c r="I929" t="s">
        <v>25</v>
      </c>
      <c r="J929" t="s">
        <v>28</v>
      </c>
      <c r="K929" s="5">
        <f>6985 / 86400</f>
        <v>8.0844907407407407E-2</v>
      </c>
      <c r="L929" s="5">
        <f>498 / 86400</f>
        <v>5.7638888888888887E-3</v>
      </c>
    </row>
    <row r="930" spans="1:12" x14ac:dyDescent="0.25">
      <c r="A930" s="3">
        <v>45709.811736111107</v>
      </c>
      <c r="B930" t="s">
        <v>83</v>
      </c>
      <c r="C930" s="3">
        <v>45709.814988425926</v>
      </c>
      <c r="D930" t="s">
        <v>85</v>
      </c>
      <c r="E930" s="4">
        <v>0.83</v>
      </c>
      <c r="F930" s="4">
        <v>475486.56699999998</v>
      </c>
      <c r="G930" s="4">
        <v>475487.397</v>
      </c>
      <c r="H930" s="5">
        <f>60 / 86400</f>
        <v>6.9444444444444447E-4</v>
      </c>
      <c r="I930" t="s">
        <v>171</v>
      </c>
      <c r="J930" t="s">
        <v>128</v>
      </c>
      <c r="K930" s="5">
        <f>281 / 86400</f>
        <v>3.2523148148148147E-3</v>
      </c>
      <c r="L930" s="5">
        <f>15984 / 86400</f>
        <v>0.185</v>
      </c>
    </row>
    <row r="931" spans="1:12" x14ac:dyDescent="0.25">
      <c r="A931" s="12"/>
      <c r="B931" s="12"/>
      <c r="C931" s="12"/>
      <c r="D931" s="12"/>
      <c r="E931" s="12"/>
      <c r="F931" s="12"/>
      <c r="G931" s="12"/>
      <c r="H931" s="12"/>
      <c r="I931" s="12"/>
      <c r="J931" s="12"/>
    </row>
    <row r="932" spans="1:12" x14ac:dyDescent="0.25">
      <c r="A932" s="12"/>
      <c r="B932" s="12"/>
      <c r="C932" s="12"/>
      <c r="D932" s="12"/>
      <c r="E932" s="12"/>
      <c r="F932" s="12"/>
      <c r="G932" s="12"/>
      <c r="H932" s="12"/>
      <c r="I932" s="12"/>
      <c r="J932" s="12"/>
    </row>
    <row r="933" spans="1:12" s="10" customFormat="1" ht="20.100000000000001" customHeight="1" x14ac:dyDescent="0.35">
      <c r="A933" s="15" t="s">
        <v>487</v>
      </c>
      <c r="B933" s="15"/>
      <c r="C933" s="15"/>
      <c r="D933" s="15"/>
      <c r="E933" s="15"/>
      <c r="F933" s="15"/>
      <c r="G933" s="15"/>
      <c r="H933" s="15"/>
      <c r="I933" s="15"/>
      <c r="J933" s="15"/>
    </row>
    <row r="934" spans="1:12" x14ac:dyDescent="0.25">
      <c r="A934" s="12"/>
      <c r="B934" s="12"/>
      <c r="C934" s="12"/>
      <c r="D934" s="12"/>
      <c r="E934" s="12"/>
      <c r="F934" s="12"/>
      <c r="G934" s="12"/>
      <c r="H934" s="12"/>
      <c r="I934" s="12"/>
      <c r="J934" s="12"/>
    </row>
    <row r="935" spans="1:12" ht="30" x14ac:dyDescent="0.25">
      <c r="A935" s="2" t="s">
        <v>6</v>
      </c>
      <c r="B935" s="2" t="s">
        <v>7</v>
      </c>
      <c r="C935" s="2" t="s">
        <v>8</v>
      </c>
      <c r="D935" s="2" t="s">
        <v>9</v>
      </c>
      <c r="E935" s="2" t="s">
        <v>10</v>
      </c>
      <c r="F935" s="2" t="s">
        <v>11</v>
      </c>
      <c r="G935" s="2" t="s">
        <v>12</v>
      </c>
      <c r="H935" s="2" t="s">
        <v>13</v>
      </c>
      <c r="I935" s="2" t="s">
        <v>14</v>
      </c>
      <c r="J935" s="2" t="s">
        <v>15</v>
      </c>
      <c r="K935" s="2" t="s">
        <v>16</v>
      </c>
      <c r="L935" s="2" t="s">
        <v>17</v>
      </c>
    </row>
    <row r="936" spans="1:12" x14ac:dyDescent="0.25">
      <c r="A936" s="3">
        <v>45709.003634259258</v>
      </c>
      <c r="B936" t="s">
        <v>86</v>
      </c>
      <c r="C936" s="3">
        <v>45709.004375000004</v>
      </c>
      <c r="D936" t="s">
        <v>86</v>
      </c>
      <c r="E936" s="4">
        <v>0</v>
      </c>
      <c r="F936" s="4">
        <v>415989.16700000002</v>
      </c>
      <c r="G936" s="4">
        <v>415989.16700000002</v>
      </c>
      <c r="H936" s="5">
        <f>39 / 86400</f>
        <v>4.5138888888888887E-4</v>
      </c>
      <c r="I936" t="s">
        <v>47</v>
      </c>
      <c r="J936" t="s">
        <v>48</v>
      </c>
      <c r="K936" s="5">
        <f>64 / 86400</f>
        <v>7.407407407407407E-4</v>
      </c>
      <c r="L936" s="5">
        <f>471 / 86400</f>
        <v>5.4513888888888893E-3</v>
      </c>
    </row>
    <row r="937" spans="1:12" x14ac:dyDescent="0.25">
      <c r="A937" s="3">
        <v>45709.006192129629</v>
      </c>
      <c r="B937" t="s">
        <v>86</v>
      </c>
      <c r="C937" s="3">
        <v>45709.006504629629</v>
      </c>
      <c r="D937" t="s">
        <v>86</v>
      </c>
      <c r="E937" s="4">
        <v>4.2999999999999997E-2</v>
      </c>
      <c r="F937" s="4">
        <v>415989.16700000002</v>
      </c>
      <c r="G937" s="4">
        <v>415989.21</v>
      </c>
      <c r="H937" s="5">
        <f>0 / 86400</f>
        <v>0</v>
      </c>
      <c r="I937" t="s">
        <v>59</v>
      </c>
      <c r="J937" t="s">
        <v>134</v>
      </c>
      <c r="K937" s="5">
        <f>26 / 86400</f>
        <v>3.0092592592592595E-4</v>
      </c>
      <c r="L937" s="5">
        <f>6 / 86400</f>
        <v>6.9444444444444444E-5</v>
      </c>
    </row>
    <row r="938" spans="1:12" x14ac:dyDescent="0.25">
      <c r="A938" s="3">
        <v>45709.006574074076</v>
      </c>
      <c r="B938" t="s">
        <v>86</v>
      </c>
      <c r="C938" s="3">
        <v>45709.026076388887</v>
      </c>
      <c r="D938" t="s">
        <v>81</v>
      </c>
      <c r="E938" s="4">
        <v>1.381</v>
      </c>
      <c r="F938" s="4">
        <v>415989.21</v>
      </c>
      <c r="G938" s="4">
        <v>415990.59100000001</v>
      </c>
      <c r="H938" s="5">
        <f>1321 / 86400</f>
        <v>1.5289351851851853E-2</v>
      </c>
      <c r="I938" t="s">
        <v>205</v>
      </c>
      <c r="J938" t="s">
        <v>135</v>
      </c>
      <c r="K938" s="5">
        <f>1685 / 86400</f>
        <v>1.9502314814814816E-2</v>
      </c>
      <c r="L938" s="5">
        <f>4562 / 86400</f>
        <v>5.2800925925925925E-2</v>
      </c>
    </row>
    <row r="939" spans="1:12" x14ac:dyDescent="0.25">
      <c r="A939" s="3">
        <v>45709.078877314816</v>
      </c>
      <c r="B939" t="s">
        <v>81</v>
      </c>
      <c r="C939" s="3">
        <v>45709.079907407402</v>
      </c>
      <c r="D939" t="s">
        <v>81</v>
      </c>
      <c r="E939" s="4">
        <v>7.1999999999999995E-2</v>
      </c>
      <c r="F939" s="4">
        <v>415990.59100000001</v>
      </c>
      <c r="G939" s="4">
        <v>415990.663</v>
      </c>
      <c r="H939" s="5">
        <f>59 / 86400</f>
        <v>6.8287037037037036E-4</v>
      </c>
      <c r="I939" t="s">
        <v>59</v>
      </c>
      <c r="J939" t="s">
        <v>135</v>
      </c>
      <c r="K939" s="5">
        <f>89 / 86400</f>
        <v>1.0300925925925926E-3</v>
      </c>
      <c r="L939" s="5">
        <f>45 / 86400</f>
        <v>5.2083333333333333E-4</v>
      </c>
    </row>
    <row r="940" spans="1:12" x14ac:dyDescent="0.25">
      <c r="A940" s="3">
        <v>45709.080428240741</v>
      </c>
      <c r="B940" t="s">
        <v>81</v>
      </c>
      <c r="C940" s="3">
        <v>45709.080625000002</v>
      </c>
      <c r="D940" t="s">
        <v>81</v>
      </c>
      <c r="E940" s="4">
        <v>8.9999999999999993E-3</v>
      </c>
      <c r="F940" s="4">
        <v>415990.663</v>
      </c>
      <c r="G940" s="4">
        <v>415990.67200000002</v>
      </c>
      <c r="H940" s="5">
        <f>0 / 86400</f>
        <v>0</v>
      </c>
      <c r="I940" t="s">
        <v>48</v>
      </c>
      <c r="J940" t="s">
        <v>122</v>
      </c>
      <c r="K940" s="5">
        <f>17 / 86400</f>
        <v>1.9675925925925926E-4</v>
      </c>
      <c r="L940" s="5">
        <f>25800 / 86400</f>
        <v>0.2986111111111111</v>
      </c>
    </row>
    <row r="941" spans="1:12" x14ac:dyDescent="0.25">
      <c r="A941" s="3">
        <v>45709.379236111112</v>
      </c>
      <c r="B941" t="s">
        <v>81</v>
      </c>
      <c r="C941" s="3">
        <v>45709.380567129629</v>
      </c>
      <c r="D941" t="s">
        <v>81</v>
      </c>
      <c r="E941" s="4">
        <v>4.2000000000000003E-2</v>
      </c>
      <c r="F941" s="4">
        <v>415990.67200000002</v>
      </c>
      <c r="G941" s="4">
        <v>415990.71399999998</v>
      </c>
      <c r="H941" s="5">
        <f>60 / 86400</f>
        <v>6.9444444444444447E-4</v>
      </c>
      <c r="I941" t="s">
        <v>121</v>
      </c>
      <c r="J941" t="s">
        <v>47</v>
      </c>
      <c r="K941" s="5">
        <f>114 / 86400</f>
        <v>1.3194444444444445E-3</v>
      </c>
      <c r="L941" s="5">
        <f>4071 / 86400</f>
        <v>4.7118055555555559E-2</v>
      </c>
    </row>
    <row r="942" spans="1:12" x14ac:dyDescent="0.25">
      <c r="A942" s="3">
        <v>45709.42768518519</v>
      </c>
      <c r="B942" t="s">
        <v>81</v>
      </c>
      <c r="C942" s="3">
        <v>45709.429166666669</v>
      </c>
      <c r="D942" t="s">
        <v>81</v>
      </c>
      <c r="E942" s="4">
        <v>0.03</v>
      </c>
      <c r="F942" s="4">
        <v>415990.71399999998</v>
      </c>
      <c r="G942" s="4">
        <v>415990.74400000001</v>
      </c>
      <c r="H942" s="5">
        <f>79 / 86400</f>
        <v>9.1435185185185185E-4</v>
      </c>
      <c r="I942" t="s">
        <v>121</v>
      </c>
      <c r="J942" t="s">
        <v>47</v>
      </c>
      <c r="K942" s="5">
        <f>127 / 86400</f>
        <v>1.4699074074074074E-3</v>
      </c>
      <c r="L942" s="5">
        <f>1639 / 86400</f>
        <v>1.8969907407407408E-2</v>
      </c>
    </row>
    <row r="943" spans="1:12" x14ac:dyDescent="0.25">
      <c r="A943" s="3">
        <v>45709.448136574079</v>
      </c>
      <c r="B943" t="s">
        <v>81</v>
      </c>
      <c r="C943" s="3">
        <v>45709.457569444443</v>
      </c>
      <c r="D943" t="s">
        <v>432</v>
      </c>
      <c r="E943" s="4">
        <v>2.782</v>
      </c>
      <c r="F943" s="4">
        <v>415990.74400000001</v>
      </c>
      <c r="G943" s="4">
        <v>415993.52600000001</v>
      </c>
      <c r="H943" s="5">
        <f>179 / 86400</f>
        <v>2.0717592592592593E-3</v>
      </c>
      <c r="I943" t="s">
        <v>87</v>
      </c>
      <c r="J943" t="s">
        <v>55</v>
      </c>
      <c r="K943" s="5">
        <f>815 / 86400</f>
        <v>9.432870370370371E-3</v>
      </c>
      <c r="L943" s="5">
        <f>835 / 86400</f>
        <v>9.6643518518518511E-3</v>
      </c>
    </row>
    <row r="944" spans="1:12" x14ac:dyDescent="0.25">
      <c r="A944" s="3">
        <v>45709.467233796298</v>
      </c>
      <c r="B944" t="s">
        <v>432</v>
      </c>
      <c r="C944" s="3">
        <v>45709.471365740741</v>
      </c>
      <c r="D944" t="s">
        <v>416</v>
      </c>
      <c r="E944" s="4">
        <v>0.98799999999999999</v>
      </c>
      <c r="F944" s="4">
        <v>415993.52600000001</v>
      </c>
      <c r="G944" s="4">
        <v>415994.51400000002</v>
      </c>
      <c r="H944" s="5">
        <f>80 / 86400</f>
        <v>9.2592592592592596E-4</v>
      </c>
      <c r="I944" t="s">
        <v>77</v>
      </c>
      <c r="J944" t="s">
        <v>60</v>
      </c>
      <c r="K944" s="5">
        <f>357 / 86400</f>
        <v>4.1319444444444442E-3</v>
      </c>
      <c r="L944" s="5">
        <f>2786 / 86400</f>
        <v>3.2245370370370369E-2</v>
      </c>
    </row>
    <row r="945" spans="1:12" x14ac:dyDescent="0.25">
      <c r="A945" s="3">
        <v>45709.503611111111</v>
      </c>
      <c r="B945" t="s">
        <v>416</v>
      </c>
      <c r="C945" s="3">
        <v>45709.514548611114</v>
      </c>
      <c r="D945" t="s">
        <v>81</v>
      </c>
      <c r="E945" s="4">
        <v>3.33</v>
      </c>
      <c r="F945" s="4">
        <v>415994.51400000002</v>
      </c>
      <c r="G945" s="4">
        <v>415997.84399999998</v>
      </c>
      <c r="H945" s="5">
        <f>140 / 86400</f>
        <v>1.6203703703703703E-3</v>
      </c>
      <c r="I945" t="s">
        <v>29</v>
      </c>
      <c r="J945" t="s">
        <v>26</v>
      </c>
      <c r="K945" s="5">
        <f>945 / 86400</f>
        <v>1.0937499999999999E-2</v>
      </c>
      <c r="L945" s="5">
        <f>4237 / 86400</f>
        <v>4.9039351851851855E-2</v>
      </c>
    </row>
    <row r="946" spans="1:12" x14ac:dyDescent="0.25">
      <c r="A946" s="3">
        <v>45709.563587962963</v>
      </c>
      <c r="B946" t="s">
        <v>81</v>
      </c>
      <c r="C946" s="3">
        <v>45709.564351851848</v>
      </c>
      <c r="D946" t="s">
        <v>81</v>
      </c>
      <c r="E946" s="4">
        <v>2.9000000000000001E-2</v>
      </c>
      <c r="F946" s="4">
        <v>415997.84399999998</v>
      </c>
      <c r="G946" s="4">
        <v>415997.87300000002</v>
      </c>
      <c r="H946" s="5">
        <f>39 / 86400</f>
        <v>4.5138888888888887E-4</v>
      </c>
      <c r="I946" t="s">
        <v>135</v>
      </c>
      <c r="J946" t="s">
        <v>122</v>
      </c>
      <c r="K946" s="5">
        <f>66 / 86400</f>
        <v>7.6388888888888893E-4</v>
      </c>
      <c r="L946" s="5">
        <f>26337 / 86400</f>
        <v>0.30482638888888891</v>
      </c>
    </row>
    <row r="947" spans="1:12" x14ac:dyDescent="0.25">
      <c r="A947" s="3">
        <v>45709.86917824074</v>
      </c>
      <c r="B947" t="s">
        <v>81</v>
      </c>
      <c r="C947" s="3">
        <v>45709.86996527778</v>
      </c>
      <c r="D947" t="s">
        <v>81</v>
      </c>
      <c r="E947" s="4">
        <v>0</v>
      </c>
      <c r="F947" s="4">
        <v>415997.87300000002</v>
      </c>
      <c r="G947" s="4">
        <v>415997.87300000002</v>
      </c>
      <c r="H947" s="5">
        <f>59 / 86400</f>
        <v>6.8287037037037036E-4</v>
      </c>
      <c r="I947" t="s">
        <v>48</v>
      </c>
      <c r="J947" t="s">
        <v>48</v>
      </c>
      <c r="K947" s="5">
        <f>67 / 86400</f>
        <v>7.7546296296296293E-4</v>
      </c>
      <c r="L947" s="5">
        <f>11234 / 86400</f>
        <v>0.13002314814814814</v>
      </c>
    </row>
    <row r="948" spans="1:12" x14ac:dyDescent="0.25">
      <c r="A948" s="12"/>
      <c r="B948" s="12"/>
      <c r="C948" s="12"/>
      <c r="D948" s="12"/>
      <c r="E948" s="12"/>
      <c r="F948" s="12"/>
      <c r="G948" s="12"/>
      <c r="H948" s="12"/>
      <c r="I948" s="12"/>
      <c r="J948" s="12"/>
    </row>
    <row r="949" spans="1:12" x14ac:dyDescent="0.25">
      <c r="A949" s="12"/>
      <c r="B949" s="12"/>
      <c r="C949" s="12"/>
      <c r="D949" s="12"/>
      <c r="E949" s="12"/>
      <c r="F949" s="12"/>
      <c r="G949" s="12"/>
      <c r="H949" s="12"/>
      <c r="I949" s="12"/>
      <c r="J949" s="12"/>
    </row>
    <row r="950" spans="1:12" s="10" customFormat="1" ht="20.100000000000001" customHeight="1" x14ac:dyDescent="0.35">
      <c r="A950" s="15" t="s">
        <v>488</v>
      </c>
      <c r="B950" s="15"/>
      <c r="C950" s="15"/>
      <c r="D950" s="15"/>
      <c r="E950" s="15"/>
      <c r="F950" s="15"/>
      <c r="G950" s="15"/>
      <c r="H950" s="15"/>
      <c r="I950" s="15"/>
      <c r="J950" s="15"/>
    </row>
    <row r="951" spans="1:12" x14ac:dyDescent="0.25">
      <c r="A951" s="12"/>
      <c r="B951" s="12"/>
      <c r="C951" s="12"/>
      <c r="D951" s="12"/>
      <c r="E951" s="12"/>
      <c r="F951" s="12"/>
      <c r="G951" s="12"/>
      <c r="H951" s="12"/>
      <c r="I951" s="12"/>
      <c r="J951" s="12"/>
    </row>
    <row r="952" spans="1:12" ht="30" x14ac:dyDescent="0.25">
      <c r="A952" s="2" t="s">
        <v>6</v>
      </c>
      <c r="B952" s="2" t="s">
        <v>7</v>
      </c>
      <c r="C952" s="2" t="s">
        <v>8</v>
      </c>
      <c r="D952" s="2" t="s">
        <v>9</v>
      </c>
      <c r="E952" s="2" t="s">
        <v>10</v>
      </c>
      <c r="F952" s="2" t="s">
        <v>11</v>
      </c>
      <c r="G952" s="2" t="s">
        <v>12</v>
      </c>
      <c r="H952" s="2" t="s">
        <v>13</v>
      </c>
      <c r="I952" s="2" t="s">
        <v>14</v>
      </c>
      <c r="J952" s="2" t="s">
        <v>15</v>
      </c>
      <c r="K952" s="2" t="s">
        <v>16</v>
      </c>
      <c r="L952" s="2" t="s">
        <v>17</v>
      </c>
    </row>
    <row r="953" spans="1:12" x14ac:dyDescent="0.25">
      <c r="A953" s="3">
        <v>45709.174444444448</v>
      </c>
      <c r="B953" t="s">
        <v>24</v>
      </c>
      <c r="C953" s="3">
        <v>45709.175335648149</v>
      </c>
      <c r="D953" t="s">
        <v>24</v>
      </c>
      <c r="E953" s="4">
        <v>1.2999999999999999E-2</v>
      </c>
      <c r="F953" s="4">
        <v>329805.70500000002</v>
      </c>
      <c r="G953" s="4">
        <v>329805.71799999999</v>
      </c>
      <c r="H953" s="5">
        <f>39 / 86400</f>
        <v>4.5138888888888887E-4</v>
      </c>
      <c r="I953" t="s">
        <v>135</v>
      </c>
      <c r="J953" t="s">
        <v>47</v>
      </c>
      <c r="K953" s="5">
        <f>77 / 86400</f>
        <v>8.9120370370370373E-4</v>
      </c>
      <c r="L953" s="5">
        <f>15106 / 86400</f>
        <v>0.17483796296296297</v>
      </c>
    </row>
    <row r="954" spans="1:12" x14ac:dyDescent="0.25">
      <c r="A954" s="3">
        <v>45709.175729166665</v>
      </c>
      <c r="B954" t="s">
        <v>24</v>
      </c>
      <c r="C954" s="3">
        <v>45709.24287037037</v>
      </c>
      <c r="D954" t="s">
        <v>285</v>
      </c>
      <c r="E954" s="4">
        <v>31.914999999999999</v>
      </c>
      <c r="F954" s="4">
        <v>329805.71799999999</v>
      </c>
      <c r="G954" s="4">
        <v>329837.63299999997</v>
      </c>
      <c r="H954" s="5">
        <f>1380 / 86400</f>
        <v>1.5972222222222221E-2</v>
      </c>
      <c r="I954" t="s">
        <v>234</v>
      </c>
      <c r="J954" t="s">
        <v>33</v>
      </c>
      <c r="K954" s="5">
        <f>5800 / 86400</f>
        <v>6.7129629629629636E-2</v>
      </c>
      <c r="L954" s="5">
        <f>563 / 86400</f>
        <v>6.5162037037037037E-3</v>
      </c>
    </row>
    <row r="955" spans="1:12" x14ac:dyDescent="0.25">
      <c r="A955" s="3">
        <v>45709.249386574069</v>
      </c>
      <c r="B955" t="s">
        <v>285</v>
      </c>
      <c r="C955" s="3">
        <v>45709.353842592594</v>
      </c>
      <c r="D955" t="s">
        <v>113</v>
      </c>
      <c r="E955" s="4">
        <v>50.226999999999997</v>
      </c>
      <c r="F955" s="4">
        <v>329837.63299999997</v>
      </c>
      <c r="G955" s="4">
        <v>329887.86</v>
      </c>
      <c r="H955" s="5">
        <f>2320 / 86400</f>
        <v>2.6851851851851852E-2</v>
      </c>
      <c r="I955" t="s">
        <v>40</v>
      </c>
      <c r="J955" t="s">
        <v>33</v>
      </c>
      <c r="K955" s="5">
        <f>9024 / 86400</f>
        <v>0.10444444444444445</v>
      </c>
      <c r="L955" s="5">
        <f>3911 / 86400</f>
        <v>4.5266203703703704E-2</v>
      </c>
    </row>
    <row r="956" spans="1:12" x14ac:dyDescent="0.25">
      <c r="A956" s="3">
        <v>45709.399108796293</v>
      </c>
      <c r="B956" t="s">
        <v>113</v>
      </c>
      <c r="C956" s="3">
        <v>45709.405810185184</v>
      </c>
      <c r="D956" t="s">
        <v>126</v>
      </c>
      <c r="E956" s="4">
        <v>1.1850000000000001</v>
      </c>
      <c r="F956" s="4">
        <v>329887.86</v>
      </c>
      <c r="G956" s="4">
        <v>329889.04499999998</v>
      </c>
      <c r="H956" s="5">
        <f>159 / 86400</f>
        <v>1.8402777777777777E-3</v>
      </c>
      <c r="I956" t="s">
        <v>77</v>
      </c>
      <c r="J956" t="s">
        <v>88</v>
      </c>
      <c r="K956" s="5">
        <f>579 / 86400</f>
        <v>6.7013888888888887E-3</v>
      </c>
      <c r="L956" s="5">
        <f>1108 / 86400</f>
        <v>1.2824074074074075E-2</v>
      </c>
    </row>
    <row r="957" spans="1:12" x14ac:dyDescent="0.25">
      <c r="A957" s="3">
        <v>45709.418634259258</v>
      </c>
      <c r="B957" t="s">
        <v>126</v>
      </c>
      <c r="C957" s="3">
        <v>45709.656400462962</v>
      </c>
      <c r="D957" t="s">
        <v>21</v>
      </c>
      <c r="E957" s="4">
        <v>85.927999999999997</v>
      </c>
      <c r="F957" s="4">
        <v>329889.04499999998</v>
      </c>
      <c r="G957" s="4">
        <v>329974.973</v>
      </c>
      <c r="H957" s="5">
        <f>6536 / 86400</f>
        <v>7.5648148148148145E-2</v>
      </c>
      <c r="I957" t="s">
        <v>50</v>
      </c>
      <c r="J957" t="s">
        <v>41</v>
      </c>
      <c r="K957" s="5">
        <f>20543 / 86400</f>
        <v>0.23776620370370372</v>
      </c>
      <c r="L957" s="5">
        <f>273 / 86400</f>
        <v>3.1597222222222222E-3</v>
      </c>
    </row>
    <row r="958" spans="1:12" x14ac:dyDescent="0.25">
      <c r="A958" s="3">
        <v>45709.659560185188</v>
      </c>
      <c r="B958" t="s">
        <v>21</v>
      </c>
      <c r="C958" s="3">
        <v>45709.663101851853</v>
      </c>
      <c r="D958" t="s">
        <v>24</v>
      </c>
      <c r="E958" s="4">
        <v>0.495</v>
      </c>
      <c r="F958" s="4">
        <v>329974.973</v>
      </c>
      <c r="G958" s="4">
        <v>329975.46799999999</v>
      </c>
      <c r="H958" s="5">
        <f>80 / 86400</f>
        <v>9.2592592592592596E-4</v>
      </c>
      <c r="I958" t="s">
        <v>57</v>
      </c>
      <c r="J958" t="s">
        <v>134</v>
      </c>
      <c r="K958" s="5">
        <f>305 / 86400</f>
        <v>3.5300925925925925E-3</v>
      </c>
      <c r="L958" s="5">
        <f>182 / 86400</f>
        <v>2.1064814814814813E-3</v>
      </c>
    </row>
    <row r="959" spans="1:12" x14ac:dyDescent="0.25">
      <c r="A959" s="3">
        <v>45709.665208333332</v>
      </c>
      <c r="B959" t="s">
        <v>24</v>
      </c>
      <c r="C959" s="3">
        <v>45709.781909722224</v>
      </c>
      <c r="D959" t="s">
        <v>272</v>
      </c>
      <c r="E959" s="4">
        <v>41.514000000000003</v>
      </c>
      <c r="F959" s="4">
        <v>329975.46799999999</v>
      </c>
      <c r="G959" s="4">
        <v>330016.98200000002</v>
      </c>
      <c r="H959" s="5">
        <f>4380 / 86400</f>
        <v>5.0694444444444445E-2</v>
      </c>
      <c r="I959" t="s">
        <v>62</v>
      </c>
      <c r="J959" t="s">
        <v>41</v>
      </c>
      <c r="K959" s="5">
        <f>10082 / 86400</f>
        <v>0.11668981481481482</v>
      </c>
      <c r="L959" s="5">
        <f>47 / 86400</f>
        <v>5.4398148148148144E-4</v>
      </c>
    </row>
    <row r="960" spans="1:12" x14ac:dyDescent="0.25">
      <c r="A960" s="3">
        <v>45709.782453703709</v>
      </c>
      <c r="B960" t="s">
        <v>433</v>
      </c>
      <c r="C960" s="3">
        <v>45709.977812500001</v>
      </c>
      <c r="D960" t="s">
        <v>419</v>
      </c>
      <c r="E960" s="4">
        <v>68.733000000000004</v>
      </c>
      <c r="F960" s="4">
        <v>330016.98200000002</v>
      </c>
      <c r="G960" s="4">
        <v>330085.71500000003</v>
      </c>
      <c r="H960" s="5">
        <f>7144 / 86400</f>
        <v>8.2685185185185181E-2</v>
      </c>
      <c r="I960" t="s">
        <v>35</v>
      </c>
      <c r="J960" t="s">
        <v>41</v>
      </c>
      <c r="K960" s="5">
        <f>16879 / 86400</f>
        <v>0.19535879629629629</v>
      </c>
      <c r="L960" s="5">
        <f>186 / 86400</f>
        <v>2.1527777777777778E-3</v>
      </c>
    </row>
    <row r="961" spans="1:12" x14ac:dyDescent="0.25">
      <c r="A961" s="3">
        <v>45709.979965277773</v>
      </c>
      <c r="B961" t="s">
        <v>207</v>
      </c>
      <c r="C961" s="3">
        <v>45709.980520833335</v>
      </c>
      <c r="D961" t="s">
        <v>207</v>
      </c>
      <c r="E961" s="4">
        <v>2.8000000000000001E-2</v>
      </c>
      <c r="F961" s="4">
        <v>330085.71500000003</v>
      </c>
      <c r="G961" s="4">
        <v>330085.74300000002</v>
      </c>
      <c r="H961" s="5">
        <f>19 / 86400</f>
        <v>2.199074074074074E-4</v>
      </c>
      <c r="I961" t="s">
        <v>88</v>
      </c>
      <c r="J961" t="s">
        <v>122</v>
      </c>
      <c r="K961" s="5">
        <f>48 / 86400</f>
        <v>5.5555555555555556E-4</v>
      </c>
      <c r="L961" s="5">
        <f>206 / 86400</f>
        <v>2.3842592592592591E-3</v>
      </c>
    </row>
    <row r="962" spans="1:12" x14ac:dyDescent="0.25">
      <c r="A962" s="3">
        <v>45709.982905092591</v>
      </c>
      <c r="B962" t="s">
        <v>207</v>
      </c>
      <c r="C962" s="3">
        <v>45709.997708333336</v>
      </c>
      <c r="D962" t="s">
        <v>24</v>
      </c>
      <c r="E962" s="4">
        <v>10.561</v>
      </c>
      <c r="F962" s="4">
        <v>330085.74300000002</v>
      </c>
      <c r="G962" s="4">
        <v>330096.304</v>
      </c>
      <c r="H962" s="5">
        <f>220 / 86400</f>
        <v>2.5462962962962965E-3</v>
      </c>
      <c r="I962" t="s">
        <v>178</v>
      </c>
      <c r="J962" t="s">
        <v>205</v>
      </c>
      <c r="K962" s="5">
        <f>1279 / 86400</f>
        <v>1.480324074074074E-2</v>
      </c>
      <c r="L962" s="5">
        <f>197 / 86400</f>
        <v>2.2800925925925927E-3</v>
      </c>
    </row>
    <row r="963" spans="1:12" x14ac:dyDescent="0.25">
      <c r="A963" s="12"/>
      <c r="B963" s="12"/>
      <c r="C963" s="12"/>
      <c r="D963" s="12"/>
      <c r="E963" s="12"/>
      <c r="F963" s="12"/>
      <c r="G963" s="12"/>
      <c r="H963" s="12"/>
      <c r="I963" s="12"/>
      <c r="J963" s="12"/>
    </row>
    <row r="964" spans="1:12" x14ac:dyDescent="0.25">
      <c r="A964" s="12"/>
      <c r="B964" s="12"/>
      <c r="C964" s="12"/>
      <c r="D964" s="12"/>
      <c r="E964" s="12"/>
      <c r="F964" s="12"/>
      <c r="G964" s="12"/>
      <c r="H964" s="12"/>
      <c r="I964" s="12"/>
      <c r="J964" s="12"/>
    </row>
    <row r="965" spans="1:12" s="10" customFormat="1" ht="20.100000000000001" customHeight="1" x14ac:dyDescent="0.35">
      <c r="A965" s="15" t="s">
        <v>489</v>
      </c>
      <c r="B965" s="15"/>
      <c r="C965" s="15"/>
      <c r="D965" s="15"/>
      <c r="E965" s="15"/>
      <c r="F965" s="15"/>
      <c r="G965" s="15"/>
      <c r="H965" s="15"/>
      <c r="I965" s="15"/>
      <c r="J965" s="15"/>
    </row>
    <row r="966" spans="1:12" x14ac:dyDescent="0.25">
      <c r="A966" s="12"/>
      <c r="B966" s="12"/>
      <c r="C966" s="12"/>
      <c r="D966" s="12"/>
      <c r="E966" s="12"/>
      <c r="F966" s="12"/>
      <c r="G966" s="12"/>
      <c r="H966" s="12"/>
      <c r="I966" s="12"/>
      <c r="J966" s="12"/>
    </row>
    <row r="967" spans="1:12" ht="30" x14ac:dyDescent="0.25">
      <c r="A967" s="2" t="s">
        <v>6</v>
      </c>
      <c r="B967" s="2" t="s">
        <v>7</v>
      </c>
      <c r="C967" s="2" t="s">
        <v>8</v>
      </c>
      <c r="D967" s="2" t="s">
        <v>9</v>
      </c>
      <c r="E967" s="2" t="s">
        <v>10</v>
      </c>
      <c r="F967" s="2" t="s">
        <v>11</v>
      </c>
      <c r="G967" s="2" t="s">
        <v>12</v>
      </c>
      <c r="H967" s="2" t="s">
        <v>13</v>
      </c>
      <c r="I967" s="2" t="s">
        <v>14</v>
      </c>
      <c r="J967" s="2" t="s">
        <v>15</v>
      </c>
      <c r="K967" s="2" t="s">
        <v>16</v>
      </c>
      <c r="L967" s="2" t="s">
        <v>17</v>
      </c>
    </row>
    <row r="968" spans="1:12" x14ac:dyDescent="0.25">
      <c r="A968" s="3">
        <v>45709.285185185188</v>
      </c>
      <c r="B968" t="s">
        <v>24</v>
      </c>
      <c r="C968" s="3">
        <v>45709.295381944445</v>
      </c>
      <c r="D968" t="s">
        <v>416</v>
      </c>
      <c r="E968" s="4">
        <v>0.61899999999999999</v>
      </c>
      <c r="F968" s="4">
        <v>361431.35399999999</v>
      </c>
      <c r="G968" s="4">
        <v>361431.973</v>
      </c>
      <c r="H968" s="5">
        <f>660 / 86400</f>
        <v>7.6388888888888886E-3</v>
      </c>
      <c r="I968" t="s">
        <v>124</v>
      </c>
      <c r="J968" t="s">
        <v>135</v>
      </c>
      <c r="K968" s="5">
        <f>881 / 86400</f>
        <v>1.019675925925926E-2</v>
      </c>
      <c r="L968" s="5">
        <f>25405 / 86400</f>
        <v>0.29403935185185187</v>
      </c>
    </row>
    <row r="969" spans="1:12" x14ac:dyDescent="0.25">
      <c r="A969" s="3">
        <v>45709.304236111115</v>
      </c>
      <c r="B969" t="s">
        <v>416</v>
      </c>
      <c r="C969" s="3">
        <v>45709.529189814813</v>
      </c>
      <c r="D969" t="s">
        <v>70</v>
      </c>
      <c r="E969" s="4">
        <v>81.617999999999995</v>
      </c>
      <c r="F969" s="4">
        <v>361431.973</v>
      </c>
      <c r="G969" s="4">
        <v>361513.59100000001</v>
      </c>
      <c r="H969" s="5">
        <f>6821 / 86400</f>
        <v>7.8946759259259258E-2</v>
      </c>
      <c r="I969" t="s">
        <v>165</v>
      </c>
      <c r="J969" t="s">
        <v>41</v>
      </c>
      <c r="K969" s="5">
        <f>19435 / 86400</f>
        <v>0.22494212962962962</v>
      </c>
      <c r="L969" s="5">
        <f>244 / 86400</f>
        <v>2.8240740740740739E-3</v>
      </c>
    </row>
    <row r="970" spans="1:12" x14ac:dyDescent="0.25">
      <c r="A970" s="3">
        <v>45709.532013888893</v>
      </c>
      <c r="B970" t="s">
        <v>70</v>
      </c>
      <c r="C970" s="3">
        <v>45709.534791666665</v>
      </c>
      <c r="D970" t="s">
        <v>113</v>
      </c>
      <c r="E970" s="4">
        <v>0.95199999999999996</v>
      </c>
      <c r="F970" s="4">
        <v>361513.59100000001</v>
      </c>
      <c r="G970" s="4">
        <v>361514.54300000001</v>
      </c>
      <c r="H970" s="5">
        <f>40 / 86400</f>
        <v>4.6296296296296298E-4</v>
      </c>
      <c r="I970" t="s">
        <v>141</v>
      </c>
      <c r="J970" t="s">
        <v>57</v>
      </c>
      <c r="K970" s="5">
        <f>240 / 86400</f>
        <v>2.7777777777777779E-3</v>
      </c>
      <c r="L970" s="5">
        <f>1251 / 86400</f>
        <v>1.4479166666666666E-2</v>
      </c>
    </row>
    <row r="971" spans="1:12" x14ac:dyDescent="0.25">
      <c r="A971" s="3">
        <v>45709.549270833333</v>
      </c>
      <c r="B971" t="s">
        <v>113</v>
      </c>
      <c r="C971" s="3">
        <v>45709.549976851849</v>
      </c>
      <c r="D971" t="s">
        <v>113</v>
      </c>
      <c r="E971" s="4">
        <v>6.6000000000000003E-2</v>
      </c>
      <c r="F971" s="4">
        <v>361514.54300000001</v>
      </c>
      <c r="G971" s="4">
        <v>361514.609</v>
      </c>
      <c r="H971" s="5">
        <f>19 / 86400</f>
        <v>2.199074074074074E-4</v>
      </c>
      <c r="I971" t="s">
        <v>28</v>
      </c>
      <c r="J971" t="s">
        <v>30</v>
      </c>
      <c r="K971" s="5">
        <f>61 / 86400</f>
        <v>7.0601851851851847E-4</v>
      </c>
      <c r="L971" s="5">
        <f>2002 / 86400</f>
        <v>2.3171296296296297E-2</v>
      </c>
    </row>
    <row r="972" spans="1:12" x14ac:dyDescent="0.25">
      <c r="A972" s="3">
        <v>45709.573148148149</v>
      </c>
      <c r="B972" t="s">
        <v>113</v>
      </c>
      <c r="C972" s="3">
        <v>45709.576724537037</v>
      </c>
      <c r="D972" t="s">
        <v>126</v>
      </c>
      <c r="E972" s="4">
        <v>1.1359999999999999</v>
      </c>
      <c r="F972" s="4">
        <v>361514.609</v>
      </c>
      <c r="G972" s="4">
        <v>361515.745</v>
      </c>
      <c r="H972" s="5">
        <f>20 / 86400</f>
        <v>2.3148148148148149E-4</v>
      </c>
      <c r="I972" t="s">
        <v>124</v>
      </c>
      <c r="J972" t="s">
        <v>26</v>
      </c>
      <c r="K972" s="5">
        <f>309 / 86400</f>
        <v>3.5763888888888889E-3</v>
      </c>
      <c r="L972" s="5">
        <f>8611 / 86400</f>
        <v>9.9664351851851851E-2</v>
      </c>
    </row>
    <row r="973" spans="1:12" x14ac:dyDescent="0.25">
      <c r="A973" s="3">
        <v>45709.676388888889</v>
      </c>
      <c r="B973" t="s">
        <v>149</v>
      </c>
      <c r="C973" s="3">
        <v>45709.890486111108</v>
      </c>
      <c r="D973" t="s">
        <v>416</v>
      </c>
      <c r="E973" s="4">
        <v>74.308999999999997</v>
      </c>
      <c r="F973" s="4">
        <v>361515.745</v>
      </c>
      <c r="G973" s="4">
        <v>361590.054</v>
      </c>
      <c r="H973" s="5">
        <f>7140 / 86400</f>
        <v>8.2638888888888887E-2</v>
      </c>
      <c r="I973" t="s">
        <v>73</v>
      </c>
      <c r="J973" t="s">
        <v>57</v>
      </c>
      <c r="K973" s="5">
        <f>18498 / 86400</f>
        <v>0.21409722222222222</v>
      </c>
      <c r="L973" s="5">
        <f>279 / 86400</f>
        <v>3.2291666666666666E-3</v>
      </c>
    </row>
    <row r="974" spans="1:12" x14ac:dyDescent="0.25">
      <c r="A974" s="3">
        <v>45709.89371527778</v>
      </c>
      <c r="B974" t="s">
        <v>416</v>
      </c>
      <c r="C974" s="3">
        <v>45709.89770833333</v>
      </c>
      <c r="D974" t="s">
        <v>24</v>
      </c>
      <c r="E974" s="4">
        <v>0.61099999999999999</v>
      </c>
      <c r="F974" s="4">
        <v>361590.054</v>
      </c>
      <c r="G974" s="4">
        <v>361590.66499999998</v>
      </c>
      <c r="H974" s="5">
        <f>179 / 86400</f>
        <v>2.0717592592592593E-3</v>
      </c>
      <c r="I974" t="s">
        <v>33</v>
      </c>
      <c r="J974" t="s">
        <v>134</v>
      </c>
      <c r="K974" s="5">
        <f>344 / 86400</f>
        <v>3.9814814814814817E-3</v>
      </c>
      <c r="L974" s="5">
        <f>8837 / 86400</f>
        <v>0.10228009259259259</v>
      </c>
    </row>
    <row r="975" spans="1:12" x14ac:dyDescent="0.25">
      <c r="A975" s="12"/>
      <c r="B975" s="12"/>
      <c r="C975" s="12"/>
      <c r="D975" s="12"/>
      <c r="E975" s="12"/>
      <c r="F975" s="12"/>
      <c r="G975" s="12"/>
      <c r="H975" s="12"/>
      <c r="I975" s="12"/>
      <c r="J975" s="12"/>
    </row>
    <row r="976" spans="1:12" x14ac:dyDescent="0.25">
      <c r="A976" s="12"/>
      <c r="B976" s="12"/>
      <c r="C976" s="12"/>
      <c r="D976" s="12"/>
      <c r="E976" s="12"/>
      <c r="F976" s="12"/>
      <c r="G976" s="12"/>
      <c r="H976" s="12"/>
      <c r="I976" s="12"/>
      <c r="J976" s="12"/>
    </row>
    <row r="977" spans="1:12" s="10" customFormat="1" ht="20.100000000000001" customHeight="1" x14ac:dyDescent="0.35">
      <c r="A977" s="15" t="s">
        <v>490</v>
      </c>
      <c r="B977" s="15"/>
      <c r="C977" s="15"/>
      <c r="D977" s="15"/>
      <c r="E977" s="15"/>
      <c r="F977" s="15"/>
      <c r="G977" s="15"/>
      <c r="H977" s="15"/>
      <c r="I977" s="15"/>
      <c r="J977" s="15"/>
    </row>
    <row r="978" spans="1:12" x14ac:dyDescent="0.25">
      <c r="A978" s="12"/>
      <c r="B978" s="12"/>
      <c r="C978" s="12"/>
      <c r="D978" s="12"/>
      <c r="E978" s="12"/>
      <c r="F978" s="12"/>
      <c r="G978" s="12"/>
      <c r="H978" s="12"/>
      <c r="I978" s="12"/>
      <c r="J978" s="12"/>
    </row>
    <row r="979" spans="1:12" ht="30" x14ac:dyDescent="0.25">
      <c r="A979" s="2" t="s">
        <v>6</v>
      </c>
      <c r="B979" s="2" t="s">
        <v>7</v>
      </c>
      <c r="C979" s="2" t="s">
        <v>8</v>
      </c>
      <c r="D979" s="2" t="s">
        <v>9</v>
      </c>
      <c r="E979" s="2" t="s">
        <v>10</v>
      </c>
      <c r="F979" s="2" t="s">
        <v>11</v>
      </c>
      <c r="G979" s="2" t="s">
        <v>12</v>
      </c>
      <c r="H979" s="2" t="s">
        <v>13</v>
      </c>
      <c r="I979" s="2" t="s">
        <v>14</v>
      </c>
      <c r="J979" s="2" t="s">
        <v>15</v>
      </c>
      <c r="K979" s="2" t="s">
        <v>16</v>
      </c>
      <c r="L979" s="2" t="s">
        <v>17</v>
      </c>
    </row>
    <row r="980" spans="1:12" x14ac:dyDescent="0.25">
      <c r="A980" s="3">
        <v>45709.281724537039</v>
      </c>
      <c r="B980" t="s">
        <v>89</v>
      </c>
      <c r="C980" s="3">
        <v>45709.545775462961</v>
      </c>
      <c r="D980" t="s">
        <v>434</v>
      </c>
      <c r="E980" s="4">
        <v>104.629</v>
      </c>
      <c r="F980" s="4">
        <v>82410.774999999994</v>
      </c>
      <c r="G980" s="4">
        <v>82515.403999999995</v>
      </c>
      <c r="H980" s="5">
        <f>7778 / 86400</f>
        <v>9.0023148148148144E-2</v>
      </c>
      <c r="I980" t="s">
        <v>80</v>
      </c>
      <c r="J980" t="s">
        <v>52</v>
      </c>
      <c r="K980" s="5">
        <f>22814 / 86400</f>
        <v>0.26405092592592594</v>
      </c>
      <c r="L980" s="5">
        <f>24611 / 86400</f>
        <v>0.28484953703703703</v>
      </c>
    </row>
    <row r="981" spans="1:12" x14ac:dyDescent="0.25">
      <c r="A981" s="3">
        <v>45709.548900462964</v>
      </c>
      <c r="B981" t="s">
        <v>434</v>
      </c>
      <c r="C981" s="3">
        <v>45709.552141203705</v>
      </c>
      <c r="D981" t="s">
        <v>89</v>
      </c>
      <c r="E981" s="4">
        <v>1.25</v>
      </c>
      <c r="F981" s="4">
        <v>82515.404999999999</v>
      </c>
      <c r="G981" s="4">
        <v>82516.654999999999</v>
      </c>
      <c r="H981" s="5">
        <f>30 / 86400</f>
        <v>3.4722222222222224E-4</v>
      </c>
      <c r="I981" t="s">
        <v>235</v>
      </c>
      <c r="J981" t="s">
        <v>28</v>
      </c>
      <c r="K981" s="5">
        <f>280 / 86400</f>
        <v>3.2407407407407406E-3</v>
      </c>
      <c r="L981" s="5">
        <f>6636 / 86400</f>
        <v>7.6805555555555557E-2</v>
      </c>
    </row>
    <row r="982" spans="1:12" x14ac:dyDescent="0.25">
      <c r="A982" s="3">
        <v>45709.628946759258</v>
      </c>
      <c r="B982" t="s">
        <v>89</v>
      </c>
      <c r="C982" s="3">
        <v>45709.878171296295</v>
      </c>
      <c r="D982" t="s">
        <v>434</v>
      </c>
      <c r="E982" s="4">
        <v>95.018000000000001</v>
      </c>
      <c r="F982" s="4">
        <v>82516.654999999999</v>
      </c>
      <c r="G982" s="4">
        <v>82611.672999999995</v>
      </c>
      <c r="H982" s="5">
        <f>6839 / 86400</f>
        <v>7.9155092592592596E-2</v>
      </c>
      <c r="I982" t="s">
        <v>62</v>
      </c>
      <c r="J982" t="s">
        <v>28</v>
      </c>
      <c r="K982" s="5">
        <f>21533 / 86400</f>
        <v>0.24922453703703704</v>
      </c>
      <c r="L982" s="5">
        <f>7 / 86400</f>
        <v>8.1018518518518516E-5</v>
      </c>
    </row>
    <row r="983" spans="1:12" x14ac:dyDescent="0.25">
      <c r="A983" s="3">
        <v>45709.878252314811</v>
      </c>
      <c r="B983" t="s">
        <v>431</v>
      </c>
      <c r="C983" s="3">
        <v>45709.878298611111</v>
      </c>
      <c r="D983" t="s">
        <v>431</v>
      </c>
      <c r="E983" s="4">
        <v>0</v>
      </c>
      <c r="F983" s="4">
        <v>82611.672999999995</v>
      </c>
      <c r="G983" s="4">
        <v>82611.672999999995</v>
      </c>
      <c r="H983" s="5">
        <f>0 / 86400</f>
        <v>0</v>
      </c>
      <c r="I983" t="s">
        <v>48</v>
      </c>
      <c r="J983" t="s">
        <v>48</v>
      </c>
      <c r="K983" s="5">
        <f>4 / 86400</f>
        <v>4.6296296296296294E-5</v>
      </c>
      <c r="L983" s="5">
        <f>397 / 86400</f>
        <v>4.5949074074074078E-3</v>
      </c>
    </row>
    <row r="984" spans="1:12" x14ac:dyDescent="0.25">
      <c r="A984" s="3">
        <v>45709.882893518516</v>
      </c>
      <c r="B984" t="s">
        <v>431</v>
      </c>
      <c r="C984" s="3">
        <v>45709.903263888889</v>
      </c>
      <c r="D984" t="s">
        <v>89</v>
      </c>
      <c r="E984" s="4">
        <v>1.1970000000000001</v>
      </c>
      <c r="F984" s="4">
        <v>82611.672999999995</v>
      </c>
      <c r="G984" s="4">
        <v>82612.87</v>
      </c>
      <c r="H984" s="5">
        <f>1460 / 86400</f>
        <v>1.6898148148148148E-2</v>
      </c>
      <c r="I984" t="s">
        <v>205</v>
      </c>
      <c r="J984" t="s">
        <v>122</v>
      </c>
      <c r="K984" s="5">
        <f>1760 / 86400</f>
        <v>2.0370370370370372E-2</v>
      </c>
      <c r="L984" s="5">
        <f>8357 / 86400</f>
        <v>9.6724537037037039E-2</v>
      </c>
    </row>
    <row r="985" spans="1:12" x14ac:dyDescent="0.25">
      <c r="A985" s="12"/>
      <c r="B985" s="12"/>
      <c r="C985" s="12"/>
      <c r="D985" s="12"/>
      <c r="E985" s="12"/>
      <c r="F985" s="12"/>
      <c r="G985" s="12"/>
      <c r="H985" s="12"/>
      <c r="I985" s="12"/>
      <c r="J985" s="12"/>
    </row>
    <row r="986" spans="1:12" x14ac:dyDescent="0.25">
      <c r="A986" s="12"/>
      <c r="B986" s="12"/>
      <c r="C986" s="12"/>
      <c r="D986" s="12"/>
      <c r="E986" s="12"/>
      <c r="F986" s="12"/>
      <c r="G986" s="12"/>
      <c r="H986" s="12"/>
      <c r="I986" s="12"/>
      <c r="J986" s="12"/>
    </row>
    <row r="987" spans="1:12" s="10" customFormat="1" ht="20.100000000000001" customHeight="1" x14ac:dyDescent="0.35">
      <c r="A987" s="15" t="s">
        <v>491</v>
      </c>
      <c r="B987" s="15"/>
      <c r="C987" s="15"/>
      <c r="D987" s="15"/>
      <c r="E987" s="15"/>
      <c r="F987" s="15"/>
      <c r="G987" s="15"/>
      <c r="H987" s="15"/>
      <c r="I987" s="15"/>
      <c r="J987" s="15"/>
    </row>
    <row r="988" spans="1:12" x14ac:dyDescent="0.25">
      <c r="A988" s="12"/>
      <c r="B988" s="12"/>
      <c r="C988" s="12"/>
      <c r="D988" s="12"/>
      <c r="E988" s="12"/>
      <c r="F988" s="12"/>
      <c r="G988" s="12"/>
      <c r="H988" s="12"/>
      <c r="I988" s="12"/>
      <c r="J988" s="12"/>
    </row>
    <row r="989" spans="1:12" ht="30" x14ac:dyDescent="0.25">
      <c r="A989" s="2" t="s">
        <v>6</v>
      </c>
      <c r="B989" s="2" t="s">
        <v>7</v>
      </c>
      <c r="C989" s="2" t="s">
        <v>8</v>
      </c>
      <c r="D989" s="2" t="s">
        <v>9</v>
      </c>
      <c r="E989" s="2" t="s">
        <v>10</v>
      </c>
      <c r="F989" s="2" t="s">
        <v>11</v>
      </c>
      <c r="G989" s="2" t="s">
        <v>12</v>
      </c>
      <c r="H989" s="2" t="s">
        <v>13</v>
      </c>
      <c r="I989" s="2" t="s">
        <v>14</v>
      </c>
      <c r="J989" s="2" t="s">
        <v>15</v>
      </c>
      <c r="K989" s="2" t="s">
        <v>16</v>
      </c>
      <c r="L989" s="2" t="s">
        <v>17</v>
      </c>
    </row>
    <row r="990" spans="1:12" x14ac:dyDescent="0.25">
      <c r="A990" s="3">
        <v>45709.205671296295</v>
      </c>
      <c r="B990" t="s">
        <v>37</v>
      </c>
      <c r="C990" s="3">
        <v>45709.230428240742</v>
      </c>
      <c r="D990" t="s">
        <v>435</v>
      </c>
      <c r="E990" s="4">
        <v>5.7539999999999996</v>
      </c>
      <c r="F990" s="4">
        <v>471390.103</v>
      </c>
      <c r="G990" s="4">
        <v>471395.85700000002</v>
      </c>
      <c r="H990" s="5">
        <f>779 / 86400</f>
        <v>9.0162037037037034E-3</v>
      </c>
      <c r="I990" t="s">
        <v>182</v>
      </c>
      <c r="J990" t="s">
        <v>60</v>
      </c>
      <c r="K990" s="5">
        <f>2139 / 86400</f>
        <v>2.4756944444444446E-2</v>
      </c>
      <c r="L990" s="5">
        <f>22145 / 86400</f>
        <v>0.25630787037037039</v>
      </c>
    </row>
    <row r="991" spans="1:12" x14ac:dyDescent="0.25">
      <c r="A991" s="3">
        <v>45709.281064814815</v>
      </c>
      <c r="B991" t="s">
        <v>435</v>
      </c>
      <c r="C991" s="3">
        <v>45709.325891203705</v>
      </c>
      <c r="D991" t="s">
        <v>436</v>
      </c>
      <c r="E991" s="4">
        <v>24.794</v>
      </c>
      <c r="F991" s="4">
        <v>471395.85700000002</v>
      </c>
      <c r="G991" s="4">
        <v>471420.65100000001</v>
      </c>
      <c r="H991" s="5">
        <f>1298 / 86400</f>
        <v>1.5023148148148148E-2</v>
      </c>
      <c r="I991" t="s">
        <v>93</v>
      </c>
      <c r="J991" t="s">
        <v>124</v>
      </c>
      <c r="K991" s="5">
        <f>3872 / 86400</f>
        <v>4.4814814814814814E-2</v>
      </c>
      <c r="L991" s="5">
        <f>134 / 86400</f>
        <v>1.5509259259259259E-3</v>
      </c>
    </row>
    <row r="992" spans="1:12" x14ac:dyDescent="0.25">
      <c r="A992" s="3">
        <v>45709.32744212963</v>
      </c>
      <c r="B992" t="s">
        <v>436</v>
      </c>
      <c r="C992" s="3">
        <v>45709.419050925921</v>
      </c>
      <c r="D992" t="s">
        <v>437</v>
      </c>
      <c r="E992" s="4">
        <v>80.635999999999996</v>
      </c>
      <c r="F992" s="4">
        <v>471420.65100000001</v>
      </c>
      <c r="G992" s="4">
        <v>471501.28700000001</v>
      </c>
      <c r="H992" s="5">
        <f>1558 / 86400</f>
        <v>1.8032407407407407E-2</v>
      </c>
      <c r="I992" t="s">
        <v>90</v>
      </c>
      <c r="J992" t="s">
        <v>247</v>
      </c>
      <c r="K992" s="5">
        <f>7914 / 86400</f>
        <v>9.1597222222222219E-2</v>
      </c>
      <c r="L992" s="5">
        <f>27801 / 86400</f>
        <v>0.32177083333333334</v>
      </c>
    </row>
    <row r="993" spans="1:12" x14ac:dyDescent="0.25">
      <c r="A993" s="3">
        <v>45709.74082175926</v>
      </c>
      <c r="B993" t="s">
        <v>437</v>
      </c>
      <c r="C993" s="3">
        <v>45709.745069444441</v>
      </c>
      <c r="D993" t="s">
        <v>438</v>
      </c>
      <c r="E993" s="4">
        <v>9.4E-2</v>
      </c>
      <c r="F993" s="4">
        <v>471501.28700000001</v>
      </c>
      <c r="G993" s="4">
        <v>471501.38099999999</v>
      </c>
      <c r="H993" s="5">
        <f>279 / 86400</f>
        <v>3.2291666666666666E-3</v>
      </c>
      <c r="I993" t="s">
        <v>125</v>
      </c>
      <c r="J993" t="s">
        <v>47</v>
      </c>
      <c r="K993" s="5">
        <f>366 / 86400</f>
        <v>4.2361111111111115E-3</v>
      </c>
      <c r="L993" s="5">
        <f>376 / 86400</f>
        <v>4.3518518518518515E-3</v>
      </c>
    </row>
    <row r="994" spans="1:12" x14ac:dyDescent="0.25">
      <c r="A994" s="3">
        <v>45709.749421296292</v>
      </c>
      <c r="B994" t="s">
        <v>438</v>
      </c>
      <c r="C994" s="3">
        <v>45709.749594907407</v>
      </c>
      <c r="D994" t="s">
        <v>438</v>
      </c>
      <c r="E994" s="4">
        <v>7.0000000000000001E-3</v>
      </c>
      <c r="F994" s="4">
        <v>471501.38099999999</v>
      </c>
      <c r="G994" s="4">
        <v>471501.38799999998</v>
      </c>
      <c r="H994" s="5">
        <f>0 / 86400</f>
        <v>0</v>
      </c>
      <c r="I994" t="s">
        <v>48</v>
      </c>
      <c r="J994" t="s">
        <v>122</v>
      </c>
      <c r="K994" s="5">
        <f>15 / 86400</f>
        <v>1.7361111111111112E-4</v>
      </c>
      <c r="L994" s="5">
        <f>1395 / 86400</f>
        <v>1.6145833333333335E-2</v>
      </c>
    </row>
    <row r="995" spans="1:12" x14ac:dyDescent="0.25">
      <c r="A995" s="3">
        <v>45709.765740740739</v>
      </c>
      <c r="B995" t="s">
        <v>438</v>
      </c>
      <c r="C995" s="3">
        <v>45709.900509259256</v>
      </c>
      <c r="D995" t="s">
        <v>83</v>
      </c>
      <c r="E995" s="4">
        <v>97.832999999999998</v>
      </c>
      <c r="F995" s="4">
        <v>471501.38799999998</v>
      </c>
      <c r="G995" s="4">
        <v>471599.22100000002</v>
      </c>
      <c r="H995" s="5">
        <f>1800 / 86400</f>
        <v>2.0833333333333332E-2</v>
      </c>
      <c r="I995" t="s">
        <v>56</v>
      </c>
      <c r="J995" t="s">
        <v>205</v>
      </c>
      <c r="K995" s="5">
        <f>11644 / 86400</f>
        <v>0.13476851851851851</v>
      </c>
      <c r="L995" s="5">
        <f>315 / 86400</f>
        <v>3.6458333333333334E-3</v>
      </c>
    </row>
    <row r="996" spans="1:12" x14ac:dyDescent="0.25">
      <c r="A996" s="3">
        <v>45709.90415509259</v>
      </c>
      <c r="B996" t="s">
        <v>83</v>
      </c>
      <c r="C996" s="3">
        <v>45709.928981481484</v>
      </c>
      <c r="D996" t="s">
        <v>37</v>
      </c>
      <c r="E996" s="4">
        <v>8.1560000000000006</v>
      </c>
      <c r="F996" s="4">
        <v>471599.22100000002</v>
      </c>
      <c r="G996" s="4">
        <v>471607.37699999998</v>
      </c>
      <c r="H996" s="5">
        <f>300 / 86400</f>
        <v>3.472222222222222E-3</v>
      </c>
      <c r="I996" t="s">
        <v>175</v>
      </c>
      <c r="J996" t="s">
        <v>57</v>
      </c>
      <c r="K996" s="5">
        <f>2144 / 86400</f>
        <v>2.4814814814814814E-2</v>
      </c>
      <c r="L996" s="5">
        <f>6135 / 86400</f>
        <v>7.1006944444444442E-2</v>
      </c>
    </row>
    <row r="997" spans="1:12" x14ac:dyDescent="0.25">
      <c r="A997" s="12"/>
      <c r="B997" s="12"/>
      <c r="C997" s="12"/>
      <c r="D997" s="12"/>
      <c r="E997" s="12"/>
      <c r="F997" s="12"/>
      <c r="G997" s="12"/>
      <c r="H997" s="12"/>
      <c r="I997" s="12"/>
      <c r="J997" s="12"/>
    </row>
    <row r="998" spans="1:12" x14ac:dyDescent="0.25">
      <c r="A998" s="12"/>
      <c r="B998" s="12"/>
      <c r="C998" s="12"/>
      <c r="D998" s="12"/>
      <c r="E998" s="12"/>
      <c r="F998" s="12"/>
      <c r="G998" s="12"/>
      <c r="H998" s="12"/>
      <c r="I998" s="12"/>
      <c r="J998" s="12"/>
    </row>
    <row r="999" spans="1:12" s="10" customFormat="1" ht="20.100000000000001" customHeight="1" x14ac:dyDescent="0.35">
      <c r="A999" s="15" t="s">
        <v>492</v>
      </c>
      <c r="B999" s="15"/>
      <c r="C999" s="15"/>
      <c r="D999" s="15"/>
      <c r="E999" s="15"/>
      <c r="F999" s="15"/>
      <c r="G999" s="15"/>
      <c r="H999" s="15"/>
      <c r="I999" s="15"/>
      <c r="J999" s="15"/>
    </row>
    <row r="1000" spans="1:12" x14ac:dyDescent="0.2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</row>
    <row r="1001" spans="1:12" ht="30" x14ac:dyDescent="0.25">
      <c r="A1001" s="2" t="s">
        <v>6</v>
      </c>
      <c r="B1001" s="2" t="s">
        <v>7</v>
      </c>
      <c r="C1001" s="2" t="s">
        <v>8</v>
      </c>
      <c r="D1001" s="2" t="s">
        <v>9</v>
      </c>
      <c r="E1001" s="2" t="s">
        <v>10</v>
      </c>
      <c r="F1001" s="2" t="s">
        <v>11</v>
      </c>
      <c r="G1001" s="2" t="s">
        <v>12</v>
      </c>
      <c r="H1001" s="2" t="s">
        <v>13</v>
      </c>
      <c r="I1001" s="2" t="s">
        <v>14</v>
      </c>
      <c r="J1001" s="2" t="s">
        <v>15</v>
      </c>
      <c r="K1001" s="2" t="s">
        <v>16</v>
      </c>
      <c r="L1001" s="2" t="s">
        <v>17</v>
      </c>
    </row>
    <row r="1002" spans="1:12" x14ac:dyDescent="0.25">
      <c r="A1002" s="3">
        <v>45709.213124999995</v>
      </c>
      <c r="B1002" t="s">
        <v>92</v>
      </c>
      <c r="C1002" s="3">
        <v>45709.220972222218</v>
      </c>
      <c r="D1002" t="s">
        <v>92</v>
      </c>
      <c r="E1002" s="4">
        <v>0</v>
      </c>
      <c r="F1002" s="4">
        <v>428213.33600000001</v>
      </c>
      <c r="G1002" s="4">
        <v>428213.33600000001</v>
      </c>
      <c r="H1002" s="5">
        <f>659 / 86400</f>
        <v>7.6273148148148151E-3</v>
      </c>
      <c r="I1002" t="s">
        <v>48</v>
      </c>
      <c r="J1002" t="s">
        <v>48</v>
      </c>
      <c r="K1002" s="5">
        <f>678 / 86400</f>
        <v>7.8472222222222224E-3</v>
      </c>
      <c r="L1002" s="5">
        <f>18462 / 86400</f>
        <v>0.21368055555555557</v>
      </c>
    </row>
    <row r="1003" spans="1:12" x14ac:dyDescent="0.25">
      <c r="A1003" s="3">
        <v>45709.22152777778</v>
      </c>
      <c r="B1003" t="s">
        <v>92</v>
      </c>
      <c r="C1003" s="3">
        <v>45709.421481481477</v>
      </c>
      <c r="D1003" t="s">
        <v>92</v>
      </c>
      <c r="E1003" s="4">
        <v>0</v>
      </c>
      <c r="F1003" s="4">
        <v>428213.33600000001</v>
      </c>
      <c r="G1003" s="4">
        <v>428213.33600000001</v>
      </c>
      <c r="H1003" s="5">
        <f>17269 / 86400</f>
        <v>0.19987268518518519</v>
      </c>
      <c r="I1003" t="s">
        <v>48</v>
      </c>
      <c r="J1003" t="s">
        <v>48</v>
      </c>
      <c r="K1003" s="5">
        <f>17276 / 86400</f>
        <v>0.19995370370370372</v>
      </c>
      <c r="L1003" s="5">
        <f>1158 / 86400</f>
        <v>1.3402777777777777E-2</v>
      </c>
    </row>
    <row r="1004" spans="1:12" x14ac:dyDescent="0.25">
      <c r="A1004" s="3">
        <v>45709.434884259259</v>
      </c>
      <c r="B1004" t="s">
        <v>92</v>
      </c>
      <c r="C1004" s="3">
        <v>45709.436053240745</v>
      </c>
      <c r="D1004" t="s">
        <v>92</v>
      </c>
      <c r="E1004" s="4">
        <v>0</v>
      </c>
      <c r="F1004" s="4">
        <v>428213.33600000001</v>
      </c>
      <c r="G1004" s="4">
        <v>428213.33600000001</v>
      </c>
      <c r="H1004" s="5">
        <f>99 / 86400</f>
        <v>1.1458333333333333E-3</v>
      </c>
      <c r="I1004" t="s">
        <v>48</v>
      </c>
      <c r="J1004" t="s">
        <v>48</v>
      </c>
      <c r="K1004" s="5">
        <f>101 / 86400</f>
        <v>1.1689814814814816E-3</v>
      </c>
      <c r="L1004" s="5">
        <f>129 / 86400</f>
        <v>1.4930555555555556E-3</v>
      </c>
    </row>
    <row r="1005" spans="1:12" x14ac:dyDescent="0.25">
      <c r="A1005" s="3">
        <v>45709.437546296293</v>
      </c>
      <c r="B1005" t="s">
        <v>92</v>
      </c>
      <c r="C1005" s="3">
        <v>45709.437743055554</v>
      </c>
      <c r="D1005" t="s">
        <v>92</v>
      </c>
      <c r="E1005" s="4">
        <v>0</v>
      </c>
      <c r="F1005" s="4">
        <v>428213.33600000001</v>
      </c>
      <c r="G1005" s="4">
        <v>428213.33600000001</v>
      </c>
      <c r="H1005" s="5">
        <f>0 / 86400</f>
        <v>0</v>
      </c>
      <c r="I1005" t="s">
        <v>48</v>
      </c>
      <c r="J1005" t="s">
        <v>48</v>
      </c>
      <c r="K1005" s="5">
        <f>17 / 86400</f>
        <v>1.9675925925925926E-4</v>
      </c>
      <c r="L1005" s="5">
        <f>371 / 86400</f>
        <v>4.2939814814814811E-3</v>
      </c>
    </row>
    <row r="1006" spans="1:12" x14ac:dyDescent="0.25">
      <c r="A1006" s="3">
        <v>45709.442037037035</v>
      </c>
      <c r="B1006" t="s">
        <v>92</v>
      </c>
      <c r="C1006" s="3">
        <v>45709.445023148146</v>
      </c>
      <c r="D1006" t="s">
        <v>92</v>
      </c>
      <c r="E1006" s="4">
        <v>0</v>
      </c>
      <c r="F1006" s="4">
        <v>428213.33600000001</v>
      </c>
      <c r="G1006" s="4">
        <v>428213.33600000001</v>
      </c>
      <c r="H1006" s="5">
        <f>239 / 86400</f>
        <v>2.7662037037037039E-3</v>
      </c>
      <c r="I1006" t="s">
        <v>48</v>
      </c>
      <c r="J1006" t="s">
        <v>48</v>
      </c>
      <c r="K1006" s="5">
        <f>258 / 86400</f>
        <v>2.9861111111111113E-3</v>
      </c>
      <c r="L1006" s="5">
        <f>939 / 86400</f>
        <v>1.0868055555555556E-2</v>
      </c>
    </row>
    <row r="1007" spans="1:12" x14ac:dyDescent="0.25">
      <c r="A1007" s="3">
        <v>45709.455891203703</v>
      </c>
      <c r="B1007" t="s">
        <v>92</v>
      </c>
      <c r="C1007" s="3">
        <v>45709.456435185188</v>
      </c>
      <c r="D1007" t="s">
        <v>92</v>
      </c>
      <c r="E1007" s="4">
        <v>0</v>
      </c>
      <c r="F1007" s="4">
        <v>428213.33600000001</v>
      </c>
      <c r="G1007" s="4">
        <v>428213.33600000001</v>
      </c>
      <c r="H1007" s="5">
        <f>40 / 86400</f>
        <v>4.6296296296296298E-4</v>
      </c>
      <c r="I1007" t="s">
        <v>48</v>
      </c>
      <c r="J1007" t="s">
        <v>48</v>
      </c>
      <c r="K1007" s="5">
        <f>47 / 86400</f>
        <v>5.4398148148148144E-4</v>
      </c>
      <c r="L1007" s="5">
        <f>262 / 86400</f>
        <v>3.0324074074074073E-3</v>
      </c>
    </row>
    <row r="1008" spans="1:12" x14ac:dyDescent="0.25">
      <c r="A1008" s="3">
        <v>45709.459467592591</v>
      </c>
      <c r="B1008" t="s">
        <v>92</v>
      </c>
      <c r="C1008" s="3">
        <v>45709.642835648148</v>
      </c>
      <c r="D1008" t="s">
        <v>92</v>
      </c>
      <c r="E1008" s="4">
        <v>0</v>
      </c>
      <c r="F1008" s="4">
        <v>428213.33600000001</v>
      </c>
      <c r="G1008" s="4">
        <v>428213.33600000001</v>
      </c>
      <c r="H1008" s="5">
        <f>15839 / 86400</f>
        <v>0.18332175925925925</v>
      </c>
      <c r="I1008" t="s">
        <v>48</v>
      </c>
      <c r="J1008" t="s">
        <v>48</v>
      </c>
      <c r="K1008" s="5">
        <f>15843 / 86400</f>
        <v>0.18336805555555555</v>
      </c>
      <c r="L1008" s="5">
        <f>156 / 86400</f>
        <v>1.8055555555555555E-3</v>
      </c>
    </row>
    <row r="1009" spans="1:12" x14ac:dyDescent="0.25">
      <c r="A1009" s="3">
        <v>45709.644641203704</v>
      </c>
      <c r="B1009" t="s">
        <v>92</v>
      </c>
      <c r="C1009" s="3">
        <v>45709.645486111112</v>
      </c>
      <c r="D1009" t="s">
        <v>92</v>
      </c>
      <c r="E1009" s="4">
        <v>0</v>
      </c>
      <c r="F1009" s="4">
        <v>428213.33600000001</v>
      </c>
      <c r="G1009" s="4">
        <v>428213.33600000001</v>
      </c>
      <c r="H1009" s="5">
        <f>59 / 86400</f>
        <v>6.8287037037037036E-4</v>
      </c>
      <c r="I1009" t="s">
        <v>48</v>
      </c>
      <c r="J1009" t="s">
        <v>48</v>
      </c>
      <c r="K1009" s="5">
        <f>73 / 86400</f>
        <v>8.4490740740740739E-4</v>
      </c>
      <c r="L1009" s="5">
        <f>2211 / 86400</f>
        <v>2.5590277777777778E-2</v>
      </c>
    </row>
    <row r="1010" spans="1:12" x14ac:dyDescent="0.25">
      <c r="A1010" s="3">
        <v>45709.671076388884</v>
      </c>
      <c r="B1010" t="s">
        <v>92</v>
      </c>
      <c r="C1010" s="3">
        <v>45709.681817129633</v>
      </c>
      <c r="D1010" t="s">
        <v>92</v>
      </c>
      <c r="E1010" s="4">
        <v>0</v>
      </c>
      <c r="F1010" s="4">
        <v>428213.33600000001</v>
      </c>
      <c r="G1010" s="4">
        <v>428213.33600000001</v>
      </c>
      <c r="H1010" s="5">
        <f>919 / 86400</f>
        <v>1.0636574074074074E-2</v>
      </c>
      <c r="I1010" t="s">
        <v>48</v>
      </c>
      <c r="J1010" t="s">
        <v>48</v>
      </c>
      <c r="K1010" s="5">
        <f>928 / 86400</f>
        <v>1.074074074074074E-2</v>
      </c>
      <c r="L1010" s="5">
        <f>1083 / 86400</f>
        <v>1.2534722222222221E-2</v>
      </c>
    </row>
    <row r="1011" spans="1:12" x14ac:dyDescent="0.25">
      <c r="A1011" s="3">
        <v>45709.694351851853</v>
      </c>
      <c r="B1011" t="s">
        <v>92</v>
      </c>
      <c r="C1011" s="3">
        <v>45709.70003472222</v>
      </c>
      <c r="D1011" t="s">
        <v>92</v>
      </c>
      <c r="E1011" s="4">
        <v>0</v>
      </c>
      <c r="F1011" s="4">
        <v>428213.33600000001</v>
      </c>
      <c r="G1011" s="4">
        <v>428213.33600000001</v>
      </c>
      <c r="H1011" s="5">
        <f>478 / 86400</f>
        <v>5.5324074074074078E-3</v>
      </c>
      <c r="I1011" t="s">
        <v>48</v>
      </c>
      <c r="J1011" t="s">
        <v>48</v>
      </c>
      <c r="K1011" s="5">
        <f>490 / 86400</f>
        <v>5.6712962962962967E-3</v>
      </c>
      <c r="L1011" s="5">
        <f>279 / 86400</f>
        <v>3.2291666666666666E-3</v>
      </c>
    </row>
    <row r="1012" spans="1:12" x14ac:dyDescent="0.25">
      <c r="A1012" s="3">
        <v>45709.703263888892</v>
      </c>
      <c r="B1012" t="s">
        <v>92</v>
      </c>
      <c r="C1012" s="3">
        <v>45709.986840277779</v>
      </c>
      <c r="D1012" t="s">
        <v>92</v>
      </c>
      <c r="E1012" s="4">
        <v>0</v>
      </c>
      <c r="F1012" s="4">
        <v>428213.33600000001</v>
      </c>
      <c r="G1012" s="4">
        <v>428213.33600000001</v>
      </c>
      <c r="H1012" s="5">
        <f>24489 / 86400</f>
        <v>0.28343750000000001</v>
      </c>
      <c r="I1012" t="s">
        <v>48</v>
      </c>
      <c r="J1012" t="s">
        <v>48</v>
      </c>
      <c r="K1012" s="5">
        <f>24500 / 86400</f>
        <v>0.28356481481481483</v>
      </c>
      <c r="L1012" s="5">
        <f>879 / 86400</f>
        <v>1.0173611111111111E-2</v>
      </c>
    </row>
    <row r="1013" spans="1:12" x14ac:dyDescent="0.25">
      <c r="A1013" s="3">
        <v>45709.997013888889</v>
      </c>
      <c r="B1013" t="s">
        <v>92</v>
      </c>
      <c r="C1013" s="3">
        <v>45709.99732638889</v>
      </c>
      <c r="D1013" t="s">
        <v>92</v>
      </c>
      <c r="E1013" s="4">
        <v>0</v>
      </c>
      <c r="F1013" s="4">
        <v>428213.33600000001</v>
      </c>
      <c r="G1013" s="4">
        <v>428213.33600000001</v>
      </c>
      <c r="H1013" s="5">
        <f>19 / 86400</f>
        <v>2.199074074074074E-4</v>
      </c>
      <c r="I1013" t="s">
        <v>48</v>
      </c>
      <c r="J1013" t="s">
        <v>48</v>
      </c>
      <c r="K1013" s="5">
        <f>26 / 86400</f>
        <v>3.0092592592592595E-4</v>
      </c>
      <c r="L1013" s="5">
        <f>230 / 86400</f>
        <v>2.662037037037037E-3</v>
      </c>
    </row>
    <row r="1014" spans="1:12" x14ac:dyDescent="0.25">
      <c r="A1014" s="12"/>
      <c r="B1014" s="12"/>
      <c r="C1014" s="12"/>
      <c r="D1014" s="12"/>
      <c r="E1014" s="12"/>
      <c r="F1014" s="12"/>
      <c r="G1014" s="12"/>
      <c r="H1014" s="12"/>
      <c r="I1014" s="12"/>
      <c r="J1014" s="12"/>
    </row>
    <row r="1015" spans="1:12" x14ac:dyDescent="0.25">
      <c r="A1015" s="12"/>
      <c r="B1015" s="12"/>
      <c r="C1015" s="12"/>
      <c r="D1015" s="12"/>
      <c r="E1015" s="12"/>
      <c r="F1015" s="12"/>
      <c r="G1015" s="12"/>
      <c r="H1015" s="12"/>
      <c r="I1015" s="12"/>
      <c r="J1015" s="12"/>
    </row>
    <row r="1016" spans="1:12" s="10" customFormat="1" ht="20.100000000000001" customHeight="1" x14ac:dyDescent="0.35">
      <c r="A1016" s="15" t="s">
        <v>493</v>
      </c>
      <c r="B1016" s="15"/>
      <c r="C1016" s="15"/>
      <c r="D1016" s="15"/>
      <c r="E1016" s="15"/>
      <c r="F1016" s="15"/>
      <c r="G1016" s="15"/>
      <c r="H1016" s="15"/>
      <c r="I1016" s="15"/>
      <c r="J1016" s="15"/>
    </row>
    <row r="1017" spans="1:12" x14ac:dyDescent="0.25">
      <c r="A1017" s="12"/>
      <c r="B1017" s="12"/>
      <c r="C1017" s="12"/>
      <c r="D1017" s="12"/>
      <c r="E1017" s="12"/>
      <c r="F1017" s="12"/>
      <c r="G1017" s="12"/>
      <c r="H1017" s="12"/>
      <c r="I1017" s="12"/>
      <c r="J1017" s="12"/>
    </row>
    <row r="1018" spans="1:12" ht="30" x14ac:dyDescent="0.25">
      <c r="A1018" s="2" t="s">
        <v>6</v>
      </c>
      <c r="B1018" s="2" t="s">
        <v>7</v>
      </c>
      <c r="C1018" s="2" t="s">
        <v>8</v>
      </c>
      <c r="D1018" s="2" t="s">
        <v>9</v>
      </c>
      <c r="E1018" s="2" t="s">
        <v>10</v>
      </c>
      <c r="F1018" s="2" t="s">
        <v>11</v>
      </c>
      <c r="G1018" s="2" t="s">
        <v>12</v>
      </c>
      <c r="H1018" s="2" t="s">
        <v>13</v>
      </c>
      <c r="I1018" s="2" t="s">
        <v>14</v>
      </c>
      <c r="J1018" s="2" t="s">
        <v>15</v>
      </c>
      <c r="K1018" s="2" t="s">
        <v>16</v>
      </c>
      <c r="L1018" s="2" t="s">
        <v>17</v>
      </c>
    </row>
    <row r="1019" spans="1:12" x14ac:dyDescent="0.25">
      <c r="A1019" s="3">
        <v>45709.181481481486</v>
      </c>
      <c r="B1019" t="s">
        <v>24</v>
      </c>
      <c r="C1019" s="3">
        <v>45709.328090277777</v>
      </c>
      <c r="D1019" t="s">
        <v>70</v>
      </c>
      <c r="E1019" s="4">
        <v>72.194999999999993</v>
      </c>
      <c r="F1019" s="4">
        <v>576683.96</v>
      </c>
      <c r="G1019" s="4">
        <v>576756.15500000003</v>
      </c>
      <c r="H1019" s="5">
        <f>2656 / 86400</f>
        <v>3.0740740740740742E-2</v>
      </c>
      <c r="I1019" t="s">
        <v>130</v>
      </c>
      <c r="J1019" t="s">
        <v>136</v>
      </c>
      <c r="K1019" s="5">
        <f>12667 / 86400</f>
        <v>0.14660879629629631</v>
      </c>
      <c r="L1019" s="5">
        <f>15919 / 86400</f>
        <v>0.18424768518518519</v>
      </c>
    </row>
    <row r="1020" spans="1:12" x14ac:dyDescent="0.25">
      <c r="A1020" s="3">
        <v>45709.33085648148</v>
      </c>
      <c r="B1020" t="s">
        <v>70</v>
      </c>
      <c r="C1020" s="3">
        <v>45709.339641203704</v>
      </c>
      <c r="D1020" t="s">
        <v>126</v>
      </c>
      <c r="E1020" s="4">
        <v>1.353</v>
      </c>
      <c r="F1020" s="4">
        <v>576756.15500000003</v>
      </c>
      <c r="G1020" s="4">
        <v>576757.50800000003</v>
      </c>
      <c r="H1020" s="5">
        <f>320 / 86400</f>
        <v>3.7037037037037038E-3</v>
      </c>
      <c r="I1020" t="s">
        <v>127</v>
      </c>
      <c r="J1020" t="s">
        <v>134</v>
      </c>
      <c r="K1020" s="5">
        <f>758 / 86400</f>
        <v>8.773148148148148E-3</v>
      </c>
      <c r="L1020" s="5">
        <f>1108 / 86400</f>
        <v>1.2824074074074075E-2</v>
      </c>
    </row>
    <row r="1021" spans="1:12" x14ac:dyDescent="0.25">
      <c r="A1021" s="3">
        <v>45709.352465277778</v>
      </c>
      <c r="B1021" t="s">
        <v>126</v>
      </c>
      <c r="C1021" s="3">
        <v>45709.486898148149</v>
      </c>
      <c r="D1021" t="s">
        <v>432</v>
      </c>
      <c r="E1021" s="4">
        <v>61.393999999999998</v>
      </c>
      <c r="F1021" s="4">
        <v>576757.50800000003</v>
      </c>
      <c r="G1021" s="4">
        <v>576818.902</v>
      </c>
      <c r="H1021" s="5">
        <f>2958 / 86400</f>
        <v>3.4236111111111113E-2</v>
      </c>
      <c r="I1021" t="s">
        <v>148</v>
      </c>
      <c r="J1021" t="s">
        <v>77</v>
      </c>
      <c r="K1021" s="5">
        <f>11614 / 86400</f>
        <v>0.13442129629629629</v>
      </c>
      <c r="L1021" s="5">
        <f>3078 / 86400</f>
        <v>3.5624999999999997E-2</v>
      </c>
    </row>
    <row r="1022" spans="1:12" x14ac:dyDescent="0.25">
      <c r="A1022" s="3">
        <v>45709.522523148145</v>
      </c>
      <c r="B1022" t="s">
        <v>432</v>
      </c>
      <c r="C1022" s="3">
        <v>45709.745127314818</v>
      </c>
      <c r="D1022" t="s">
        <v>24</v>
      </c>
      <c r="E1022" s="4">
        <v>65.790000000000006</v>
      </c>
      <c r="F1022" s="4">
        <v>576818.902</v>
      </c>
      <c r="G1022" s="4">
        <v>576884.69200000004</v>
      </c>
      <c r="H1022" s="5">
        <f>7176 / 86400</f>
        <v>8.3055555555555549E-2</v>
      </c>
      <c r="I1022" t="s">
        <v>93</v>
      </c>
      <c r="J1022" t="s">
        <v>55</v>
      </c>
      <c r="K1022" s="5">
        <f>19232 / 86400</f>
        <v>0.22259259259259259</v>
      </c>
      <c r="L1022" s="5">
        <f>1034 / 86400</f>
        <v>1.1967592592592592E-2</v>
      </c>
    </row>
    <row r="1023" spans="1:12" x14ac:dyDescent="0.25">
      <c r="A1023" s="3">
        <v>45709.757094907407</v>
      </c>
      <c r="B1023" t="s">
        <v>24</v>
      </c>
      <c r="C1023" s="3">
        <v>45709.784513888888</v>
      </c>
      <c r="D1023" t="s">
        <v>24</v>
      </c>
      <c r="E1023" s="4">
        <v>3.4729999999999999</v>
      </c>
      <c r="F1023" s="4">
        <v>576884.69200000004</v>
      </c>
      <c r="G1023" s="4">
        <v>576888.16500000004</v>
      </c>
      <c r="H1023" s="5">
        <f>1199 / 86400</f>
        <v>1.3877314814814815E-2</v>
      </c>
      <c r="I1023" t="s">
        <v>127</v>
      </c>
      <c r="J1023" t="s">
        <v>121</v>
      </c>
      <c r="K1023" s="5">
        <f>2368 / 86400</f>
        <v>2.7407407407407408E-2</v>
      </c>
      <c r="L1023" s="5">
        <f>1883 / 86400</f>
        <v>2.179398148148148E-2</v>
      </c>
    </row>
    <row r="1024" spans="1:12" x14ac:dyDescent="0.25">
      <c r="A1024" s="3">
        <v>45709.806307870371</v>
      </c>
      <c r="B1024" t="s">
        <v>24</v>
      </c>
      <c r="C1024" s="3">
        <v>45709.813379629632</v>
      </c>
      <c r="D1024" t="s">
        <v>24</v>
      </c>
      <c r="E1024" s="4">
        <v>1.2</v>
      </c>
      <c r="F1024" s="4">
        <v>576888.16500000004</v>
      </c>
      <c r="G1024" s="4">
        <v>576889.36499999999</v>
      </c>
      <c r="H1024" s="5">
        <f>280 / 86400</f>
        <v>3.2407407407407406E-3</v>
      </c>
      <c r="I1024" t="s">
        <v>154</v>
      </c>
      <c r="J1024" t="s">
        <v>88</v>
      </c>
      <c r="K1024" s="5">
        <f>611 / 86400</f>
        <v>7.0717592592592594E-3</v>
      </c>
      <c r="L1024" s="5">
        <f>7 / 86400</f>
        <v>8.1018518518518516E-5</v>
      </c>
    </row>
    <row r="1025" spans="1:12" x14ac:dyDescent="0.25">
      <c r="A1025" s="3">
        <v>45709.813460648147</v>
      </c>
      <c r="B1025" t="s">
        <v>24</v>
      </c>
      <c r="C1025" s="3">
        <v>45709.813541666663</v>
      </c>
      <c r="D1025" t="s">
        <v>24</v>
      </c>
      <c r="E1025" s="4">
        <v>0</v>
      </c>
      <c r="F1025" s="4">
        <v>576889.36499999999</v>
      </c>
      <c r="G1025" s="4">
        <v>576889.36499999999</v>
      </c>
      <c r="H1025" s="5">
        <f>0 / 86400</f>
        <v>0</v>
      </c>
      <c r="I1025" t="s">
        <v>48</v>
      </c>
      <c r="J1025" t="s">
        <v>48</v>
      </c>
      <c r="K1025" s="5">
        <f>7 / 86400</f>
        <v>8.1018518518518516E-5</v>
      </c>
      <c r="L1025" s="5">
        <f>16109 / 86400</f>
        <v>0.18644675925925927</v>
      </c>
    </row>
    <row r="1026" spans="1:12" x14ac:dyDescent="0.25">
      <c r="A1026" s="12"/>
      <c r="B1026" s="12"/>
      <c r="C1026" s="12"/>
      <c r="D1026" s="12"/>
      <c r="E1026" s="12"/>
      <c r="F1026" s="12"/>
      <c r="G1026" s="12"/>
      <c r="H1026" s="12"/>
      <c r="I1026" s="12"/>
      <c r="J1026" s="12"/>
    </row>
    <row r="1027" spans="1:12" x14ac:dyDescent="0.25">
      <c r="A1027" s="12"/>
      <c r="B1027" s="12"/>
      <c r="C1027" s="12"/>
      <c r="D1027" s="12"/>
      <c r="E1027" s="12"/>
      <c r="F1027" s="12"/>
      <c r="G1027" s="12"/>
      <c r="H1027" s="12"/>
      <c r="I1027" s="12"/>
      <c r="J1027" s="12"/>
    </row>
    <row r="1028" spans="1:12" s="10" customFormat="1" ht="20.100000000000001" customHeight="1" x14ac:dyDescent="0.35">
      <c r="A1028" s="15" t="s">
        <v>494</v>
      </c>
      <c r="B1028" s="15"/>
      <c r="C1028" s="15"/>
      <c r="D1028" s="15"/>
      <c r="E1028" s="15"/>
      <c r="F1028" s="15"/>
      <c r="G1028" s="15"/>
      <c r="H1028" s="15"/>
      <c r="I1028" s="15"/>
      <c r="J1028" s="15"/>
    </row>
    <row r="1029" spans="1:12" x14ac:dyDescent="0.25">
      <c r="A1029" s="12"/>
      <c r="B1029" s="12"/>
      <c r="C1029" s="12"/>
      <c r="D1029" s="12"/>
      <c r="E1029" s="12"/>
      <c r="F1029" s="12"/>
      <c r="G1029" s="12"/>
      <c r="H1029" s="12"/>
      <c r="I1029" s="12"/>
      <c r="J1029" s="12"/>
    </row>
    <row r="1030" spans="1:12" ht="30" x14ac:dyDescent="0.25">
      <c r="A1030" s="2" t="s">
        <v>6</v>
      </c>
      <c r="B1030" s="2" t="s">
        <v>7</v>
      </c>
      <c r="C1030" s="2" t="s">
        <v>8</v>
      </c>
      <c r="D1030" s="2" t="s">
        <v>9</v>
      </c>
      <c r="E1030" s="2" t="s">
        <v>10</v>
      </c>
      <c r="F1030" s="2" t="s">
        <v>11</v>
      </c>
      <c r="G1030" s="2" t="s">
        <v>12</v>
      </c>
      <c r="H1030" s="2" t="s">
        <v>13</v>
      </c>
      <c r="I1030" s="2" t="s">
        <v>14</v>
      </c>
      <c r="J1030" s="2" t="s">
        <v>15</v>
      </c>
      <c r="K1030" s="2" t="s">
        <v>16</v>
      </c>
      <c r="L1030" s="2" t="s">
        <v>17</v>
      </c>
    </row>
    <row r="1031" spans="1:12" x14ac:dyDescent="0.25">
      <c r="A1031" s="3">
        <v>45709.227361111116</v>
      </c>
      <c r="B1031" t="s">
        <v>94</v>
      </c>
      <c r="C1031" s="3">
        <v>45709.232488425929</v>
      </c>
      <c r="D1031" t="s">
        <v>94</v>
      </c>
      <c r="E1031" s="4">
        <v>0</v>
      </c>
      <c r="F1031" s="4">
        <v>417740.87900000002</v>
      </c>
      <c r="G1031" s="4">
        <v>417740.87900000002</v>
      </c>
      <c r="H1031" s="5">
        <f>439 / 86400</f>
        <v>5.0810185185185186E-3</v>
      </c>
      <c r="I1031" t="s">
        <v>48</v>
      </c>
      <c r="J1031" t="s">
        <v>48</v>
      </c>
      <c r="K1031" s="5">
        <f>442 / 86400</f>
        <v>5.115740740740741E-3</v>
      </c>
      <c r="L1031" s="5">
        <f>21739 / 86400</f>
        <v>0.25160879629629629</v>
      </c>
    </row>
    <row r="1032" spans="1:12" x14ac:dyDescent="0.25">
      <c r="A1032" s="3">
        <v>45709.256736111114</v>
      </c>
      <c r="B1032" t="s">
        <v>94</v>
      </c>
      <c r="C1032" s="3">
        <v>45709.576145833329</v>
      </c>
      <c r="D1032" t="s">
        <v>70</v>
      </c>
      <c r="E1032" s="4">
        <v>137.703</v>
      </c>
      <c r="F1032" s="4">
        <v>417740.87900000002</v>
      </c>
      <c r="G1032" s="4">
        <v>417878.58199999999</v>
      </c>
      <c r="H1032" s="5">
        <f>8001 / 86400</f>
        <v>9.2604166666666668E-2</v>
      </c>
      <c r="I1032" t="s">
        <v>19</v>
      </c>
      <c r="J1032" t="s">
        <v>20</v>
      </c>
      <c r="K1032" s="5">
        <f>27596 / 86400</f>
        <v>0.31939814814814815</v>
      </c>
      <c r="L1032" s="5">
        <f>397 / 86400</f>
        <v>4.5949074074074078E-3</v>
      </c>
    </row>
    <row r="1033" spans="1:12" x14ac:dyDescent="0.25">
      <c r="A1033" s="3">
        <v>45709.580740740741</v>
      </c>
      <c r="B1033" t="s">
        <v>70</v>
      </c>
      <c r="C1033" s="3">
        <v>45709.581759259258</v>
      </c>
      <c r="D1033" t="s">
        <v>70</v>
      </c>
      <c r="E1033" s="4">
        <v>3.2000000000000001E-2</v>
      </c>
      <c r="F1033" s="4">
        <v>417878.58199999999</v>
      </c>
      <c r="G1033" s="4">
        <v>417878.614</v>
      </c>
      <c r="H1033" s="5">
        <f>39 / 86400</f>
        <v>4.5138888888888887E-4</v>
      </c>
      <c r="I1033" t="s">
        <v>88</v>
      </c>
      <c r="J1033" t="s">
        <v>47</v>
      </c>
      <c r="K1033" s="5">
        <f>87 / 86400</f>
        <v>1.0069444444444444E-3</v>
      </c>
      <c r="L1033" s="5">
        <f>253 / 86400</f>
        <v>2.9282407407407408E-3</v>
      </c>
    </row>
    <row r="1034" spans="1:12" x14ac:dyDescent="0.25">
      <c r="A1034" s="3">
        <v>45709.584687499999</v>
      </c>
      <c r="B1034" t="s">
        <v>70</v>
      </c>
      <c r="C1034" s="3">
        <v>45709.585706018523</v>
      </c>
      <c r="D1034" t="s">
        <v>70</v>
      </c>
      <c r="E1034" s="4">
        <v>7.4999999999999997E-2</v>
      </c>
      <c r="F1034" s="4">
        <v>417878.614</v>
      </c>
      <c r="G1034" s="4">
        <v>417878.68900000001</v>
      </c>
      <c r="H1034" s="5">
        <f>39 / 86400</f>
        <v>4.5138888888888887E-4</v>
      </c>
      <c r="I1034" t="s">
        <v>88</v>
      </c>
      <c r="J1034" t="s">
        <v>135</v>
      </c>
      <c r="K1034" s="5">
        <f>87 / 86400</f>
        <v>1.0069444444444444E-3</v>
      </c>
      <c r="L1034" s="5">
        <f>1080 / 86400</f>
        <v>1.2500000000000001E-2</v>
      </c>
    </row>
    <row r="1035" spans="1:12" x14ac:dyDescent="0.25">
      <c r="A1035" s="3">
        <v>45709.59820601852</v>
      </c>
      <c r="B1035" t="s">
        <v>140</v>
      </c>
      <c r="C1035" s="3">
        <v>45709.599791666667</v>
      </c>
      <c r="D1035" t="s">
        <v>350</v>
      </c>
      <c r="E1035" s="4">
        <v>0.114</v>
      </c>
      <c r="F1035" s="4">
        <v>417878.68900000001</v>
      </c>
      <c r="G1035" s="4">
        <v>417878.80300000001</v>
      </c>
      <c r="H1035" s="5">
        <f>79 / 86400</f>
        <v>9.1435185185185185E-4</v>
      </c>
      <c r="I1035" t="s">
        <v>26</v>
      </c>
      <c r="J1035" t="s">
        <v>135</v>
      </c>
      <c r="K1035" s="5">
        <f>137 / 86400</f>
        <v>1.5856481481481481E-3</v>
      </c>
      <c r="L1035" s="5">
        <f>259 / 86400</f>
        <v>2.9976851851851853E-3</v>
      </c>
    </row>
    <row r="1036" spans="1:12" x14ac:dyDescent="0.25">
      <c r="A1036" s="3">
        <v>45709.602789351848</v>
      </c>
      <c r="B1036" t="s">
        <v>350</v>
      </c>
      <c r="C1036" s="3">
        <v>45709.60319444444</v>
      </c>
      <c r="D1036" t="s">
        <v>350</v>
      </c>
      <c r="E1036" s="4">
        <v>5.0999999999999997E-2</v>
      </c>
      <c r="F1036" s="4">
        <v>417878.80300000001</v>
      </c>
      <c r="G1036" s="4">
        <v>417878.85399999999</v>
      </c>
      <c r="H1036" s="5">
        <f>0 / 86400</f>
        <v>0</v>
      </c>
      <c r="I1036" t="s">
        <v>60</v>
      </c>
      <c r="J1036" t="s">
        <v>121</v>
      </c>
      <c r="K1036" s="5">
        <f>34 / 86400</f>
        <v>3.9351851851851852E-4</v>
      </c>
      <c r="L1036" s="5">
        <f>2463 / 86400</f>
        <v>2.8506944444444446E-2</v>
      </c>
    </row>
    <row r="1037" spans="1:12" x14ac:dyDescent="0.25">
      <c r="A1037" s="3">
        <v>45709.631701388891</v>
      </c>
      <c r="B1037" t="s">
        <v>350</v>
      </c>
      <c r="C1037" s="3">
        <v>45709.881400462968</v>
      </c>
      <c r="D1037" t="s">
        <v>94</v>
      </c>
      <c r="E1037" s="4">
        <v>71.5</v>
      </c>
      <c r="F1037" s="4">
        <v>417878.85399999999</v>
      </c>
      <c r="G1037" s="4">
        <v>417950.35399999999</v>
      </c>
      <c r="H1037" s="5">
        <f>9259 / 86400</f>
        <v>0.10716435185185186</v>
      </c>
      <c r="I1037" t="s">
        <v>93</v>
      </c>
      <c r="J1037" t="s">
        <v>55</v>
      </c>
      <c r="K1037" s="5">
        <f>21574 / 86400</f>
        <v>0.24969907407407407</v>
      </c>
      <c r="L1037" s="5">
        <f>1480 / 86400</f>
        <v>1.712962962962963E-2</v>
      </c>
    </row>
    <row r="1038" spans="1:12" x14ac:dyDescent="0.25">
      <c r="A1038" s="3">
        <v>45709.898530092592</v>
      </c>
      <c r="B1038" t="s">
        <v>94</v>
      </c>
      <c r="C1038" s="3">
        <v>45709.900324074071</v>
      </c>
      <c r="D1038" t="s">
        <v>94</v>
      </c>
      <c r="E1038" s="4">
        <v>0.04</v>
      </c>
      <c r="F1038" s="4">
        <v>417950.35399999999</v>
      </c>
      <c r="G1038" s="4">
        <v>417950.39399999997</v>
      </c>
      <c r="H1038" s="5">
        <f>100 / 86400</f>
        <v>1.1574074074074073E-3</v>
      </c>
      <c r="I1038" t="s">
        <v>47</v>
      </c>
      <c r="J1038" t="s">
        <v>47</v>
      </c>
      <c r="K1038" s="5">
        <f>154 / 86400</f>
        <v>1.7824074074074075E-3</v>
      </c>
      <c r="L1038" s="5">
        <f>8611 / 86400</f>
        <v>9.9664351851851851E-2</v>
      </c>
    </row>
    <row r="1039" spans="1:12" x14ac:dyDescent="0.25">
      <c r="A1039" s="12"/>
      <c r="B1039" s="12"/>
      <c r="C1039" s="12"/>
      <c r="D1039" s="12"/>
      <c r="E1039" s="12"/>
      <c r="F1039" s="12"/>
      <c r="G1039" s="12"/>
      <c r="H1039" s="12"/>
      <c r="I1039" s="12"/>
      <c r="J1039" s="12"/>
    </row>
    <row r="1040" spans="1:12" x14ac:dyDescent="0.25">
      <c r="A1040" s="12"/>
      <c r="B1040" s="12"/>
      <c r="C1040" s="12"/>
      <c r="D1040" s="12"/>
      <c r="E1040" s="12"/>
      <c r="F1040" s="12"/>
      <c r="G1040" s="12"/>
      <c r="H1040" s="12"/>
      <c r="I1040" s="12"/>
      <c r="J1040" s="12"/>
    </row>
    <row r="1041" spans="1:12" s="10" customFormat="1" ht="20.100000000000001" customHeight="1" x14ac:dyDescent="0.35">
      <c r="A1041" s="15" t="s">
        <v>495</v>
      </c>
      <c r="B1041" s="15"/>
      <c r="C1041" s="15"/>
      <c r="D1041" s="15"/>
      <c r="E1041" s="15"/>
      <c r="F1041" s="15"/>
      <c r="G1041" s="15"/>
      <c r="H1041" s="15"/>
      <c r="I1041" s="15"/>
      <c r="J1041" s="15"/>
    </row>
    <row r="1042" spans="1:12" x14ac:dyDescent="0.25">
      <c r="A1042" s="12"/>
      <c r="B1042" s="12"/>
      <c r="C1042" s="12"/>
      <c r="D1042" s="12"/>
      <c r="E1042" s="12"/>
      <c r="F1042" s="12"/>
      <c r="G1042" s="12"/>
      <c r="H1042" s="12"/>
      <c r="I1042" s="12"/>
      <c r="J1042" s="12"/>
    </row>
    <row r="1043" spans="1:12" ht="30" x14ac:dyDescent="0.25">
      <c r="A1043" s="2" t="s">
        <v>6</v>
      </c>
      <c r="B1043" s="2" t="s">
        <v>7</v>
      </c>
      <c r="C1043" s="2" t="s">
        <v>8</v>
      </c>
      <c r="D1043" s="2" t="s">
        <v>9</v>
      </c>
      <c r="E1043" s="2" t="s">
        <v>10</v>
      </c>
      <c r="F1043" s="2" t="s">
        <v>11</v>
      </c>
      <c r="G1043" s="2" t="s">
        <v>12</v>
      </c>
      <c r="H1043" s="2" t="s">
        <v>13</v>
      </c>
      <c r="I1043" s="2" t="s">
        <v>14</v>
      </c>
      <c r="J1043" s="2" t="s">
        <v>15</v>
      </c>
      <c r="K1043" s="2" t="s">
        <v>16</v>
      </c>
      <c r="L1043" s="2" t="s">
        <v>17</v>
      </c>
    </row>
    <row r="1044" spans="1:12" x14ac:dyDescent="0.25">
      <c r="A1044" s="3">
        <v>45709.453703703708</v>
      </c>
      <c r="B1044" t="s">
        <v>95</v>
      </c>
      <c r="C1044" s="3">
        <v>45709.45449074074</v>
      </c>
      <c r="D1044" t="s">
        <v>95</v>
      </c>
      <c r="E1044" s="4">
        <v>0</v>
      </c>
      <c r="F1044" s="4">
        <v>401630.78700000001</v>
      </c>
      <c r="G1044" s="4">
        <v>401630.78700000001</v>
      </c>
      <c r="H1044" s="5">
        <f>59 / 86400</f>
        <v>6.8287037037037036E-4</v>
      </c>
      <c r="I1044" t="s">
        <v>48</v>
      </c>
      <c r="J1044" t="s">
        <v>48</v>
      </c>
      <c r="K1044" s="5">
        <f>68 / 86400</f>
        <v>7.8703703703703705E-4</v>
      </c>
      <c r="L1044" s="5">
        <f>40398 / 86400</f>
        <v>0.46756944444444443</v>
      </c>
    </row>
    <row r="1045" spans="1:12" x14ac:dyDescent="0.25">
      <c r="A1045" s="3">
        <v>45709.468356481477</v>
      </c>
      <c r="B1045" t="s">
        <v>95</v>
      </c>
      <c r="C1045" s="3">
        <v>45709.477824074071</v>
      </c>
      <c r="D1045" t="s">
        <v>428</v>
      </c>
      <c r="E1045" s="4">
        <v>8.3740000000000006</v>
      </c>
      <c r="F1045" s="4">
        <v>401630.78700000001</v>
      </c>
      <c r="G1045" s="4">
        <v>401639.16100000002</v>
      </c>
      <c r="H1045" s="5">
        <f>60 / 86400</f>
        <v>6.9444444444444447E-4</v>
      </c>
      <c r="I1045" t="s">
        <v>96</v>
      </c>
      <c r="J1045" t="s">
        <v>247</v>
      </c>
      <c r="K1045" s="5">
        <f>818 / 86400</f>
        <v>9.4675925925925934E-3</v>
      </c>
      <c r="L1045" s="5">
        <f>274 / 86400</f>
        <v>3.1712962962962962E-3</v>
      </c>
    </row>
    <row r="1046" spans="1:12" x14ac:dyDescent="0.25">
      <c r="A1046" s="3">
        <v>45709.480995370366</v>
      </c>
      <c r="B1046" t="s">
        <v>428</v>
      </c>
      <c r="C1046" s="3">
        <v>45709.482754629629</v>
      </c>
      <c r="D1046" t="s">
        <v>70</v>
      </c>
      <c r="E1046" s="4">
        <v>0.70899999999999996</v>
      </c>
      <c r="F1046" s="4">
        <v>401639.16100000002</v>
      </c>
      <c r="G1046" s="4">
        <v>401639.87</v>
      </c>
      <c r="H1046" s="5">
        <f>0 / 86400</f>
        <v>0</v>
      </c>
      <c r="I1046" t="s">
        <v>182</v>
      </c>
      <c r="J1046" t="s">
        <v>52</v>
      </c>
      <c r="K1046" s="5">
        <f>152 / 86400</f>
        <v>1.7592592592592592E-3</v>
      </c>
      <c r="L1046" s="5">
        <f>508 / 86400</f>
        <v>5.8796296296296296E-3</v>
      </c>
    </row>
    <row r="1047" spans="1:12" x14ac:dyDescent="0.25">
      <c r="A1047" s="3">
        <v>45709.488634259258</v>
      </c>
      <c r="B1047" t="s">
        <v>70</v>
      </c>
      <c r="C1047" s="3">
        <v>45709.490717592591</v>
      </c>
      <c r="D1047" t="s">
        <v>140</v>
      </c>
      <c r="E1047" s="4">
        <v>0.113</v>
      </c>
      <c r="F1047" s="4">
        <v>401639.87</v>
      </c>
      <c r="G1047" s="4">
        <v>401639.98300000001</v>
      </c>
      <c r="H1047" s="5">
        <f>120 / 86400</f>
        <v>1.3888888888888889E-3</v>
      </c>
      <c r="I1047" t="s">
        <v>28</v>
      </c>
      <c r="J1047" t="s">
        <v>122</v>
      </c>
      <c r="K1047" s="5">
        <f>180 / 86400</f>
        <v>2.0833333333333333E-3</v>
      </c>
      <c r="L1047" s="5">
        <f>654 / 86400</f>
        <v>7.5694444444444446E-3</v>
      </c>
    </row>
    <row r="1048" spans="1:12" x14ac:dyDescent="0.25">
      <c r="A1048" s="3">
        <v>45709.498287037037</v>
      </c>
      <c r="B1048" t="s">
        <v>140</v>
      </c>
      <c r="C1048" s="3">
        <v>45709.501319444447</v>
      </c>
      <c r="D1048" t="s">
        <v>89</v>
      </c>
      <c r="E1048" s="4">
        <v>8.2000000000000003E-2</v>
      </c>
      <c r="F1048" s="4">
        <v>401639.98300000001</v>
      </c>
      <c r="G1048" s="4">
        <v>401640.065</v>
      </c>
      <c r="H1048" s="5">
        <f>160 / 86400</f>
        <v>1.8518518518518519E-3</v>
      </c>
      <c r="I1048" t="s">
        <v>30</v>
      </c>
      <c r="J1048" t="s">
        <v>47</v>
      </c>
      <c r="K1048" s="5">
        <f>262 / 86400</f>
        <v>3.0324074074074073E-3</v>
      </c>
      <c r="L1048" s="5">
        <f>973 / 86400</f>
        <v>1.1261574074074075E-2</v>
      </c>
    </row>
    <row r="1049" spans="1:12" x14ac:dyDescent="0.25">
      <c r="A1049" s="3">
        <v>45709.51258101852</v>
      </c>
      <c r="B1049" t="s">
        <v>89</v>
      </c>
      <c r="C1049" s="3">
        <v>45709.512881944444</v>
      </c>
      <c r="D1049" t="s">
        <v>89</v>
      </c>
      <c r="E1049" s="4">
        <v>0</v>
      </c>
      <c r="F1049" s="4">
        <v>401640.065</v>
      </c>
      <c r="G1049" s="4">
        <v>401640.065</v>
      </c>
      <c r="H1049" s="5">
        <f>19 / 86400</f>
        <v>2.199074074074074E-4</v>
      </c>
      <c r="I1049" t="s">
        <v>48</v>
      </c>
      <c r="J1049" t="s">
        <v>48</v>
      </c>
      <c r="K1049" s="5">
        <f>26 / 86400</f>
        <v>3.0092592592592595E-4</v>
      </c>
      <c r="L1049" s="5">
        <f>57 / 86400</f>
        <v>6.5972222222222224E-4</v>
      </c>
    </row>
    <row r="1050" spans="1:12" x14ac:dyDescent="0.25">
      <c r="A1050" s="3">
        <v>45709.513541666667</v>
      </c>
      <c r="B1050" t="s">
        <v>89</v>
      </c>
      <c r="C1050" s="3">
        <v>45709.513807870375</v>
      </c>
      <c r="D1050" t="s">
        <v>89</v>
      </c>
      <c r="E1050" s="4">
        <v>0</v>
      </c>
      <c r="F1050" s="4">
        <v>401640.065</v>
      </c>
      <c r="G1050" s="4">
        <v>401640.065</v>
      </c>
      <c r="H1050" s="5">
        <f>19 / 86400</f>
        <v>2.199074074074074E-4</v>
      </c>
      <c r="I1050" t="s">
        <v>48</v>
      </c>
      <c r="J1050" t="s">
        <v>48</v>
      </c>
      <c r="K1050" s="5">
        <f>22 / 86400</f>
        <v>2.5462962962962961E-4</v>
      </c>
      <c r="L1050" s="5">
        <f>286 / 86400</f>
        <v>3.3101851851851851E-3</v>
      </c>
    </row>
    <row r="1051" spans="1:12" x14ac:dyDescent="0.25">
      <c r="A1051" s="3">
        <v>45709.517118055555</v>
      </c>
      <c r="B1051" t="s">
        <v>89</v>
      </c>
      <c r="C1051" s="3">
        <v>45709.517858796295</v>
      </c>
      <c r="D1051" t="s">
        <v>89</v>
      </c>
      <c r="E1051" s="4">
        <v>0</v>
      </c>
      <c r="F1051" s="4">
        <v>401640.065</v>
      </c>
      <c r="G1051" s="4">
        <v>401640.065</v>
      </c>
      <c r="H1051" s="5">
        <f>59 / 86400</f>
        <v>6.8287037037037036E-4</v>
      </c>
      <c r="I1051" t="s">
        <v>48</v>
      </c>
      <c r="J1051" t="s">
        <v>48</v>
      </c>
      <c r="K1051" s="5">
        <f>64 / 86400</f>
        <v>7.407407407407407E-4</v>
      </c>
      <c r="L1051" s="5">
        <f>8645 / 86400</f>
        <v>0.10005787037037037</v>
      </c>
    </row>
    <row r="1052" spans="1:12" x14ac:dyDescent="0.25">
      <c r="A1052" s="3">
        <v>45709.61791666667</v>
      </c>
      <c r="B1052" t="s">
        <v>89</v>
      </c>
      <c r="C1052" s="3">
        <v>45709.620011574079</v>
      </c>
      <c r="D1052" t="s">
        <v>89</v>
      </c>
      <c r="E1052" s="4">
        <v>0</v>
      </c>
      <c r="F1052" s="4">
        <v>401640.065</v>
      </c>
      <c r="G1052" s="4">
        <v>401640.065</v>
      </c>
      <c r="H1052" s="5">
        <f>179 / 86400</f>
        <v>2.0717592592592593E-3</v>
      </c>
      <c r="I1052" t="s">
        <v>48</v>
      </c>
      <c r="J1052" t="s">
        <v>48</v>
      </c>
      <c r="K1052" s="5">
        <f>180 / 86400</f>
        <v>2.0833333333333333E-3</v>
      </c>
      <c r="L1052" s="5">
        <f>2262 / 86400</f>
        <v>2.6180555555555554E-2</v>
      </c>
    </row>
    <row r="1053" spans="1:12" x14ac:dyDescent="0.25">
      <c r="A1053" s="3">
        <v>45709.646192129629</v>
      </c>
      <c r="B1053" t="s">
        <v>89</v>
      </c>
      <c r="C1053" s="3">
        <v>45709.649918981479</v>
      </c>
      <c r="D1053" t="s">
        <v>89</v>
      </c>
      <c r="E1053" s="4">
        <v>0</v>
      </c>
      <c r="F1053" s="4">
        <v>401640.065</v>
      </c>
      <c r="G1053" s="4">
        <v>401640.065</v>
      </c>
      <c r="H1053" s="5">
        <f>319 / 86400</f>
        <v>3.6921296296296298E-3</v>
      </c>
      <c r="I1053" t="s">
        <v>48</v>
      </c>
      <c r="J1053" t="s">
        <v>48</v>
      </c>
      <c r="K1053" s="5">
        <f>322 / 86400</f>
        <v>3.7268518518518519E-3</v>
      </c>
      <c r="L1053" s="5">
        <f>1114 / 86400</f>
        <v>1.2893518518518518E-2</v>
      </c>
    </row>
    <row r="1054" spans="1:12" x14ac:dyDescent="0.25">
      <c r="A1054" s="3">
        <v>45709.662812499999</v>
      </c>
      <c r="B1054" t="s">
        <v>89</v>
      </c>
      <c r="C1054" s="3">
        <v>45709.667581018519</v>
      </c>
      <c r="D1054" t="s">
        <v>89</v>
      </c>
      <c r="E1054" s="4">
        <v>0</v>
      </c>
      <c r="F1054" s="4">
        <v>401640.065</v>
      </c>
      <c r="G1054" s="4">
        <v>401640.065</v>
      </c>
      <c r="H1054" s="5">
        <f>399 / 86400</f>
        <v>4.6180555555555558E-3</v>
      </c>
      <c r="I1054" t="s">
        <v>48</v>
      </c>
      <c r="J1054" t="s">
        <v>48</v>
      </c>
      <c r="K1054" s="5">
        <f>411 / 86400</f>
        <v>4.7569444444444447E-3</v>
      </c>
      <c r="L1054" s="5">
        <f>552 / 86400</f>
        <v>6.3888888888888893E-3</v>
      </c>
    </row>
    <row r="1055" spans="1:12" x14ac:dyDescent="0.25">
      <c r="A1055" s="3">
        <v>45709.67396990741</v>
      </c>
      <c r="B1055" t="s">
        <v>89</v>
      </c>
      <c r="C1055" s="3">
        <v>45709.676527777774</v>
      </c>
      <c r="D1055" t="s">
        <v>89</v>
      </c>
      <c r="E1055" s="4">
        <v>0</v>
      </c>
      <c r="F1055" s="4">
        <v>401640.065</v>
      </c>
      <c r="G1055" s="4">
        <v>401640.065</v>
      </c>
      <c r="H1055" s="5">
        <f>219 / 86400</f>
        <v>2.5347222222222221E-3</v>
      </c>
      <c r="I1055" t="s">
        <v>48</v>
      </c>
      <c r="J1055" t="s">
        <v>48</v>
      </c>
      <c r="K1055" s="5">
        <f>221 / 86400</f>
        <v>2.5578703703703705E-3</v>
      </c>
      <c r="L1055" s="5">
        <f>33 / 86400</f>
        <v>3.8194444444444446E-4</v>
      </c>
    </row>
    <row r="1056" spans="1:12" x14ac:dyDescent="0.25">
      <c r="A1056" s="3">
        <v>45709.67690972222</v>
      </c>
      <c r="B1056" t="s">
        <v>89</v>
      </c>
      <c r="C1056" s="3">
        <v>45709.67868055556</v>
      </c>
      <c r="D1056" t="s">
        <v>89</v>
      </c>
      <c r="E1056" s="4">
        <v>0</v>
      </c>
      <c r="F1056" s="4">
        <v>401640.065</v>
      </c>
      <c r="G1056" s="4">
        <v>401640.065</v>
      </c>
      <c r="H1056" s="5">
        <f>139 / 86400</f>
        <v>1.6087962962962963E-3</v>
      </c>
      <c r="I1056" t="s">
        <v>48</v>
      </c>
      <c r="J1056" t="s">
        <v>48</v>
      </c>
      <c r="K1056" s="5">
        <f>152 / 86400</f>
        <v>1.7592592592592592E-3</v>
      </c>
      <c r="L1056" s="5">
        <f>27761 / 86400</f>
        <v>0.3213078703703704</v>
      </c>
    </row>
    <row r="1057" spans="1:12" x14ac:dyDescent="0.25">
      <c r="A1057" s="12"/>
      <c r="B1057" s="12"/>
      <c r="C1057" s="12"/>
      <c r="D1057" s="12"/>
      <c r="E1057" s="12"/>
      <c r="F1057" s="12"/>
      <c r="G1057" s="12"/>
      <c r="H1057" s="12"/>
      <c r="I1057" s="12"/>
      <c r="J1057" s="12"/>
    </row>
    <row r="1058" spans="1:12" x14ac:dyDescent="0.25">
      <c r="A1058" s="12"/>
      <c r="B1058" s="12"/>
      <c r="C1058" s="12"/>
      <c r="D1058" s="12"/>
      <c r="E1058" s="12"/>
      <c r="F1058" s="12"/>
      <c r="G1058" s="12"/>
      <c r="H1058" s="12"/>
      <c r="I1058" s="12"/>
      <c r="J1058" s="12"/>
    </row>
    <row r="1059" spans="1:12" s="10" customFormat="1" ht="20.100000000000001" customHeight="1" x14ac:dyDescent="0.35">
      <c r="A1059" s="15" t="s">
        <v>496</v>
      </c>
      <c r="B1059" s="15"/>
      <c r="C1059" s="15"/>
      <c r="D1059" s="15"/>
      <c r="E1059" s="15"/>
      <c r="F1059" s="15"/>
      <c r="G1059" s="15"/>
      <c r="H1059" s="15"/>
      <c r="I1059" s="15"/>
      <c r="J1059" s="15"/>
    </row>
    <row r="1060" spans="1:12" x14ac:dyDescent="0.25">
      <c r="A1060" s="12"/>
      <c r="B1060" s="12"/>
      <c r="C1060" s="12"/>
      <c r="D1060" s="12"/>
      <c r="E1060" s="12"/>
      <c r="F1060" s="12"/>
      <c r="G1060" s="12"/>
      <c r="H1060" s="12"/>
      <c r="I1060" s="12"/>
      <c r="J1060" s="12"/>
    </row>
    <row r="1061" spans="1:12" ht="30" x14ac:dyDescent="0.25">
      <c r="A1061" s="2" t="s">
        <v>6</v>
      </c>
      <c r="B1061" s="2" t="s">
        <v>7</v>
      </c>
      <c r="C1061" s="2" t="s">
        <v>8</v>
      </c>
      <c r="D1061" s="2" t="s">
        <v>9</v>
      </c>
      <c r="E1061" s="2" t="s">
        <v>10</v>
      </c>
      <c r="F1061" s="2" t="s">
        <v>11</v>
      </c>
      <c r="G1061" s="2" t="s">
        <v>12</v>
      </c>
      <c r="H1061" s="2" t="s">
        <v>13</v>
      </c>
      <c r="I1061" s="2" t="s">
        <v>14</v>
      </c>
      <c r="J1061" s="2" t="s">
        <v>15</v>
      </c>
      <c r="K1061" s="2" t="s">
        <v>16</v>
      </c>
      <c r="L1061" s="2" t="s">
        <v>17</v>
      </c>
    </row>
    <row r="1062" spans="1:12" x14ac:dyDescent="0.25">
      <c r="A1062" s="3">
        <v>45709.204016203701</v>
      </c>
      <c r="B1062" t="s">
        <v>24</v>
      </c>
      <c r="C1062" s="3">
        <v>45709.430960648147</v>
      </c>
      <c r="D1062" t="s">
        <v>439</v>
      </c>
      <c r="E1062" s="4">
        <v>97.055000000000007</v>
      </c>
      <c r="F1062" s="4">
        <v>383453.59700000001</v>
      </c>
      <c r="G1062" s="4">
        <v>383550.652</v>
      </c>
      <c r="H1062" s="5">
        <f>6407 / 86400</f>
        <v>7.4155092592592592E-2</v>
      </c>
      <c r="I1062" t="s">
        <v>93</v>
      </c>
      <c r="J1062" t="s">
        <v>20</v>
      </c>
      <c r="K1062" s="5">
        <f>19608 / 86400</f>
        <v>0.22694444444444445</v>
      </c>
      <c r="L1062" s="5">
        <f>17746 / 86400</f>
        <v>0.20539351851851853</v>
      </c>
    </row>
    <row r="1063" spans="1:12" x14ac:dyDescent="0.25">
      <c r="A1063" s="3">
        <v>45709.432337962964</v>
      </c>
      <c r="B1063" t="s">
        <v>439</v>
      </c>
      <c r="C1063" s="3">
        <v>45709.433217592596</v>
      </c>
      <c r="D1063" t="s">
        <v>46</v>
      </c>
      <c r="E1063" s="4">
        <v>3.5999999999999997E-2</v>
      </c>
      <c r="F1063" s="4">
        <v>383550.652</v>
      </c>
      <c r="G1063" s="4">
        <v>383550.68800000002</v>
      </c>
      <c r="H1063" s="5">
        <f>20 / 86400</f>
        <v>2.3148148148148149E-4</v>
      </c>
      <c r="I1063" t="s">
        <v>88</v>
      </c>
      <c r="J1063" t="s">
        <v>122</v>
      </c>
      <c r="K1063" s="5">
        <f>76 / 86400</f>
        <v>8.7962962962962962E-4</v>
      </c>
      <c r="L1063" s="5">
        <f>3695 / 86400</f>
        <v>4.2766203703703702E-2</v>
      </c>
    </row>
    <row r="1064" spans="1:12" x14ac:dyDescent="0.25">
      <c r="A1064" s="3">
        <v>45709.475983796292</v>
      </c>
      <c r="B1064" t="s">
        <v>46</v>
      </c>
      <c r="C1064" s="3">
        <v>45709.488854166666</v>
      </c>
      <c r="D1064" t="s">
        <v>126</v>
      </c>
      <c r="E1064" s="4">
        <v>2.0950000000000002</v>
      </c>
      <c r="F1064" s="4">
        <v>383550.68800000002</v>
      </c>
      <c r="G1064" s="4">
        <v>383552.783</v>
      </c>
      <c r="H1064" s="5">
        <f>539 / 86400</f>
        <v>6.2384259259259259E-3</v>
      </c>
      <c r="I1064" t="s">
        <v>141</v>
      </c>
      <c r="J1064" t="s">
        <v>88</v>
      </c>
      <c r="K1064" s="5">
        <f>1112 / 86400</f>
        <v>1.2870370370370371E-2</v>
      </c>
      <c r="L1064" s="5">
        <f>2261 / 86400</f>
        <v>2.6168981481481481E-2</v>
      </c>
    </row>
    <row r="1065" spans="1:12" x14ac:dyDescent="0.25">
      <c r="A1065" s="3">
        <v>45709.515023148153</v>
      </c>
      <c r="B1065" t="s">
        <v>126</v>
      </c>
      <c r="C1065" s="3">
        <v>45709.604803240742</v>
      </c>
      <c r="D1065" t="s">
        <v>261</v>
      </c>
      <c r="E1065" s="4">
        <v>42.795000000000002</v>
      </c>
      <c r="F1065" s="4">
        <v>383552.783</v>
      </c>
      <c r="G1065" s="4">
        <v>383595.57799999998</v>
      </c>
      <c r="H1065" s="5">
        <f>2280 / 86400</f>
        <v>2.6388888888888889E-2</v>
      </c>
      <c r="I1065" t="s">
        <v>35</v>
      </c>
      <c r="J1065" t="s">
        <v>33</v>
      </c>
      <c r="K1065" s="5">
        <f>7756 / 86400</f>
        <v>8.9768518518518525E-2</v>
      </c>
      <c r="L1065" s="5">
        <f>45 / 86400</f>
        <v>5.2083333333333333E-4</v>
      </c>
    </row>
    <row r="1066" spans="1:12" x14ac:dyDescent="0.25">
      <c r="A1066" s="3">
        <v>45709.605324074073</v>
      </c>
      <c r="B1066" t="s">
        <v>261</v>
      </c>
      <c r="C1066" s="3">
        <v>45709.641030092593</v>
      </c>
      <c r="D1066" t="s">
        <v>152</v>
      </c>
      <c r="E1066" s="4">
        <v>8.6809999999999992</v>
      </c>
      <c r="F1066" s="4">
        <v>383595.57799999998</v>
      </c>
      <c r="G1066" s="4">
        <v>383604.25900000002</v>
      </c>
      <c r="H1066" s="5">
        <f>1240 / 86400</f>
        <v>1.4351851851851852E-2</v>
      </c>
      <c r="I1066" t="s">
        <v>76</v>
      </c>
      <c r="J1066" t="s">
        <v>60</v>
      </c>
      <c r="K1066" s="5">
        <f>3085 / 86400</f>
        <v>3.5706018518518519E-2</v>
      </c>
      <c r="L1066" s="5">
        <f>186 / 86400</f>
        <v>2.1527777777777778E-3</v>
      </c>
    </row>
    <row r="1067" spans="1:12" x14ac:dyDescent="0.25">
      <c r="A1067" s="3">
        <v>45709.643182870372</v>
      </c>
      <c r="B1067" t="s">
        <v>152</v>
      </c>
      <c r="C1067" s="3">
        <v>45709.793217592596</v>
      </c>
      <c r="D1067" t="s">
        <v>149</v>
      </c>
      <c r="E1067" s="4">
        <v>49.692999999999998</v>
      </c>
      <c r="F1067" s="4">
        <v>383604.25900000002</v>
      </c>
      <c r="G1067" s="4">
        <v>383653.95199999999</v>
      </c>
      <c r="H1067" s="5">
        <f>5080 / 86400</f>
        <v>5.8796296296296298E-2</v>
      </c>
      <c r="I1067" t="s">
        <v>156</v>
      </c>
      <c r="J1067" t="s">
        <v>57</v>
      </c>
      <c r="K1067" s="5">
        <f>12962 / 86400</f>
        <v>0.15002314814814816</v>
      </c>
      <c r="L1067" s="5">
        <f>40 / 86400</f>
        <v>4.6296296296296298E-4</v>
      </c>
    </row>
    <row r="1068" spans="1:12" x14ac:dyDescent="0.25">
      <c r="A1068" s="3">
        <v>45709.793680555551</v>
      </c>
      <c r="B1068" t="s">
        <v>149</v>
      </c>
      <c r="C1068" s="3">
        <v>45709.838287037041</v>
      </c>
      <c r="D1068" t="s">
        <v>24</v>
      </c>
      <c r="E1068" s="4">
        <v>24.844000000000001</v>
      </c>
      <c r="F1068" s="4">
        <v>383653.95199999999</v>
      </c>
      <c r="G1068" s="4">
        <v>383678.79599999997</v>
      </c>
      <c r="H1068" s="5">
        <f>981 / 86400</f>
        <v>1.1354166666666667E-2</v>
      </c>
      <c r="I1068" t="s">
        <v>19</v>
      </c>
      <c r="J1068" t="s">
        <v>124</v>
      </c>
      <c r="K1068" s="5">
        <f>3854 / 86400</f>
        <v>4.4606481481481483E-2</v>
      </c>
      <c r="L1068" s="5">
        <f>1470 / 86400</f>
        <v>1.7013888888888887E-2</v>
      </c>
    </row>
    <row r="1069" spans="1:12" x14ac:dyDescent="0.25">
      <c r="A1069" s="3">
        <v>45709.855300925927</v>
      </c>
      <c r="B1069" t="s">
        <v>24</v>
      </c>
      <c r="C1069" s="3">
        <v>45709.857361111106</v>
      </c>
      <c r="D1069" t="s">
        <v>24</v>
      </c>
      <c r="E1069" s="4">
        <v>3.9E-2</v>
      </c>
      <c r="F1069" s="4">
        <v>383678.79599999997</v>
      </c>
      <c r="G1069" s="4">
        <v>383678.83500000002</v>
      </c>
      <c r="H1069" s="5">
        <f>100 / 86400</f>
        <v>1.1574074074074073E-3</v>
      </c>
      <c r="I1069" t="s">
        <v>122</v>
      </c>
      <c r="J1069" t="s">
        <v>47</v>
      </c>
      <c r="K1069" s="5">
        <f>178 / 86400</f>
        <v>2.0601851851851853E-3</v>
      </c>
      <c r="L1069" s="5">
        <f>12323 / 86400</f>
        <v>0.1426273148148148</v>
      </c>
    </row>
    <row r="1070" spans="1:12" x14ac:dyDescent="0.25">
      <c r="A1070" s="12"/>
      <c r="B1070" s="12"/>
      <c r="C1070" s="12"/>
      <c r="D1070" s="12"/>
      <c r="E1070" s="12"/>
      <c r="F1070" s="12"/>
      <c r="G1070" s="12"/>
      <c r="H1070" s="12"/>
      <c r="I1070" s="12"/>
      <c r="J1070" s="12"/>
    </row>
    <row r="1071" spans="1:12" x14ac:dyDescent="0.25">
      <c r="A1071" s="12"/>
      <c r="B1071" s="12"/>
      <c r="C1071" s="12"/>
      <c r="D1071" s="12"/>
      <c r="E1071" s="12"/>
      <c r="F1071" s="12"/>
      <c r="G1071" s="12"/>
      <c r="H1071" s="12"/>
      <c r="I1071" s="12"/>
      <c r="J1071" s="12"/>
    </row>
    <row r="1072" spans="1:12" s="10" customFormat="1" ht="20.100000000000001" customHeight="1" x14ac:dyDescent="0.35">
      <c r="A1072" s="15" t="s">
        <v>497</v>
      </c>
      <c r="B1072" s="15"/>
      <c r="C1072" s="15"/>
      <c r="D1072" s="15"/>
      <c r="E1072" s="15"/>
      <c r="F1072" s="15"/>
      <c r="G1072" s="15"/>
      <c r="H1072" s="15"/>
      <c r="I1072" s="15"/>
      <c r="J1072" s="15"/>
    </row>
    <row r="1073" spans="1:12" x14ac:dyDescent="0.25">
      <c r="A1073" s="12"/>
      <c r="B1073" s="12"/>
      <c r="C1073" s="12"/>
      <c r="D1073" s="12"/>
      <c r="E1073" s="12"/>
      <c r="F1073" s="12"/>
      <c r="G1073" s="12"/>
      <c r="H1073" s="12"/>
      <c r="I1073" s="12"/>
      <c r="J1073" s="12"/>
    </row>
    <row r="1074" spans="1:12" ht="30" x14ac:dyDescent="0.25">
      <c r="A1074" s="2" t="s">
        <v>6</v>
      </c>
      <c r="B1074" s="2" t="s">
        <v>7</v>
      </c>
      <c r="C1074" s="2" t="s">
        <v>8</v>
      </c>
      <c r="D1074" s="2" t="s">
        <v>9</v>
      </c>
      <c r="E1074" s="2" t="s">
        <v>10</v>
      </c>
      <c r="F1074" s="2" t="s">
        <v>11</v>
      </c>
      <c r="G1074" s="2" t="s">
        <v>12</v>
      </c>
      <c r="H1074" s="2" t="s">
        <v>13</v>
      </c>
      <c r="I1074" s="2" t="s">
        <v>14</v>
      </c>
      <c r="J1074" s="2" t="s">
        <v>15</v>
      </c>
      <c r="K1074" s="2" t="s">
        <v>16</v>
      </c>
      <c r="L1074" s="2" t="s">
        <v>17</v>
      </c>
    </row>
    <row r="1075" spans="1:12" x14ac:dyDescent="0.25">
      <c r="A1075" s="3">
        <v>45709.289085648154</v>
      </c>
      <c r="B1075" t="s">
        <v>97</v>
      </c>
      <c r="C1075" s="3">
        <v>45709.294745370367</v>
      </c>
      <c r="D1075" t="s">
        <v>140</v>
      </c>
      <c r="E1075" s="4">
        <v>0.95199999999999996</v>
      </c>
      <c r="F1075" s="4">
        <v>547491.40300000005</v>
      </c>
      <c r="G1075" s="4">
        <v>547492.35499999998</v>
      </c>
      <c r="H1075" s="5">
        <f>139 / 86400</f>
        <v>1.6087962962962963E-3</v>
      </c>
      <c r="I1075" t="s">
        <v>91</v>
      </c>
      <c r="J1075" t="s">
        <v>88</v>
      </c>
      <c r="K1075" s="5">
        <f>488 / 86400</f>
        <v>5.6481481481481478E-3</v>
      </c>
      <c r="L1075" s="5">
        <f>26379 / 86400</f>
        <v>0.30531249999999999</v>
      </c>
    </row>
    <row r="1076" spans="1:12" x14ac:dyDescent="0.25">
      <c r="A1076" s="3">
        <v>45709.310972222222</v>
      </c>
      <c r="B1076" t="s">
        <v>140</v>
      </c>
      <c r="C1076" s="3">
        <v>45709.311342592591</v>
      </c>
      <c r="D1076" t="s">
        <v>140</v>
      </c>
      <c r="E1076" s="4">
        <v>6.0000000000000001E-3</v>
      </c>
      <c r="F1076" s="4">
        <v>547492.35499999998</v>
      </c>
      <c r="G1076" s="4">
        <v>547492.36100000003</v>
      </c>
      <c r="H1076" s="5">
        <f>19 / 86400</f>
        <v>2.199074074074074E-4</v>
      </c>
      <c r="I1076" t="s">
        <v>48</v>
      </c>
      <c r="J1076" t="s">
        <v>47</v>
      </c>
      <c r="K1076" s="5">
        <f>32 / 86400</f>
        <v>3.7037037037037035E-4</v>
      </c>
      <c r="L1076" s="5">
        <f>1013 / 86400</f>
        <v>1.1724537037037037E-2</v>
      </c>
    </row>
    <row r="1077" spans="1:12" x14ac:dyDescent="0.25">
      <c r="A1077" s="3">
        <v>45709.323067129633</v>
      </c>
      <c r="B1077" t="s">
        <v>140</v>
      </c>
      <c r="C1077" s="3">
        <v>45709.444189814814</v>
      </c>
      <c r="D1077" t="s">
        <v>152</v>
      </c>
      <c r="E1077" s="4">
        <v>49.402000000000001</v>
      </c>
      <c r="F1077" s="4">
        <v>547492.36100000003</v>
      </c>
      <c r="G1077" s="4">
        <v>547541.76300000004</v>
      </c>
      <c r="H1077" s="5">
        <f>3677 / 86400</f>
        <v>4.2557870370370371E-2</v>
      </c>
      <c r="I1077" t="s">
        <v>71</v>
      </c>
      <c r="J1077" t="s">
        <v>52</v>
      </c>
      <c r="K1077" s="5">
        <f>10465 / 86400</f>
        <v>0.12112268518518518</v>
      </c>
      <c r="L1077" s="5">
        <f>2272 / 86400</f>
        <v>2.6296296296296297E-2</v>
      </c>
    </row>
    <row r="1078" spans="1:12" x14ac:dyDescent="0.25">
      <c r="A1078" s="3">
        <v>45709.470486111109</v>
      </c>
      <c r="B1078" t="s">
        <v>152</v>
      </c>
      <c r="C1078" s="3">
        <v>45709.603472222225</v>
      </c>
      <c r="D1078" t="s">
        <v>126</v>
      </c>
      <c r="E1078" s="4">
        <v>50.835999999999999</v>
      </c>
      <c r="F1078" s="4">
        <v>547541.76300000004</v>
      </c>
      <c r="G1078" s="4">
        <v>547592.59900000005</v>
      </c>
      <c r="H1078" s="5">
        <f>3479 / 86400</f>
        <v>4.0266203703703707E-2</v>
      </c>
      <c r="I1078" t="s">
        <v>183</v>
      </c>
      <c r="J1078" t="s">
        <v>28</v>
      </c>
      <c r="K1078" s="5">
        <f>11489 / 86400</f>
        <v>0.13297453703703704</v>
      </c>
      <c r="L1078" s="5">
        <f>502 / 86400</f>
        <v>5.8101851851851856E-3</v>
      </c>
    </row>
    <row r="1079" spans="1:12" x14ac:dyDescent="0.25">
      <c r="A1079" s="3">
        <v>45709.609282407408</v>
      </c>
      <c r="B1079" t="s">
        <v>126</v>
      </c>
      <c r="C1079" s="3">
        <v>45709.613263888888</v>
      </c>
      <c r="D1079" t="s">
        <v>113</v>
      </c>
      <c r="E1079" s="4">
        <v>1.099</v>
      </c>
      <c r="F1079" s="4">
        <v>547592.59900000005</v>
      </c>
      <c r="G1079" s="4">
        <v>547593.69799999997</v>
      </c>
      <c r="H1079" s="5">
        <f>20 / 86400</f>
        <v>2.3148148148148149E-4</v>
      </c>
      <c r="I1079" t="s">
        <v>52</v>
      </c>
      <c r="J1079" t="s">
        <v>55</v>
      </c>
      <c r="K1079" s="5">
        <f>343 / 86400</f>
        <v>3.9699074074074072E-3</v>
      </c>
      <c r="L1079" s="5">
        <f>2916 / 86400</f>
        <v>3.3750000000000002E-2</v>
      </c>
    </row>
    <row r="1080" spans="1:12" x14ac:dyDescent="0.25">
      <c r="A1080" s="3">
        <v>45709.647013888884</v>
      </c>
      <c r="B1080" t="s">
        <v>113</v>
      </c>
      <c r="C1080" s="3">
        <v>45709.884722222225</v>
      </c>
      <c r="D1080" t="s">
        <v>70</v>
      </c>
      <c r="E1080" s="4">
        <v>95.259</v>
      </c>
      <c r="F1080" s="4">
        <v>547593.69799999997</v>
      </c>
      <c r="G1080" s="4">
        <v>547688.95700000005</v>
      </c>
      <c r="H1080" s="5">
        <f>6298 / 86400</f>
        <v>7.2893518518518524E-2</v>
      </c>
      <c r="I1080" t="s">
        <v>71</v>
      </c>
      <c r="J1080" t="s">
        <v>52</v>
      </c>
      <c r="K1080" s="5">
        <f>20537 / 86400</f>
        <v>0.23769675925925926</v>
      </c>
      <c r="L1080" s="5">
        <f>449 / 86400</f>
        <v>5.1967592592592595E-3</v>
      </c>
    </row>
    <row r="1081" spans="1:12" x14ac:dyDescent="0.25">
      <c r="A1081" s="3">
        <v>45709.889918981484</v>
      </c>
      <c r="B1081" t="s">
        <v>70</v>
      </c>
      <c r="C1081" s="3">
        <v>45709.892743055556</v>
      </c>
      <c r="D1081" t="s">
        <v>97</v>
      </c>
      <c r="E1081" s="4">
        <v>0.55200000000000005</v>
      </c>
      <c r="F1081" s="4">
        <v>547688.95700000005</v>
      </c>
      <c r="G1081" s="4">
        <v>547689.50899999996</v>
      </c>
      <c r="H1081" s="5">
        <f>59 / 86400</f>
        <v>6.8287037037037036E-4</v>
      </c>
      <c r="I1081" t="s">
        <v>124</v>
      </c>
      <c r="J1081" t="s">
        <v>59</v>
      </c>
      <c r="K1081" s="5">
        <f>244 / 86400</f>
        <v>2.8240740740740739E-3</v>
      </c>
      <c r="L1081" s="5">
        <f>3 / 86400</f>
        <v>3.4722222222222222E-5</v>
      </c>
    </row>
    <row r="1082" spans="1:12" x14ac:dyDescent="0.25">
      <c r="A1082" s="3">
        <v>45709.892777777779</v>
      </c>
      <c r="B1082" t="s">
        <v>97</v>
      </c>
      <c r="C1082" s="3">
        <v>45709.892812499995</v>
      </c>
      <c r="D1082" t="s">
        <v>97</v>
      </c>
      <c r="E1082" s="4">
        <v>0</v>
      </c>
      <c r="F1082" s="4">
        <v>547689.50899999996</v>
      </c>
      <c r="G1082" s="4">
        <v>547689.50899999996</v>
      </c>
      <c r="H1082" s="5">
        <f>0 / 86400</f>
        <v>0</v>
      </c>
      <c r="I1082" t="s">
        <v>48</v>
      </c>
      <c r="J1082" t="s">
        <v>48</v>
      </c>
      <c r="K1082" s="5">
        <f>3 / 86400</f>
        <v>3.4722222222222222E-5</v>
      </c>
      <c r="L1082" s="5">
        <f>9260 / 86400</f>
        <v>0.10717592592592592</v>
      </c>
    </row>
    <row r="1083" spans="1:12" x14ac:dyDescent="0.25">
      <c r="A1083" s="12"/>
      <c r="B1083" s="12"/>
      <c r="C1083" s="12"/>
      <c r="D1083" s="12"/>
      <c r="E1083" s="12"/>
      <c r="F1083" s="12"/>
      <c r="G1083" s="12"/>
      <c r="H1083" s="12"/>
      <c r="I1083" s="12"/>
      <c r="J1083" s="12"/>
    </row>
    <row r="1084" spans="1:12" x14ac:dyDescent="0.25">
      <c r="A1084" s="12"/>
      <c r="B1084" s="12"/>
      <c r="C1084" s="12"/>
      <c r="D1084" s="12"/>
      <c r="E1084" s="12"/>
      <c r="F1084" s="12"/>
      <c r="G1084" s="12"/>
      <c r="H1084" s="12"/>
      <c r="I1084" s="12"/>
      <c r="J1084" s="12"/>
    </row>
    <row r="1085" spans="1:12" s="10" customFormat="1" ht="20.100000000000001" customHeight="1" x14ac:dyDescent="0.35">
      <c r="A1085" s="15" t="s">
        <v>498</v>
      </c>
      <c r="B1085" s="15"/>
      <c r="C1085" s="15"/>
      <c r="D1085" s="15"/>
      <c r="E1085" s="15"/>
      <c r="F1085" s="15"/>
      <c r="G1085" s="15"/>
      <c r="H1085" s="15"/>
      <c r="I1085" s="15"/>
      <c r="J1085" s="15"/>
    </row>
    <row r="1086" spans="1:12" x14ac:dyDescent="0.25">
      <c r="A1086" s="12"/>
      <c r="B1086" s="12"/>
      <c r="C1086" s="12"/>
      <c r="D1086" s="12"/>
      <c r="E1086" s="12"/>
      <c r="F1086" s="12"/>
      <c r="G1086" s="12"/>
      <c r="H1086" s="12"/>
      <c r="I1086" s="12"/>
      <c r="J1086" s="12"/>
    </row>
    <row r="1087" spans="1:12" ht="30" x14ac:dyDescent="0.25">
      <c r="A1087" s="2" t="s">
        <v>6</v>
      </c>
      <c r="B1087" s="2" t="s">
        <v>7</v>
      </c>
      <c r="C1087" s="2" t="s">
        <v>8</v>
      </c>
      <c r="D1087" s="2" t="s">
        <v>9</v>
      </c>
      <c r="E1087" s="2" t="s">
        <v>10</v>
      </c>
      <c r="F1087" s="2" t="s">
        <v>11</v>
      </c>
      <c r="G1087" s="2" t="s">
        <v>12</v>
      </c>
      <c r="H1087" s="2" t="s">
        <v>13</v>
      </c>
      <c r="I1087" s="2" t="s">
        <v>14</v>
      </c>
      <c r="J1087" s="2" t="s">
        <v>15</v>
      </c>
      <c r="K1087" s="2" t="s">
        <v>16</v>
      </c>
      <c r="L1087" s="2" t="s">
        <v>17</v>
      </c>
    </row>
    <row r="1088" spans="1:12" x14ac:dyDescent="0.25">
      <c r="A1088" s="3">
        <v>45709.00990740741</v>
      </c>
      <c r="B1088" t="s">
        <v>98</v>
      </c>
      <c r="C1088" s="3">
        <v>45709.010150462964</v>
      </c>
      <c r="D1088" t="s">
        <v>98</v>
      </c>
      <c r="E1088" s="4">
        <v>0</v>
      </c>
      <c r="F1088" s="4">
        <v>105827.511</v>
      </c>
      <c r="G1088" s="4">
        <v>105827.511</v>
      </c>
      <c r="H1088" s="5">
        <f>17 / 86400</f>
        <v>1.9675925925925926E-4</v>
      </c>
      <c r="I1088" t="s">
        <v>48</v>
      </c>
      <c r="J1088" t="s">
        <v>48</v>
      </c>
      <c r="K1088" s="5">
        <f>21 / 86400</f>
        <v>2.4305555555555555E-4</v>
      </c>
      <c r="L1088" s="5">
        <f>1543 / 86400</f>
        <v>1.7858796296296296E-2</v>
      </c>
    </row>
    <row r="1089" spans="1:12" x14ac:dyDescent="0.25">
      <c r="A1089" s="3">
        <v>45709.018101851849</v>
      </c>
      <c r="B1089" t="s">
        <v>98</v>
      </c>
      <c r="C1089" s="3">
        <v>45709.100115740745</v>
      </c>
      <c r="D1089" t="s">
        <v>214</v>
      </c>
      <c r="E1089" s="4">
        <v>42.25</v>
      </c>
      <c r="F1089" s="4">
        <v>105827.511</v>
      </c>
      <c r="G1089" s="4">
        <v>105869.761</v>
      </c>
      <c r="H1089" s="5">
        <f>2598 / 86400</f>
        <v>3.0069444444444444E-2</v>
      </c>
      <c r="I1089" t="s">
        <v>183</v>
      </c>
      <c r="J1089" t="s">
        <v>136</v>
      </c>
      <c r="K1089" s="5">
        <f>7086 / 86400</f>
        <v>8.2013888888888886E-2</v>
      </c>
      <c r="L1089" s="5">
        <f>318 / 86400</f>
        <v>3.6805555555555554E-3</v>
      </c>
    </row>
    <row r="1090" spans="1:12" x14ac:dyDescent="0.25">
      <c r="A1090" s="3">
        <v>45709.103796296295</v>
      </c>
      <c r="B1090" t="s">
        <v>214</v>
      </c>
      <c r="C1090" s="3">
        <v>45709.110115740739</v>
      </c>
      <c r="D1090" t="s">
        <v>440</v>
      </c>
      <c r="E1090" s="4">
        <v>5.41</v>
      </c>
      <c r="F1090" s="4">
        <v>105869.761</v>
      </c>
      <c r="G1090" s="4">
        <v>105875.171</v>
      </c>
      <c r="H1090" s="5">
        <f>0 / 86400</f>
        <v>0</v>
      </c>
      <c r="I1090" t="s">
        <v>146</v>
      </c>
      <c r="J1090" t="s">
        <v>141</v>
      </c>
      <c r="K1090" s="5">
        <f>546 / 86400</f>
        <v>6.3194444444444444E-3</v>
      </c>
      <c r="L1090" s="5">
        <f>254 / 86400</f>
        <v>2.9398148148148148E-3</v>
      </c>
    </row>
    <row r="1091" spans="1:12" x14ac:dyDescent="0.25">
      <c r="A1091" s="3">
        <v>45709.113055555557</v>
      </c>
      <c r="B1091" t="s">
        <v>440</v>
      </c>
      <c r="C1091" s="3">
        <v>45709.114745370374</v>
      </c>
      <c r="D1091" t="s">
        <v>105</v>
      </c>
      <c r="E1091" s="4">
        <v>0.625</v>
      </c>
      <c r="F1091" s="4">
        <v>105875.171</v>
      </c>
      <c r="G1091" s="4">
        <v>105875.796</v>
      </c>
      <c r="H1091" s="5">
        <f>40 / 86400</f>
        <v>4.6296296296296298E-4</v>
      </c>
      <c r="I1091" t="s">
        <v>87</v>
      </c>
      <c r="J1091" t="s">
        <v>41</v>
      </c>
      <c r="K1091" s="5">
        <f>146 / 86400</f>
        <v>1.6898148148148148E-3</v>
      </c>
      <c r="L1091" s="5">
        <f>27038 / 86400</f>
        <v>0.31293981481481481</v>
      </c>
    </row>
    <row r="1092" spans="1:12" x14ac:dyDescent="0.25">
      <c r="A1092" s="3">
        <v>45709.42768518519</v>
      </c>
      <c r="B1092" t="s">
        <v>105</v>
      </c>
      <c r="C1092" s="3">
        <v>45709.428252314814</v>
      </c>
      <c r="D1092" t="s">
        <v>105</v>
      </c>
      <c r="E1092" s="4">
        <v>7.5999999999999998E-2</v>
      </c>
      <c r="F1092" s="4">
        <v>105875.796</v>
      </c>
      <c r="G1092" s="4">
        <v>105875.872</v>
      </c>
      <c r="H1092" s="5">
        <f>0 / 86400</f>
        <v>0</v>
      </c>
      <c r="I1092" t="s">
        <v>41</v>
      </c>
      <c r="J1092" t="s">
        <v>134</v>
      </c>
      <c r="K1092" s="5">
        <f>49 / 86400</f>
        <v>5.6712962962962967E-4</v>
      </c>
      <c r="L1092" s="5">
        <f>260 / 86400</f>
        <v>3.0092592592592593E-3</v>
      </c>
    </row>
    <row r="1093" spans="1:12" x14ac:dyDescent="0.25">
      <c r="A1093" s="3">
        <v>45709.431261574078</v>
      </c>
      <c r="B1093" t="s">
        <v>105</v>
      </c>
      <c r="C1093" s="3">
        <v>45709.435069444444</v>
      </c>
      <c r="D1093" t="s">
        <v>113</v>
      </c>
      <c r="E1093" s="4">
        <v>1.6779999999999999</v>
      </c>
      <c r="F1093" s="4">
        <v>105875.872</v>
      </c>
      <c r="G1093" s="4">
        <v>105877.55</v>
      </c>
      <c r="H1093" s="5">
        <f>40 / 86400</f>
        <v>4.6296296296296298E-4</v>
      </c>
      <c r="I1093" t="s">
        <v>235</v>
      </c>
      <c r="J1093" t="s">
        <v>20</v>
      </c>
      <c r="K1093" s="5">
        <f>329 / 86400</f>
        <v>3.8078703703703703E-3</v>
      </c>
      <c r="L1093" s="5">
        <f>248 / 86400</f>
        <v>2.8703703703703703E-3</v>
      </c>
    </row>
    <row r="1094" spans="1:12" x14ac:dyDescent="0.25">
      <c r="A1094" s="3">
        <v>45709.437939814816</v>
      </c>
      <c r="B1094" t="s">
        <v>113</v>
      </c>
      <c r="C1094" s="3">
        <v>45709.438032407408</v>
      </c>
      <c r="D1094" t="s">
        <v>113</v>
      </c>
      <c r="E1094" s="4">
        <v>0</v>
      </c>
      <c r="F1094" s="4">
        <v>105877.55</v>
      </c>
      <c r="G1094" s="4">
        <v>105877.55</v>
      </c>
      <c r="H1094" s="5">
        <f>0 / 86400</f>
        <v>0</v>
      </c>
      <c r="I1094" t="s">
        <v>48</v>
      </c>
      <c r="J1094" t="s">
        <v>48</v>
      </c>
      <c r="K1094" s="5">
        <f>8 / 86400</f>
        <v>9.2592592592592588E-5</v>
      </c>
      <c r="L1094" s="5">
        <f>873 / 86400</f>
        <v>1.0104166666666666E-2</v>
      </c>
    </row>
    <row r="1095" spans="1:12" x14ac:dyDescent="0.25">
      <c r="A1095" s="3">
        <v>45709.448136574079</v>
      </c>
      <c r="B1095" t="s">
        <v>113</v>
      </c>
      <c r="C1095" s="3">
        <v>45709.449953703705</v>
      </c>
      <c r="D1095" t="s">
        <v>439</v>
      </c>
      <c r="E1095" s="4">
        <v>8.8999999999999996E-2</v>
      </c>
      <c r="F1095" s="4">
        <v>105877.55</v>
      </c>
      <c r="G1095" s="4">
        <v>105877.639</v>
      </c>
      <c r="H1095" s="5">
        <f>80 / 86400</f>
        <v>9.2592592592592596E-4</v>
      </c>
      <c r="I1095" t="s">
        <v>125</v>
      </c>
      <c r="J1095" t="s">
        <v>122</v>
      </c>
      <c r="K1095" s="5">
        <f>157 / 86400</f>
        <v>1.8171296296296297E-3</v>
      </c>
      <c r="L1095" s="5">
        <f>1326 / 86400</f>
        <v>1.5347222222222222E-2</v>
      </c>
    </row>
    <row r="1096" spans="1:12" x14ac:dyDescent="0.25">
      <c r="A1096" s="3">
        <v>45709.465300925927</v>
      </c>
      <c r="B1096" t="s">
        <v>439</v>
      </c>
      <c r="C1096" s="3">
        <v>45709.725868055553</v>
      </c>
      <c r="D1096" t="s">
        <v>97</v>
      </c>
      <c r="E1096" s="4">
        <v>103.246</v>
      </c>
      <c r="F1096" s="4">
        <v>105877.639</v>
      </c>
      <c r="G1096" s="4">
        <v>105980.88499999999</v>
      </c>
      <c r="H1096" s="5">
        <f>8478 / 86400</f>
        <v>9.8125000000000004E-2</v>
      </c>
      <c r="I1096" t="s">
        <v>68</v>
      </c>
      <c r="J1096" t="s">
        <v>52</v>
      </c>
      <c r="K1096" s="5">
        <f>22513 / 86400</f>
        <v>0.26056712962962963</v>
      </c>
      <c r="L1096" s="5">
        <f>312 / 86400</f>
        <v>3.6111111111111109E-3</v>
      </c>
    </row>
    <row r="1097" spans="1:12" x14ac:dyDescent="0.25">
      <c r="A1097" s="3">
        <v>45709.729479166665</v>
      </c>
      <c r="B1097" t="s">
        <v>97</v>
      </c>
      <c r="C1097" s="3">
        <v>45709.730497685188</v>
      </c>
      <c r="D1097" t="s">
        <v>431</v>
      </c>
      <c r="E1097" s="4">
        <v>0.45600000000000002</v>
      </c>
      <c r="F1097" s="4">
        <v>105980.88499999999</v>
      </c>
      <c r="G1097" s="4">
        <v>105981.341</v>
      </c>
      <c r="H1097" s="5">
        <f>0 / 86400</f>
        <v>0</v>
      </c>
      <c r="I1097" t="s">
        <v>212</v>
      </c>
      <c r="J1097" t="s">
        <v>77</v>
      </c>
      <c r="K1097" s="5">
        <f>88 / 86400</f>
        <v>1.0185185185185184E-3</v>
      </c>
      <c r="L1097" s="5">
        <f>633 / 86400</f>
        <v>7.3263888888888892E-3</v>
      </c>
    </row>
    <row r="1098" spans="1:12" x14ac:dyDescent="0.25">
      <c r="A1098" s="3">
        <v>45709.737824074073</v>
      </c>
      <c r="B1098" t="s">
        <v>431</v>
      </c>
      <c r="C1098" s="3">
        <v>45709.741203703699</v>
      </c>
      <c r="D1098" t="s">
        <v>46</v>
      </c>
      <c r="E1098" s="4">
        <v>1.171</v>
      </c>
      <c r="F1098" s="4">
        <v>105981.341</v>
      </c>
      <c r="G1098" s="4">
        <v>105982.512</v>
      </c>
      <c r="H1098" s="5">
        <f>77 / 86400</f>
        <v>8.9120370370370373E-4</v>
      </c>
      <c r="I1098" t="s">
        <v>235</v>
      </c>
      <c r="J1098" t="s">
        <v>57</v>
      </c>
      <c r="K1098" s="5">
        <f>292 / 86400</f>
        <v>3.3796296296296296E-3</v>
      </c>
      <c r="L1098" s="5">
        <f>1886 / 86400</f>
        <v>2.1828703703703704E-2</v>
      </c>
    </row>
    <row r="1099" spans="1:12" x14ac:dyDescent="0.25">
      <c r="A1099" s="3">
        <v>45709.763032407413</v>
      </c>
      <c r="B1099" t="s">
        <v>46</v>
      </c>
      <c r="C1099" s="3">
        <v>45709.848495370374</v>
      </c>
      <c r="D1099" t="s">
        <v>396</v>
      </c>
      <c r="E1099" s="4">
        <v>41.165999999999997</v>
      </c>
      <c r="F1099" s="4">
        <v>105982.512</v>
      </c>
      <c r="G1099" s="4">
        <v>106023.678</v>
      </c>
      <c r="H1099" s="5">
        <f>2416 / 86400</f>
        <v>2.7962962962962964E-2</v>
      </c>
      <c r="I1099" t="s">
        <v>19</v>
      </c>
      <c r="J1099" t="s">
        <v>33</v>
      </c>
      <c r="K1099" s="5">
        <f>7384 / 86400</f>
        <v>8.5462962962962963E-2</v>
      </c>
      <c r="L1099" s="5">
        <f>288 / 86400</f>
        <v>3.3333333333333335E-3</v>
      </c>
    </row>
    <row r="1100" spans="1:12" x14ac:dyDescent="0.25">
      <c r="A1100" s="3">
        <v>45709.8518287037</v>
      </c>
      <c r="B1100" t="s">
        <v>396</v>
      </c>
      <c r="C1100" s="3">
        <v>45709.85291666667</v>
      </c>
      <c r="D1100" t="s">
        <v>441</v>
      </c>
      <c r="E1100" s="4">
        <v>0.443</v>
      </c>
      <c r="F1100" s="4">
        <v>106023.678</v>
      </c>
      <c r="G1100" s="4">
        <v>106024.121</v>
      </c>
      <c r="H1100" s="5">
        <f>20 / 86400</f>
        <v>2.3148148148148149E-4</v>
      </c>
      <c r="I1100" t="s">
        <v>235</v>
      </c>
      <c r="J1100" t="s">
        <v>52</v>
      </c>
      <c r="K1100" s="5">
        <f>94 / 86400</f>
        <v>1.0879629629629629E-3</v>
      </c>
      <c r="L1100" s="5">
        <f>400 / 86400</f>
        <v>4.6296296296296294E-3</v>
      </c>
    </row>
    <row r="1101" spans="1:12" x14ac:dyDescent="0.25">
      <c r="A1101" s="3">
        <v>45709.857546296298</v>
      </c>
      <c r="B1101" t="s">
        <v>441</v>
      </c>
      <c r="C1101" s="3">
        <v>45709.933194444442</v>
      </c>
      <c r="D1101" t="s">
        <v>356</v>
      </c>
      <c r="E1101" s="4">
        <v>36.484000000000002</v>
      </c>
      <c r="F1101" s="4">
        <v>106024.121</v>
      </c>
      <c r="G1101" s="4">
        <v>106060.605</v>
      </c>
      <c r="H1101" s="5">
        <f>1960 / 86400</f>
        <v>2.2685185185185187E-2</v>
      </c>
      <c r="I1101" t="s">
        <v>238</v>
      </c>
      <c r="J1101" t="s">
        <v>33</v>
      </c>
      <c r="K1101" s="5">
        <f>6536 / 86400</f>
        <v>7.5648148148148145E-2</v>
      </c>
      <c r="L1101" s="5">
        <f>192 / 86400</f>
        <v>2.2222222222222222E-3</v>
      </c>
    </row>
    <row r="1102" spans="1:12" x14ac:dyDescent="0.25">
      <c r="A1102" s="3">
        <v>45709.935416666667</v>
      </c>
      <c r="B1102" t="s">
        <v>356</v>
      </c>
      <c r="C1102" s="3">
        <v>45709.99998842593</v>
      </c>
      <c r="D1102" t="s">
        <v>99</v>
      </c>
      <c r="E1102" s="4">
        <v>27.78</v>
      </c>
      <c r="F1102" s="4">
        <v>106060.605</v>
      </c>
      <c r="G1102" s="4">
        <v>106088.38499999999</v>
      </c>
      <c r="H1102" s="5">
        <f>2378 / 86400</f>
        <v>2.7523148148148147E-2</v>
      </c>
      <c r="I1102" t="s">
        <v>130</v>
      </c>
      <c r="J1102" t="s">
        <v>20</v>
      </c>
      <c r="K1102" s="5">
        <f>5579 / 86400</f>
        <v>6.4571759259259259E-2</v>
      </c>
      <c r="L1102" s="5">
        <f>0 / 86400</f>
        <v>0</v>
      </c>
    </row>
    <row r="1103" spans="1:12" x14ac:dyDescent="0.25">
      <c r="A1103" s="12"/>
      <c r="B1103" s="12"/>
      <c r="C1103" s="12"/>
      <c r="D1103" s="12"/>
      <c r="E1103" s="12"/>
      <c r="F1103" s="12"/>
      <c r="G1103" s="12"/>
      <c r="H1103" s="12"/>
      <c r="I1103" s="12"/>
      <c r="J1103" s="12"/>
    </row>
    <row r="1104" spans="1:12" x14ac:dyDescent="0.25">
      <c r="A1104" s="12"/>
      <c r="B1104" s="12"/>
      <c r="C1104" s="12"/>
      <c r="D1104" s="12"/>
      <c r="E1104" s="12"/>
      <c r="F1104" s="12"/>
      <c r="G1104" s="12"/>
      <c r="H1104" s="12"/>
      <c r="I1104" s="12"/>
      <c r="J1104" s="12"/>
    </row>
    <row r="1105" spans="1:12" s="10" customFormat="1" ht="20.100000000000001" customHeight="1" x14ac:dyDescent="0.35">
      <c r="A1105" s="15" t="s">
        <v>499</v>
      </c>
      <c r="B1105" s="15"/>
      <c r="C1105" s="15"/>
      <c r="D1105" s="15"/>
      <c r="E1105" s="15"/>
      <c r="F1105" s="15"/>
      <c r="G1105" s="15"/>
      <c r="H1105" s="15"/>
      <c r="I1105" s="15"/>
      <c r="J1105" s="15"/>
    </row>
    <row r="1106" spans="1:12" x14ac:dyDescent="0.25">
      <c r="A1106" s="12"/>
      <c r="B1106" s="12"/>
      <c r="C1106" s="12"/>
      <c r="D1106" s="12"/>
      <c r="E1106" s="12"/>
      <c r="F1106" s="12"/>
      <c r="G1106" s="12"/>
      <c r="H1106" s="12"/>
      <c r="I1106" s="12"/>
      <c r="J1106" s="12"/>
    </row>
    <row r="1107" spans="1:12" ht="30" x14ac:dyDescent="0.25">
      <c r="A1107" s="2" t="s">
        <v>6</v>
      </c>
      <c r="B1107" s="2" t="s">
        <v>7</v>
      </c>
      <c r="C1107" s="2" t="s">
        <v>8</v>
      </c>
      <c r="D1107" s="2" t="s">
        <v>9</v>
      </c>
      <c r="E1107" s="2" t="s">
        <v>10</v>
      </c>
      <c r="F1107" s="2" t="s">
        <v>11</v>
      </c>
      <c r="G1107" s="2" t="s">
        <v>12</v>
      </c>
      <c r="H1107" s="2" t="s">
        <v>13</v>
      </c>
      <c r="I1107" s="2" t="s">
        <v>14</v>
      </c>
      <c r="J1107" s="2" t="s">
        <v>15</v>
      </c>
      <c r="K1107" s="2" t="s">
        <v>16</v>
      </c>
      <c r="L1107" s="2" t="s">
        <v>17</v>
      </c>
    </row>
    <row r="1108" spans="1:12" x14ac:dyDescent="0.25">
      <c r="A1108" s="3">
        <v>45709.930555555555</v>
      </c>
      <c r="B1108" t="s">
        <v>51</v>
      </c>
      <c r="C1108" s="3">
        <v>45709.930613425924</v>
      </c>
      <c r="D1108" t="s">
        <v>51</v>
      </c>
      <c r="E1108" s="4">
        <v>0</v>
      </c>
      <c r="F1108" s="4">
        <v>54578.572999999997</v>
      </c>
      <c r="G1108" s="4">
        <v>54578.572999999997</v>
      </c>
      <c r="H1108" s="5">
        <f>0 / 86400</f>
        <v>0</v>
      </c>
      <c r="I1108" t="s">
        <v>48</v>
      </c>
      <c r="J1108" t="s">
        <v>48</v>
      </c>
      <c r="K1108" s="5">
        <f>5 / 86400</f>
        <v>5.7870370370370373E-5</v>
      </c>
      <c r="L1108" s="5">
        <f>80848 / 86400</f>
        <v>0.93574074074074076</v>
      </c>
    </row>
    <row r="1109" spans="1:12" x14ac:dyDescent="0.25">
      <c r="A1109" s="3">
        <v>45709.935798611114</v>
      </c>
      <c r="B1109" t="s">
        <v>51</v>
      </c>
      <c r="C1109" s="3">
        <v>45709.937418981484</v>
      </c>
      <c r="D1109" t="s">
        <v>51</v>
      </c>
      <c r="E1109" s="4">
        <v>0</v>
      </c>
      <c r="F1109" s="4">
        <v>54578.572999999997</v>
      </c>
      <c r="G1109" s="4">
        <v>54578.572999999997</v>
      </c>
      <c r="H1109" s="5">
        <f>118 / 86400</f>
        <v>1.3657407407407407E-3</v>
      </c>
      <c r="I1109" t="s">
        <v>48</v>
      </c>
      <c r="J1109" t="s">
        <v>48</v>
      </c>
      <c r="K1109" s="5">
        <f>140 / 86400</f>
        <v>1.6203703703703703E-3</v>
      </c>
      <c r="L1109" s="5">
        <f>5406 / 86400</f>
        <v>6.2569444444444441E-2</v>
      </c>
    </row>
    <row r="1110" spans="1:12" x14ac:dyDescent="0.25">
      <c r="A1110" s="12"/>
      <c r="B1110" s="12"/>
      <c r="C1110" s="12"/>
      <c r="D1110" s="12"/>
      <c r="E1110" s="12"/>
      <c r="F1110" s="12"/>
      <c r="G1110" s="12"/>
      <c r="H1110" s="12"/>
      <c r="I1110" s="12"/>
      <c r="J1110" s="12"/>
    </row>
    <row r="1111" spans="1:12" x14ac:dyDescent="0.25">
      <c r="A1111" s="12"/>
      <c r="B1111" s="12"/>
      <c r="C1111" s="12"/>
      <c r="D1111" s="12"/>
      <c r="E1111" s="12"/>
      <c r="F1111" s="12"/>
      <c r="G1111" s="12"/>
      <c r="H1111" s="12"/>
      <c r="I1111" s="12"/>
      <c r="J1111" s="12"/>
    </row>
    <row r="1112" spans="1:12" s="10" customFormat="1" ht="20.100000000000001" customHeight="1" x14ac:dyDescent="0.35">
      <c r="A1112" s="15" t="s">
        <v>500</v>
      </c>
      <c r="B1112" s="15"/>
      <c r="C1112" s="15"/>
      <c r="D1112" s="15"/>
      <c r="E1112" s="15"/>
      <c r="F1112" s="15"/>
      <c r="G1112" s="15"/>
      <c r="H1112" s="15"/>
      <c r="I1112" s="15"/>
      <c r="J1112" s="15"/>
    </row>
    <row r="1113" spans="1:12" x14ac:dyDescent="0.25">
      <c r="A1113" s="12"/>
      <c r="B1113" s="12"/>
      <c r="C1113" s="12"/>
      <c r="D1113" s="12"/>
      <c r="E1113" s="12"/>
      <c r="F1113" s="12"/>
      <c r="G1113" s="12"/>
      <c r="H1113" s="12"/>
      <c r="I1113" s="12"/>
      <c r="J1113" s="12"/>
    </row>
    <row r="1114" spans="1:12" ht="30" x14ac:dyDescent="0.25">
      <c r="A1114" s="2" t="s">
        <v>6</v>
      </c>
      <c r="B1114" s="2" t="s">
        <v>7</v>
      </c>
      <c r="C1114" s="2" t="s">
        <v>8</v>
      </c>
      <c r="D1114" s="2" t="s">
        <v>9</v>
      </c>
      <c r="E1114" s="2" t="s">
        <v>10</v>
      </c>
      <c r="F1114" s="2" t="s">
        <v>11</v>
      </c>
      <c r="G1114" s="2" t="s">
        <v>12</v>
      </c>
      <c r="H1114" s="2" t="s">
        <v>13</v>
      </c>
      <c r="I1114" s="2" t="s">
        <v>14</v>
      </c>
      <c r="J1114" s="2" t="s">
        <v>15</v>
      </c>
      <c r="K1114" s="2" t="s">
        <v>16</v>
      </c>
      <c r="L1114" s="2" t="s">
        <v>17</v>
      </c>
    </row>
    <row r="1115" spans="1:12" x14ac:dyDescent="0.25">
      <c r="A1115" s="3">
        <v>45709.161689814813</v>
      </c>
      <c r="B1115" t="s">
        <v>100</v>
      </c>
      <c r="C1115" s="3">
        <v>45709.343900462962</v>
      </c>
      <c r="D1115" t="s">
        <v>350</v>
      </c>
      <c r="E1115" s="4">
        <v>100.538</v>
      </c>
      <c r="F1115" s="4">
        <v>80793.269</v>
      </c>
      <c r="G1115" s="4">
        <v>80893.807000000001</v>
      </c>
      <c r="H1115" s="5">
        <f>3997 / 86400</f>
        <v>4.6261574074074073E-2</v>
      </c>
      <c r="I1115" t="s">
        <v>40</v>
      </c>
      <c r="J1115" t="s">
        <v>124</v>
      </c>
      <c r="K1115" s="5">
        <f>15743 / 86400</f>
        <v>0.18221064814814814</v>
      </c>
      <c r="L1115" s="5">
        <f>13992 / 86400</f>
        <v>0.16194444444444445</v>
      </c>
    </row>
    <row r="1116" spans="1:12" x14ac:dyDescent="0.25">
      <c r="A1116" s="3">
        <v>45709.344155092593</v>
      </c>
      <c r="B1116" t="s">
        <v>350</v>
      </c>
      <c r="C1116" s="3">
        <v>45709.345150462963</v>
      </c>
      <c r="D1116" t="s">
        <v>140</v>
      </c>
      <c r="E1116" s="4">
        <v>0.154</v>
      </c>
      <c r="F1116" s="4">
        <v>80893.807000000001</v>
      </c>
      <c r="G1116" s="4">
        <v>80893.960999999996</v>
      </c>
      <c r="H1116" s="5">
        <f>0 / 86400</f>
        <v>0</v>
      </c>
      <c r="I1116" t="s">
        <v>41</v>
      </c>
      <c r="J1116" t="s">
        <v>134</v>
      </c>
      <c r="K1116" s="5">
        <f>86 / 86400</f>
        <v>9.9537037037037042E-4</v>
      </c>
      <c r="L1116" s="5">
        <f>423 / 86400</f>
        <v>4.8958333333333336E-3</v>
      </c>
    </row>
    <row r="1117" spans="1:12" x14ac:dyDescent="0.25">
      <c r="A1117" s="3">
        <v>45709.350046296298</v>
      </c>
      <c r="B1117" t="s">
        <v>70</v>
      </c>
      <c r="C1117" s="3">
        <v>45709.350729166668</v>
      </c>
      <c r="D1117" t="s">
        <v>350</v>
      </c>
      <c r="E1117" s="4">
        <v>0.112</v>
      </c>
      <c r="F1117" s="4">
        <v>80893.960999999996</v>
      </c>
      <c r="G1117" s="4">
        <v>80894.073000000004</v>
      </c>
      <c r="H1117" s="5">
        <f>18 / 86400</f>
        <v>2.0833333333333335E-4</v>
      </c>
      <c r="I1117" t="s">
        <v>41</v>
      </c>
      <c r="J1117" t="s">
        <v>88</v>
      </c>
      <c r="K1117" s="5">
        <f>59 / 86400</f>
        <v>6.8287037037037036E-4</v>
      </c>
      <c r="L1117" s="5">
        <f>378 / 86400</f>
        <v>4.3750000000000004E-3</v>
      </c>
    </row>
    <row r="1118" spans="1:12" x14ac:dyDescent="0.25">
      <c r="A1118" s="3">
        <v>45709.355104166665</v>
      </c>
      <c r="B1118" t="s">
        <v>350</v>
      </c>
      <c r="C1118" s="3">
        <v>45709.357974537037</v>
      </c>
      <c r="D1118" t="s">
        <v>126</v>
      </c>
      <c r="E1118" s="4">
        <v>1.2030000000000001</v>
      </c>
      <c r="F1118" s="4">
        <v>80894.073000000004</v>
      </c>
      <c r="G1118" s="4">
        <v>80895.275999999998</v>
      </c>
      <c r="H1118" s="5">
        <f>0 / 86400</f>
        <v>0</v>
      </c>
      <c r="I1118" t="s">
        <v>154</v>
      </c>
      <c r="J1118" t="s">
        <v>52</v>
      </c>
      <c r="K1118" s="5">
        <f>248 / 86400</f>
        <v>2.8703703703703703E-3</v>
      </c>
      <c r="L1118" s="5">
        <f>694 / 86400</f>
        <v>8.0324074074074082E-3</v>
      </c>
    </row>
    <row r="1119" spans="1:12" x14ac:dyDescent="0.25">
      <c r="A1119" s="3">
        <v>45709.366006944445</v>
      </c>
      <c r="B1119" t="s">
        <v>126</v>
      </c>
      <c r="C1119" s="3">
        <v>45709.476504629631</v>
      </c>
      <c r="D1119" t="s">
        <v>442</v>
      </c>
      <c r="E1119" s="4">
        <v>51.14</v>
      </c>
      <c r="F1119" s="4">
        <v>80895.275999999998</v>
      </c>
      <c r="G1119" s="4">
        <v>80946.415999999997</v>
      </c>
      <c r="H1119" s="5">
        <f>2797 / 86400</f>
        <v>3.2372685185185185E-2</v>
      </c>
      <c r="I1119" t="s">
        <v>167</v>
      </c>
      <c r="J1119" t="s">
        <v>77</v>
      </c>
      <c r="K1119" s="5">
        <f>9547 / 86400</f>
        <v>0.11049768518518518</v>
      </c>
      <c r="L1119" s="5">
        <f>37 / 86400</f>
        <v>4.2824074074074075E-4</v>
      </c>
    </row>
    <row r="1120" spans="1:12" x14ac:dyDescent="0.25">
      <c r="A1120" s="3">
        <v>45709.47693287037</v>
      </c>
      <c r="B1120" t="s">
        <v>442</v>
      </c>
      <c r="C1120" s="3">
        <v>45709.59747685185</v>
      </c>
      <c r="D1120" t="s">
        <v>70</v>
      </c>
      <c r="E1120" s="4">
        <v>49.631999999999998</v>
      </c>
      <c r="F1120" s="4">
        <v>80946.415999999997</v>
      </c>
      <c r="G1120" s="4">
        <v>80996.047999999995</v>
      </c>
      <c r="H1120" s="5">
        <f>3261 / 86400</f>
        <v>3.7743055555555557E-2</v>
      </c>
      <c r="I1120" t="s">
        <v>131</v>
      </c>
      <c r="J1120" t="s">
        <v>52</v>
      </c>
      <c r="K1120" s="5">
        <f>10415 / 86400</f>
        <v>0.12054398148148149</v>
      </c>
      <c r="L1120" s="5">
        <f>251 / 86400</f>
        <v>2.9050925925925928E-3</v>
      </c>
    </row>
    <row r="1121" spans="1:12" x14ac:dyDescent="0.25">
      <c r="A1121" s="3">
        <v>45709.600381944445</v>
      </c>
      <c r="B1121" t="s">
        <v>70</v>
      </c>
      <c r="C1121" s="3">
        <v>45709.601238425923</v>
      </c>
      <c r="D1121" t="s">
        <v>350</v>
      </c>
      <c r="E1121" s="4">
        <v>0.19600000000000001</v>
      </c>
      <c r="F1121" s="4">
        <v>80996.047999999995</v>
      </c>
      <c r="G1121" s="4">
        <v>80996.244000000006</v>
      </c>
      <c r="H1121" s="5">
        <f>18 / 86400</f>
        <v>2.0833333333333335E-4</v>
      </c>
      <c r="I1121" t="s">
        <v>26</v>
      </c>
      <c r="J1121" t="s">
        <v>60</v>
      </c>
      <c r="K1121" s="5">
        <f>74 / 86400</f>
        <v>8.564814814814815E-4</v>
      </c>
      <c r="L1121" s="5">
        <f>233 / 86400</f>
        <v>2.6967592592592594E-3</v>
      </c>
    </row>
    <row r="1122" spans="1:12" x14ac:dyDescent="0.25">
      <c r="A1122" s="3">
        <v>45709.603935185187</v>
      </c>
      <c r="B1122" t="s">
        <v>350</v>
      </c>
      <c r="C1122" s="3">
        <v>45709.890879629631</v>
      </c>
      <c r="D1122" t="s">
        <v>350</v>
      </c>
      <c r="E1122" s="4">
        <v>102.361</v>
      </c>
      <c r="F1122" s="4">
        <v>80996.244000000006</v>
      </c>
      <c r="G1122" s="4">
        <v>81098.604999999996</v>
      </c>
      <c r="H1122" s="5">
        <f>9538 / 86400</f>
        <v>0.11039351851851852</v>
      </c>
      <c r="I1122" t="s">
        <v>40</v>
      </c>
      <c r="J1122" t="s">
        <v>41</v>
      </c>
      <c r="K1122" s="5">
        <f>24792 / 86400</f>
        <v>0.28694444444444445</v>
      </c>
      <c r="L1122" s="5">
        <f>544 / 86400</f>
        <v>6.2962962962962964E-3</v>
      </c>
    </row>
    <row r="1123" spans="1:12" x14ac:dyDescent="0.25">
      <c r="A1123" s="3">
        <v>45709.897175925929</v>
      </c>
      <c r="B1123" t="s">
        <v>350</v>
      </c>
      <c r="C1123" s="3">
        <v>45709.901701388888</v>
      </c>
      <c r="D1123" t="s">
        <v>100</v>
      </c>
      <c r="E1123" s="4">
        <v>0.91200000000000003</v>
      </c>
      <c r="F1123" s="4">
        <v>81098.604999999996</v>
      </c>
      <c r="G1123" s="4">
        <v>81099.517000000007</v>
      </c>
      <c r="H1123" s="5">
        <f>160 / 86400</f>
        <v>1.8518518518518519E-3</v>
      </c>
      <c r="I1123" t="s">
        <v>29</v>
      </c>
      <c r="J1123" t="s">
        <v>59</v>
      </c>
      <c r="K1123" s="5">
        <f>391 / 86400</f>
        <v>4.5254629629629629E-3</v>
      </c>
      <c r="L1123" s="5">
        <f>8492 / 86400</f>
        <v>9.8287037037037034E-2</v>
      </c>
    </row>
    <row r="1124" spans="1:12" x14ac:dyDescent="0.25">
      <c r="A1124" s="12"/>
      <c r="B1124" s="12"/>
      <c r="C1124" s="12"/>
      <c r="D1124" s="12"/>
      <c r="E1124" s="12"/>
      <c r="F1124" s="12"/>
      <c r="G1124" s="12"/>
      <c r="H1124" s="12"/>
      <c r="I1124" s="12"/>
      <c r="J1124" s="12"/>
    </row>
    <row r="1125" spans="1:12" x14ac:dyDescent="0.25">
      <c r="A1125" s="12"/>
      <c r="B1125" s="12"/>
      <c r="C1125" s="12"/>
      <c r="D1125" s="12"/>
      <c r="E1125" s="12"/>
      <c r="F1125" s="12"/>
      <c r="G1125" s="12"/>
      <c r="H1125" s="12"/>
      <c r="I1125" s="12"/>
      <c r="J1125" s="12"/>
    </row>
    <row r="1126" spans="1:12" s="10" customFormat="1" ht="20.100000000000001" customHeight="1" x14ac:dyDescent="0.35">
      <c r="A1126" s="15" t="s">
        <v>501</v>
      </c>
      <c r="B1126" s="15"/>
      <c r="C1126" s="15"/>
      <c r="D1126" s="15"/>
      <c r="E1126" s="15"/>
      <c r="F1126" s="15"/>
      <c r="G1126" s="15"/>
      <c r="H1126" s="15"/>
      <c r="I1126" s="15"/>
      <c r="J1126" s="15"/>
    </row>
    <row r="1127" spans="1:12" x14ac:dyDescent="0.25">
      <c r="A1127" s="12"/>
      <c r="B1127" s="12"/>
      <c r="C1127" s="12"/>
      <c r="D1127" s="12"/>
      <c r="E1127" s="12"/>
      <c r="F1127" s="12"/>
      <c r="G1127" s="12"/>
      <c r="H1127" s="12"/>
      <c r="I1127" s="12"/>
      <c r="J1127" s="12"/>
    </row>
    <row r="1128" spans="1:12" ht="30" x14ac:dyDescent="0.25">
      <c r="A1128" s="2" t="s">
        <v>6</v>
      </c>
      <c r="B1128" s="2" t="s">
        <v>7</v>
      </c>
      <c r="C1128" s="2" t="s">
        <v>8</v>
      </c>
      <c r="D1128" s="2" t="s">
        <v>9</v>
      </c>
      <c r="E1128" s="2" t="s">
        <v>10</v>
      </c>
      <c r="F1128" s="2" t="s">
        <v>11</v>
      </c>
      <c r="G1128" s="2" t="s">
        <v>12</v>
      </c>
      <c r="H1128" s="2" t="s">
        <v>13</v>
      </c>
      <c r="I1128" s="2" t="s">
        <v>14</v>
      </c>
      <c r="J1128" s="2" t="s">
        <v>15</v>
      </c>
      <c r="K1128" s="2" t="s">
        <v>16</v>
      </c>
      <c r="L1128" s="2" t="s">
        <v>17</v>
      </c>
    </row>
    <row r="1129" spans="1:12" x14ac:dyDescent="0.25">
      <c r="A1129" s="3">
        <v>45709</v>
      </c>
      <c r="B1129" t="s">
        <v>75</v>
      </c>
      <c r="C1129" s="3">
        <v>45709.010659722218</v>
      </c>
      <c r="D1129" t="s">
        <v>420</v>
      </c>
      <c r="E1129" s="4">
        <v>8.8840000000000003</v>
      </c>
      <c r="F1129" s="4">
        <v>42632.332999999999</v>
      </c>
      <c r="G1129" s="4">
        <v>42641.216999999997</v>
      </c>
      <c r="H1129" s="5">
        <f>120 / 86400</f>
        <v>1.3888888888888889E-3</v>
      </c>
      <c r="I1129" t="s">
        <v>238</v>
      </c>
      <c r="J1129" t="s">
        <v>201</v>
      </c>
      <c r="K1129" s="5">
        <f>921 / 86400</f>
        <v>1.0659722222222221E-2</v>
      </c>
      <c r="L1129" s="5">
        <f>1218 / 86400</f>
        <v>1.4097222222222223E-2</v>
      </c>
    </row>
    <row r="1130" spans="1:12" x14ac:dyDescent="0.25">
      <c r="A1130" s="3">
        <v>45709.024756944447</v>
      </c>
      <c r="B1130" t="s">
        <v>420</v>
      </c>
      <c r="C1130" s="3">
        <v>45709.030092592591</v>
      </c>
      <c r="D1130" t="s">
        <v>443</v>
      </c>
      <c r="E1130" s="4">
        <v>1.2370000000000001</v>
      </c>
      <c r="F1130" s="4">
        <v>42641.216999999997</v>
      </c>
      <c r="G1130" s="4">
        <v>42642.453999999998</v>
      </c>
      <c r="H1130" s="5">
        <f>209 / 86400</f>
        <v>2.4189814814814816E-3</v>
      </c>
      <c r="I1130" t="s">
        <v>204</v>
      </c>
      <c r="J1130" t="s">
        <v>60</v>
      </c>
      <c r="K1130" s="5">
        <f>461 / 86400</f>
        <v>5.3356481481481484E-3</v>
      </c>
      <c r="L1130" s="5">
        <f>17797 / 86400</f>
        <v>0.20598379629629629</v>
      </c>
    </row>
    <row r="1131" spans="1:12" x14ac:dyDescent="0.25">
      <c r="A1131" s="3">
        <v>45709.236076388886</v>
      </c>
      <c r="B1131" t="s">
        <v>443</v>
      </c>
      <c r="C1131" s="3">
        <v>45709.2419212963</v>
      </c>
      <c r="D1131" t="s">
        <v>444</v>
      </c>
      <c r="E1131" s="4">
        <v>0.17199999999999999</v>
      </c>
      <c r="F1131" s="4">
        <v>42642.453999999998</v>
      </c>
      <c r="G1131" s="4">
        <v>42642.625999999997</v>
      </c>
      <c r="H1131" s="5">
        <f>330 / 86400</f>
        <v>3.8194444444444443E-3</v>
      </c>
      <c r="I1131" t="s">
        <v>59</v>
      </c>
      <c r="J1131" t="s">
        <v>47</v>
      </c>
      <c r="K1131" s="5">
        <f>505 / 86400</f>
        <v>5.8449074074074072E-3</v>
      </c>
      <c r="L1131" s="5">
        <f>32636 / 86400</f>
        <v>0.3777314814814815</v>
      </c>
    </row>
    <row r="1132" spans="1:12" x14ac:dyDescent="0.25">
      <c r="A1132" s="3">
        <v>45709.619652777779</v>
      </c>
      <c r="B1132" t="s">
        <v>444</v>
      </c>
      <c r="C1132" s="3">
        <v>45709.625023148154</v>
      </c>
      <c r="D1132" t="s">
        <v>34</v>
      </c>
      <c r="E1132" s="4">
        <v>1.3580000000000001</v>
      </c>
      <c r="F1132" s="4">
        <v>42642.625999999997</v>
      </c>
      <c r="G1132" s="4">
        <v>42643.983999999997</v>
      </c>
      <c r="H1132" s="5">
        <f>209 / 86400</f>
        <v>2.4189814814814816E-3</v>
      </c>
      <c r="I1132" t="s">
        <v>184</v>
      </c>
      <c r="J1132" t="s">
        <v>128</v>
      </c>
      <c r="K1132" s="5">
        <f>464 / 86400</f>
        <v>5.37037037037037E-3</v>
      </c>
      <c r="L1132" s="5">
        <f>499 / 86400</f>
        <v>5.7754629629629631E-3</v>
      </c>
    </row>
    <row r="1133" spans="1:12" x14ac:dyDescent="0.25">
      <c r="A1133" s="3">
        <v>45709.630798611106</v>
      </c>
      <c r="B1133" t="s">
        <v>34</v>
      </c>
      <c r="C1133" s="3">
        <v>45709.63553240741</v>
      </c>
      <c r="D1133" t="s">
        <v>170</v>
      </c>
      <c r="E1133" s="4">
        <v>1.661</v>
      </c>
      <c r="F1133" s="4">
        <v>42643.983999999997</v>
      </c>
      <c r="G1133" s="4">
        <v>42645.644999999997</v>
      </c>
      <c r="H1133" s="5">
        <f>91 / 86400</f>
        <v>1.0532407407407407E-3</v>
      </c>
      <c r="I1133" t="s">
        <v>201</v>
      </c>
      <c r="J1133" t="s">
        <v>41</v>
      </c>
      <c r="K1133" s="5">
        <f>409 / 86400</f>
        <v>4.7337962962962967E-3</v>
      </c>
      <c r="L1133" s="5">
        <f>1 / 86400</f>
        <v>1.1574074074074073E-5</v>
      </c>
    </row>
    <row r="1134" spans="1:12" x14ac:dyDescent="0.25">
      <c r="A1134" s="3">
        <v>45709.63554398148</v>
      </c>
      <c r="B1134" t="s">
        <v>170</v>
      </c>
      <c r="C1134" s="3">
        <v>45709.99998842593</v>
      </c>
      <c r="D1134" t="s">
        <v>101</v>
      </c>
      <c r="E1134" s="4">
        <v>157.19999999999999</v>
      </c>
      <c r="F1134" s="4">
        <v>42645.644999999997</v>
      </c>
      <c r="G1134" s="4">
        <v>42802.845000000001</v>
      </c>
      <c r="H1134" s="5">
        <f>10154 / 86400</f>
        <v>0.11752314814814815</v>
      </c>
      <c r="I1134" t="s">
        <v>102</v>
      </c>
      <c r="J1134" t="s">
        <v>20</v>
      </c>
      <c r="K1134" s="5">
        <f>31488 / 86400</f>
        <v>0.36444444444444446</v>
      </c>
      <c r="L1134" s="5">
        <f>0 / 86400</f>
        <v>0</v>
      </c>
    </row>
    <row r="1135" spans="1:12" x14ac:dyDescent="0.25">
      <c r="A1135" s="12"/>
      <c r="B1135" s="12"/>
      <c r="C1135" s="12"/>
      <c r="D1135" s="12"/>
      <c r="E1135" s="12"/>
      <c r="F1135" s="12"/>
      <c r="G1135" s="12"/>
      <c r="H1135" s="12"/>
      <c r="I1135" s="12"/>
      <c r="J1135" s="12"/>
    </row>
    <row r="1136" spans="1:12" x14ac:dyDescent="0.25">
      <c r="A1136" s="12"/>
      <c r="B1136" s="12"/>
      <c r="C1136" s="12"/>
      <c r="D1136" s="12"/>
      <c r="E1136" s="12"/>
      <c r="F1136" s="12"/>
      <c r="G1136" s="12"/>
      <c r="H1136" s="12"/>
      <c r="I1136" s="12"/>
      <c r="J1136" s="12"/>
    </row>
    <row r="1137" spans="1:12" s="10" customFormat="1" ht="20.100000000000001" customHeight="1" x14ac:dyDescent="0.35">
      <c r="A1137" s="15" t="s">
        <v>502</v>
      </c>
      <c r="B1137" s="15"/>
      <c r="C1137" s="15"/>
      <c r="D1137" s="15"/>
      <c r="E1137" s="15"/>
      <c r="F1137" s="15"/>
      <c r="G1137" s="15"/>
      <c r="H1137" s="15"/>
      <c r="I1137" s="15"/>
      <c r="J1137" s="15"/>
    </row>
    <row r="1138" spans="1:12" x14ac:dyDescent="0.25">
      <c r="A1138" s="12"/>
      <c r="B1138" s="12"/>
      <c r="C1138" s="12"/>
      <c r="D1138" s="12"/>
      <c r="E1138" s="12"/>
      <c r="F1138" s="12"/>
      <c r="G1138" s="12"/>
      <c r="H1138" s="12"/>
      <c r="I1138" s="12"/>
      <c r="J1138" s="12"/>
    </row>
    <row r="1139" spans="1:12" ht="30" x14ac:dyDescent="0.25">
      <c r="A1139" s="2" t="s">
        <v>6</v>
      </c>
      <c r="B1139" s="2" t="s">
        <v>7</v>
      </c>
      <c r="C1139" s="2" t="s">
        <v>8</v>
      </c>
      <c r="D1139" s="2" t="s">
        <v>9</v>
      </c>
      <c r="E1139" s="2" t="s">
        <v>10</v>
      </c>
      <c r="F1139" s="2" t="s">
        <v>11</v>
      </c>
      <c r="G1139" s="2" t="s">
        <v>12</v>
      </c>
      <c r="H1139" s="2" t="s">
        <v>13</v>
      </c>
      <c r="I1139" s="2" t="s">
        <v>14</v>
      </c>
      <c r="J1139" s="2" t="s">
        <v>15</v>
      </c>
      <c r="K1139" s="2" t="s">
        <v>16</v>
      </c>
      <c r="L1139" s="2" t="s">
        <v>17</v>
      </c>
    </row>
    <row r="1140" spans="1:12" x14ac:dyDescent="0.25">
      <c r="A1140" s="3">
        <v>45709.279074074075</v>
      </c>
      <c r="B1140" t="s">
        <v>103</v>
      </c>
      <c r="C1140" s="3">
        <v>45709.288819444446</v>
      </c>
      <c r="D1140" t="s">
        <v>331</v>
      </c>
      <c r="E1140" s="4">
        <v>2.3559999999999999</v>
      </c>
      <c r="F1140" s="4">
        <v>193475.49299999999</v>
      </c>
      <c r="G1140" s="4">
        <v>193477.84899999999</v>
      </c>
      <c r="H1140" s="5">
        <f>279 / 86400</f>
        <v>3.2291666666666666E-3</v>
      </c>
      <c r="I1140" t="s">
        <v>205</v>
      </c>
      <c r="J1140" t="s">
        <v>60</v>
      </c>
      <c r="K1140" s="5">
        <f>841 / 86400</f>
        <v>9.7337962962962959E-3</v>
      </c>
      <c r="L1140" s="5">
        <f>24406 / 86400</f>
        <v>0.28247685185185184</v>
      </c>
    </row>
    <row r="1141" spans="1:12" x14ac:dyDescent="0.25">
      <c r="A1141" s="3">
        <v>45709.292222222226</v>
      </c>
      <c r="B1141" t="s">
        <v>331</v>
      </c>
      <c r="C1141" s="3">
        <v>45709.353831018518</v>
      </c>
      <c r="D1141" t="s">
        <v>126</v>
      </c>
      <c r="E1141" s="4">
        <v>32.700000000000003</v>
      </c>
      <c r="F1141" s="4">
        <v>193477.84899999999</v>
      </c>
      <c r="G1141" s="4">
        <v>193510.549</v>
      </c>
      <c r="H1141" s="5">
        <f>1060 / 86400</f>
        <v>1.2268518518518519E-2</v>
      </c>
      <c r="I1141" t="s">
        <v>123</v>
      </c>
      <c r="J1141" t="s">
        <v>143</v>
      </c>
      <c r="K1141" s="5">
        <f>5322 / 86400</f>
        <v>6.159722222222222E-2</v>
      </c>
      <c r="L1141" s="5">
        <f>1767 / 86400</f>
        <v>2.045138888888889E-2</v>
      </c>
    </row>
    <row r="1142" spans="1:12" x14ac:dyDescent="0.25">
      <c r="A1142" s="3">
        <v>45709.374282407407</v>
      </c>
      <c r="B1142" t="s">
        <v>126</v>
      </c>
      <c r="C1142" s="3">
        <v>45709.495949074073</v>
      </c>
      <c r="D1142" t="s">
        <v>445</v>
      </c>
      <c r="E1142" s="4">
        <v>50.917000000000002</v>
      </c>
      <c r="F1142" s="4">
        <v>193510.549</v>
      </c>
      <c r="G1142" s="4">
        <v>193561.46599999999</v>
      </c>
      <c r="H1142" s="5">
        <f>3181 / 86400</f>
        <v>3.681712962962963E-2</v>
      </c>
      <c r="I1142" t="s">
        <v>62</v>
      </c>
      <c r="J1142" t="s">
        <v>52</v>
      </c>
      <c r="K1142" s="5">
        <f>10511 / 86400</f>
        <v>0.12165509259259259</v>
      </c>
      <c r="L1142" s="5">
        <f>2267 / 86400</f>
        <v>2.6238425925925925E-2</v>
      </c>
    </row>
    <row r="1143" spans="1:12" x14ac:dyDescent="0.25">
      <c r="A1143" s="3">
        <v>45709.522187499999</v>
      </c>
      <c r="B1143" t="s">
        <v>445</v>
      </c>
      <c r="C1143" s="3">
        <v>45709.591493055559</v>
      </c>
      <c r="D1143" t="s">
        <v>132</v>
      </c>
      <c r="E1143" s="4">
        <v>18.962</v>
      </c>
      <c r="F1143" s="4">
        <v>193561.46599999999</v>
      </c>
      <c r="G1143" s="4">
        <v>193580.42800000001</v>
      </c>
      <c r="H1143" s="5">
        <f>2359 / 86400</f>
        <v>2.7303240740740739E-2</v>
      </c>
      <c r="I1143" t="s">
        <v>167</v>
      </c>
      <c r="J1143" t="s">
        <v>128</v>
      </c>
      <c r="K1143" s="5">
        <f>5987 / 86400</f>
        <v>6.9293981481481484E-2</v>
      </c>
      <c r="L1143" s="5">
        <f>378 / 86400</f>
        <v>4.3750000000000004E-3</v>
      </c>
    </row>
    <row r="1144" spans="1:12" x14ac:dyDescent="0.25">
      <c r="A1144" s="3">
        <v>45709.595868055556</v>
      </c>
      <c r="B1144" t="s">
        <v>133</v>
      </c>
      <c r="C1144" s="3">
        <v>45709.600613425922</v>
      </c>
      <c r="D1144" t="s">
        <v>103</v>
      </c>
      <c r="E1144" s="4">
        <v>1.403</v>
      </c>
      <c r="F1144" s="4">
        <v>193580.42800000001</v>
      </c>
      <c r="G1144" s="4">
        <v>193581.83100000001</v>
      </c>
      <c r="H1144" s="5">
        <f>40 / 86400</f>
        <v>4.6296296296296298E-4</v>
      </c>
      <c r="I1144" t="s">
        <v>150</v>
      </c>
      <c r="J1144" t="s">
        <v>55</v>
      </c>
      <c r="K1144" s="5">
        <f>410 / 86400</f>
        <v>4.7453703703703703E-3</v>
      </c>
      <c r="L1144" s="5">
        <f>439 / 86400</f>
        <v>5.0810185185185186E-3</v>
      </c>
    </row>
    <row r="1145" spans="1:12" x14ac:dyDescent="0.25">
      <c r="A1145" s="3">
        <v>45709.605694444443</v>
      </c>
      <c r="B1145" t="s">
        <v>103</v>
      </c>
      <c r="C1145" s="3">
        <v>45709.606412037036</v>
      </c>
      <c r="D1145" t="s">
        <v>103</v>
      </c>
      <c r="E1145" s="4">
        <v>0.13800000000000001</v>
      </c>
      <c r="F1145" s="4">
        <v>193581.83100000001</v>
      </c>
      <c r="G1145" s="4">
        <v>193581.96900000001</v>
      </c>
      <c r="H1145" s="5">
        <f>0 / 86400</f>
        <v>0</v>
      </c>
      <c r="I1145" t="s">
        <v>168</v>
      </c>
      <c r="J1145" t="s">
        <v>59</v>
      </c>
      <c r="K1145" s="5">
        <f>61 / 86400</f>
        <v>7.0601851851851847E-4</v>
      </c>
      <c r="L1145" s="5">
        <f>34005 / 86400</f>
        <v>0.39357638888888891</v>
      </c>
    </row>
    <row r="1146" spans="1:12" x14ac:dyDescent="0.25">
      <c r="A1146" s="12"/>
      <c r="B1146" s="12"/>
      <c r="C1146" s="12"/>
      <c r="D1146" s="12"/>
      <c r="E1146" s="12"/>
      <c r="F1146" s="12"/>
      <c r="G1146" s="12"/>
      <c r="H1146" s="12"/>
      <c r="I1146" s="12"/>
      <c r="J1146" s="12"/>
    </row>
    <row r="1147" spans="1:12" x14ac:dyDescent="0.25">
      <c r="A1147" s="12"/>
      <c r="B1147" s="12"/>
      <c r="C1147" s="12"/>
      <c r="D1147" s="12"/>
      <c r="E1147" s="12"/>
      <c r="F1147" s="12"/>
      <c r="G1147" s="12"/>
      <c r="H1147" s="12"/>
      <c r="I1147" s="12"/>
      <c r="J1147" s="12"/>
    </row>
    <row r="1148" spans="1:12" s="10" customFormat="1" ht="20.100000000000001" customHeight="1" x14ac:dyDescent="0.35">
      <c r="A1148" s="15" t="s">
        <v>503</v>
      </c>
      <c r="B1148" s="15"/>
      <c r="C1148" s="15"/>
      <c r="D1148" s="15"/>
      <c r="E1148" s="15"/>
      <c r="F1148" s="15"/>
      <c r="G1148" s="15"/>
      <c r="H1148" s="15"/>
      <c r="I1148" s="15"/>
      <c r="J1148" s="15"/>
    </row>
    <row r="1149" spans="1:12" x14ac:dyDescent="0.25">
      <c r="A1149" s="12"/>
      <c r="B1149" s="12"/>
      <c r="C1149" s="12"/>
      <c r="D1149" s="12"/>
      <c r="E1149" s="12"/>
      <c r="F1149" s="12"/>
      <c r="G1149" s="12"/>
      <c r="H1149" s="12"/>
      <c r="I1149" s="12"/>
      <c r="J1149" s="12"/>
    </row>
    <row r="1150" spans="1:12" ht="30" x14ac:dyDescent="0.25">
      <c r="A1150" s="2" t="s">
        <v>6</v>
      </c>
      <c r="B1150" s="2" t="s">
        <v>7</v>
      </c>
      <c r="C1150" s="2" t="s">
        <v>8</v>
      </c>
      <c r="D1150" s="2" t="s">
        <v>9</v>
      </c>
      <c r="E1150" s="2" t="s">
        <v>10</v>
      </c>
      <c r="F1150" s="2" t="s">
        <v>11</v>
      </c>
      <c r="G1150" s="2" t="s">
        <v>12</v>
      </c>
      <c r="H1150" s="2" t="s">
        <v>13</v>
      </c>
      <c r="I1150" s="2" t="s">
        <v>14</v>
      </c>
      <c r="J1150" s="2" t="s">
        <v>15</v>
      </c>
      <c r="K1150" s="2" t="s">
        <v>16</v>
      </c>
      <c r="L1150" s="2" t="s">
        <v>17</v>
      </c>
    </row>
    <row r="1151" spans="1:12" x14ac:dyDescent="0.25">
      <c r="A1151" s="3">
        <v>45709.245196759264</v>
      </c>
      <c r="B1151" t="s">
        <v>89</v>
      </c>
      <c r="C1151" s="3">
        <v>45709.511041666672</v>
      </c>
      <c r="D1151" t="s">
        <v>403</v>
      </c>
      <c r="E1151" s="4">
        <v>102.30799999994039</v>
      </c>
      <c r="F1151" s="4">
        <v>524941.69200000004</v>
      </c>
      <c r="G1151" s="4">
        <v>525044</v>
      </c>
      <c r="H1151" s="5">
        <f>7860 / 86400</f>
        <v>9.0972222222222218E-2</v>
      </c>
      <c r="I1151" t="s">
        <v>104</v>
      </c>
      <c r="J1151" t="s">
        <v>28</v>
      </c>
      <c r="K1151" s="5">
        <f>22968 / 86400</f>
        <v>0.26583333333333331</v>
      </c>
      <c r="L1151" s="5">
        <f>21736 / 86400</f>
        <v>0.25157407407407406</v>
      </c>
    </row>
    <row r="1152" spans="1:12" x14ac:dyDescent="0.25">
      <c r="A1152" s="3">
        <v>45709.517418981486</v>
      </c>
      <c r="B1152" t="s">
        <v>403</v>
      </c>
      <c r="C1152" s="3">
        <v>45709.522916666669</v>
      </c>
      <c r="D1152" t="s">
        <v>70</v>
      </c>
      <c r="E1152" s="4">
        <v>1.7049999999403953</v>
      </c>
      <c r="F1152" s="4">
        <v>525044</v>
      </c>
      <c r="G1152" s="4">
        <v>525045.70499999996</v>
      </c>
      <c r="H1152" s="5">
        <f>59 / 86400</f>
        <v>6.8287037037037036E-4</v>
      </c>
      <c r="I1152" t="s">
        <v>141</v>
      </c>
      <c r="J1152" t="s">
        <v>26</v>
      </c>
      <c r="K1152" s="5">
        <f>474 / 86400</f>
        <v>5.4861111111111109E-3</v>
      </c>
      <c r="L1152" s="5">
        <f>3839 / 86400</f>
        <v>4.4432870370370373E-2</v>
      </c>
    </row>
    <row r="1153" spans="1:12" x14ac:dyDescent="0.25">
      <c r="A1153" s="3">
        <v>45709.567349537036</v>
      </c>
      <c r="B1153" t="s">
        <v>70</v>
      </c>
      <c r="C1153" s="3">
        <v>45709.838738425926</v>
      </c>
      <c r="D1153" t="s">
        <v>70</v>
      </c>
      <c r="E1153" s="4">
        <v>93.818000000119213</v>
      </c>
      <c r="F1153" s="4">
        <v>525045.70499999996</v>
      </c>
      <c r="G1153" s="4">
        <v>525139.52300000004</v>
      </c>
      <c r="H1153" s="5">
        <f>9513 / 86400</f>
        <v>0.11010416666666667</v>
      </c>
      <c r="I1153" t="s">
        <v>45</v>
      </c>
      <c r="J1153" t="s">
        <v>57</v>
      </c>
      <c r="K1153" s="5">
        <f>23448 / 86400</f>
        <v>0.2713888888888889</v>
      </c>
      <c r="L1153" s="5">
        <f>880 / 86400</f>
        <v>1.0185185185185186E-2</v>
      </c>
    </row>
    <row r="1154" spans="1:12" x14ac:dyDescent="0.25">
      <c r="A1154" s="3">
        <v>45709.848923611113</v>
      </c>
      <c r="B1154" t="s">
        <v>70</v>
      </c>
      <c r="C1154" s="3">
        <v>45709.851030092592</v>
      </c>
      <c r="D1154" t="s">
        <v>89</v>
      </c>
      <c r="E1154" s="4">
        <v>0.20599999999999999</v>
      </c>
      <c r="F1154" s="4">
        <v>525139.52300000004</v>
      </c>
      <c r="G1154" s="4">
        <v>525139.72900000005</v>
      </c>
      <c r="H1154" s="5">
        <f>59 / 86400</f>
        <v>6.8287037037037036E-4</v>
      </c>
      <c r="I1154" t="s">
        <v>57</v>
      </c>
      <c r="J1154" t="s">
        <v>30</v>
      </c>
      <c r="K1154" s="5">
        <f>181 / 86400</f>
        <v>2.0949074074074073E-3</v>
      </c>
      <c r="L1154" s="5">
        <f>12870 / 86400</f>
        <v>0.14895833333333333</v>
      </c>
    </row>
    <row r="1155" spans="1:12" x14ac:dyDescent="0.25">
      <c r="A1155" s="12"/>
      <c r="B1155" s="12"/>
      <c r="C1155" s="12"/>
      <c r="D1155" s="12"/>
      <c r="E1155" s="12"/>
      <c r="F1155" s="12"/>
      <c r="G1155" s="12"/>
      <c r="H1155" s="12"/>
      <c r="I1155" s="12"/>
      <c r="J1155" s="12"/>
    </row>
    <row r="1156" spans="1:12" x14ac:dyDescent="0.25">
      <c r="A1156" s="12"/>
      <c r="B1156" s="12"/>
      <c r="C1156" s="12"/>
      <c r="D1156" s="12"/>
      <c r="E1156" s="12"/>
      <c r="F1156" s="12"/>
      <c r="G1156" s="12"/>
      <c r="H1156" s="12"/>
      <c r="I1156" s="12"/>
      <c r="J1156" s="12"/>
    </row>
    <row r="1157" spans="1:12" s="10" customFormat="1" ht="20.100000000000001" customHeight="1" x14ac:dyDescent="0.35">
      <c r="A1157" s="15" t="s">
        <v>504</v>
      </c>
      <c r="B1157" s="15"/>
      <c r="C1157" s="15"/>
      <c r="D1157" s="15"/>
      <c r="E1157" s="15"/>
      <c r="F1157" s="15"/>
      <c r="G1157" s="15"/>
      <c r="H1157" s="15"/>
      <c r="I1157" s="15"/>
      <c r="J1157" s="15"/>
    </row>
    <row r="1158" spans="1:12" x14ac:dyDescent="0.25">
      <c r="A1158" s="12"/>
      <c r="B1158" s="12"/>
      <c r="C1158" s="12"/>
      <c r="D1158" s="12"/>
      <c r="E1158" s="12"/>
      <c r="F1158" s="12"/>
      <c r="G1158" s="12"/>
      <c r="H1158" s="12"/>
      <c r="I1158" s="12"/>
      <c r="J1158" s="12"/>
    </row>
    <row r="1159" spans="1:12" ht="30" x14ac:dyDescent="0.25">
      <c r="A1159" s="2" t="s">
        <v>6</v>
      </c>
      <c r="B1159" s="2" t="s">
        <v>7</v>
      </c>
      <c r="C1159" s="2" t="s">
        <v>8</v>
      </c>
      <c r="D1159" s="2" t="s">
        <v>9</v>
      </c>
      <c r="E1159" s="2" t="s">
        <v>10</v>
      </c>
      <c r="F1159" s="2" t="s">
        <v>11</v>
      </c>
      <c r="G1159" s="2" t="s">
        <v>12</v>
      </c>
      <c r="H1159" s="2" t="s">
        <v>13</v>
      </c>
      <c r="I1159" s="2" t="s">
        <v>14</v>
      </c>
      <c r="J1159" s="2" t="s">
        <v>15</v>
      </c>
      <c r="K1159" s="2" t="s">
        <v>16</v>
      </c>
      <c r="L1159" s="2" t="s">
        <v>17</v>
      </c>
    </row>
    <row r="1160" spans="1:12" x14ac:dyDescent="0.25">
      <c r="A1160" s="3">
        <v>45709.271550925929</v>
      </c>
      <c r="B1160" t="s">
        <v>105</v>
      </c>
      <c r="C1160" s="3">
        <v>45709.272638888884</v>
      </c>
      <c r="D1160" t="s">
        <v>105</v>
      </c>
      <c r="E1160" s="4">
        <v>7.4999999999999997E-2</v>
      </c>
      <c r="F1160" s="4">
        <v>24382.880000000001</v>
      </c>
      <c r="G1160" s="4">
        <v>24382.955000000002</v>
      </c>
      <c r="H1160" s="5">
        <f>59 / 86400</f>
        <v>6.8287037037037036E-4</v>
      </c>
      <c r="I1160" t="s">
        <v>88</v>
      </c>
      <c r="J1160" t="s">
        <v>135</v>
      </c>
      <c r="K1160" s="5">
        <f>94 / 86400</f>
        <v>1.0879629629629629E-3</v>
      </c>
      <c r="L1160" s="5">
        <f>24196 / 86400</f>
        <v>0.28004629629629629</v>
      </c>
    </row>
    <row r="1161" spans="1:12" x14ac:dyDescent="0.25">
      <c r="A1161" s="3">
        <v>45709.281134259261</v>
      </c>
      <c r="B1161" t="s">
        <v>105</v>
      </c>
      <c r="C1161" s="3">
        <v>45709.425034722226</v>
      </c>
      <c r="D1161" t="s">
        <v>446</v>
      </c>
      <c r="E1161" s="4">
        <v>50.581000000000003</v>
      </c>
      <c r="F1161" s="4">
        <v>24382.955000000002</v>
      </c>
      <c r="G1161" s="4">
        <v>24433.536</v>
      </c>
      <c r="H1161" s="5">
        <f>4441 / 86400</f>
        <v>5.140046296296296E-2</v>
      </c>
      <c r="I1161" t="s">
        <v>35</v>
      </c>
      <c r="J1161" t="s">
        <v>41</v>
      </c>
      <c r="K1161" s="5">
        <f>12433 / 86400</f>
        <v>0.14390046296296297</v>
      </c>
      <c r="L1161" s="5">
        <f>530 / 86400</f>
        <v>6.1342592592592594E-3</v>
      </c>
    </row>
    <row r="1162" spans="1:12" x14ac:dyDescent="0.25">
      <c r="A1162" s="3">
        <v>45709.431168981479</v>
      </c>
      <c r="B1162" t="s">
        <v>446</v>
      </c>
      <c r="C1162" s="3">
        <v>45709.582627314812</v>
      </c>
      <c r="D1162" t="s">
        <v>350</v>
      </c>
      <c r="E1162" s="4">
        <v>50.750999999999998</v>
      </c>
      <c r="F1162" s="4">
        <v>24433.536</v>
      </c>
      <c r="G1162" s="4">
        <v>24484.287</v>
      </c>
      <c r="H1162" s="5">
        <f>4337 / 86400</f>
        <v>5.019675925925926E-2</v>
      </c>
      <c r="I1162" t="s">
        <v>183</v>
      </c>
      <c r="J1162" t="s">
        <v>57</v>
      </c>
      <c r="K1162" s="5">
        <f>13086 / 86400</f>
        <v>0.15145833333333333</v>
      </c>
      <c r="L1162" s="5">
        <f>210 / 86400</f>
        <v>2.4305555555555556E-3</v>
      </c>
    </row>
    <row r="1163" spans="1:12" x14ac:dyDescent="0.25">
      <c r="A1163" s="3">
        <v>45709.585057870368</v>
      </c>
      <c r="B1163" t="s">
        <v>350</v>
      </c>
      <c r="C1163" s="3">
        <v>45709.592337962968</v>
      </c>
      <c r="D1163" t="s">
        <v>149</v>
      </c>
      <c r="E1163" s="4">
        <v>1.877</v>
      </c>
      <c r="F1163" s="4">
        <v>24484.287</v>
      </c>
      <c r="G1163" s="4">
        <v>24486.164000000001</v>
      </c>
      <c r="H1163" s="5">
        <f>101 / 86400</f>
        <v>1.1689814814814816E-3</v>
      </c>
      <c r="I1163" t="s">
        <v>168</v>
      </c>
      <c r="J1163" t="s">
        <v>128</v>
      </c>
      <c r="K1163" s="5">
        <f>629 / 86400</f>
        <v>7.2800925925925923E-3</v>
      </c>
      <c r="L1163" s="5">
        <f>840 / 86400</f>
        <v>9.7222222222222224E-3</v>
      </c>
    </row>
    <row r="1164" spans="1:12" x14ac:dyDescent="0.25">
      <c r="A1164" s="3">
        <v>45709.602060185185</v>
      </c>
      <c r="B1164" t="s">
        <v>149</v>
      </c>
      <c r="C1164" s="3">
        <v>45709.623182870375</v>
      </c>
      <c r="D1164" t="s">
        <v>447</v>
      </c>
      <c r="E1164" s="4">
        <v>10.967000000000001</v>
      </c>
      <c r="F1164" s="4">
        <v>24486.164000000001</v>
      </c>
      <c r="G1164" s="4">
        <v>24497.131000000001</v>
      </c>
      <c r="H1164" s="5">
        <f>260 / 86400</f>
        <v>3.0092592592592593E-3</v>
      </c>
      <c r="I1164" t="s">
        <v>76</v>
      </c>
      <c r="J1164" t="s">
        <v>143</v>
      </c>
      <c r="K1164" s="5">
        <f>1824 / 86400</f>
        <v>2.1111111111111112E-2</v>
      </c>
      <c r="L1164" s="5">
        <f>1015 / 86400</f>
        <v>1.1747685185185186E-2</v>
      </c>
    </row>
    <row r="1165" spans="1:12" x14ac:dyDescent="0.25">
      <c r="A1165" s="3">
        <v>45709.634930555556</v>
      </c>
      <c r="B1165" t="s">
        <v>447</v>
      </c>
      <c r="C1165" s="3">
        <v>45709.829027777778</v>
      </c>
      <c r="D1165" t="s">
        <v>428</v>
      </c>
      <c r="E1165" s="4">
        <v>69.537000000000006</v>
      </c>
      <c r="F1165" s="4">
        <v>24497.131000000001</v>
      </c>
      <c r="G1165" s="4">
        <v>24566.668000000001</v>
      </c>
      <c r="H1165" s="5">
        <f>5162 / 86400</f>
        <v>5.9745370370370372E-2</v>
      </c>
      <c r="I1165" t="s">
        <v>123</v>
      </c>
      <c r="J1165" t="s">
        <v>41</v>
      </c>
      <c r="K1165" s="5">
        <f>16770 / 86400</f>
        <v>0.19409722222222223</v>
      </c>
      <c r="L1165" s="5">
        <f>359 / 86400</f>
        <v>4.1550925925925922E-3</v>
      </c>
    </row>
    <row r="1166" spans="1:12" x14ac:dyDescent="0.25">
      <c r="A1166" s="3">
        <v>45709.833182870367</v>
      </c>
      <c r="B1166" t="s">
        <v>428</v>
      </c>
      <c r="C1166" s="3">
        <v>45709.836145833338</v>
      </c>
      <c r="D1166" t="s">
        <v>70</v>
      </c>
      <c r="E1166" s="4">
        <v>0.70499999999999996</v>
      </c>
      <c r="F1166" s="4">
        <v>24566.668000000001</v>
      </c>
      <c r="G1166" s="4">
        <v>24567.373</v>
      </c>
      <c r="H1166" s="5">
        <f>60 / 86400</f>
        <v>6.9444444444444447E-4</v>
      </c>
      <c r="I1166" t="s">
        <v>168</v>
      </c>
      <c r="J1166" t="s">
        <v>60</v>
      </c>
      <c r="K1166" s="5">
        <f>255 / 86400</f>
        <v>2.9513888888888888E-3</v>
      </c>
      <c r="L1166" s="5">
        <f>183 / 86400</f>
        <v>2.1180555555555558E-3</v>
      </c>
    </row>
    <row r="1167" spans="1:12" x14ac:dyDescent="0.25">
      <c r="A1167" s="3">
        <v>45709.838263888887</v>
      </c>
      <c r="B1167" t="s">
        <v>70</v>
      </c>
      <c r="C1167" s="3">
        <v>45709.841400462959</v>
      </c>
      <c r="D1167" t="s">
        <v>105</v>
      </c>
      <c r="E1167" s="4">
        <v>0.78200000000000003</v>
      </c>
      <c r="F1167" s="4">
        <v>24567.373</v>
      </c>
      <c r="G1167" s="4">
        <v>24568.154999999999</v>
      </c>
      <c r="H1167" s="5">
        <f>40 / 86400</f>
        <v>4.6296296296296298E-4</v>
      </c>
      <c r="I1167" t="s">
        <v>87</v>
      </c>
      <c r="J1167" t="s">
        <v>60</v>
      </c>
      <c r="K1167" s="5">
        <f>270 / 86400</f>
        <v>3.1250000000000002E-3</v>
      </c>
      <c r="L1167" s="5">
        <f>13702 / 86400</f>
        <v>0.15858796296296296</v>
      </c>
    </row>
    <row r="1168" spans="1:12" x14ac:dyDescent="0.25">
      <c r="A1168" s="12"/>
      <c r="B1168" s="12"/>
      <c r="C1168" s="12"/>
      <c r="D1168" s="12"/>
      <c r="E1168" s="12"/>
      <c r="F1168" s="12"/>
      <c r="G1168" s="12"/>
      <c r="H1168" s="12"/>
      <c r="I1168" s="12"/>
      <c r="J1168" s="12"/>
    </row>
    <row r="1169" spans="1:12" x14ac:dyDescent="0.25">
      <c r="A1169" s="12"/>
      <c r="B1169" s="12"/>
      <c r="C1169" s="12"/>
      <c r="D1169" s="12"/>
      <c r="E1169" s="12"/>
      <c r="F1169" s="12"/>
      <c r="G1169" s="12"/>
      <c r="H1169" s="12"/>
      <c r="I1169" s="12"/>
      <c r="J1169" s="12"/>
    </row>
    <row r="1170" spans="1:12" s="10" customFormat="1" ht="20.100000000000001" customHeight="1" x14ac:dyDescent="0.35">
      <c r="A1170" s="15" t="s">
        <v>505</v>
      </c>
      <c r="B1170" s="15"/>
      <c r="C1170" s="15"/>
      <c r="D1170" s="15"/>
      <c r="E1170" s="15"/>
      <c r="F1170" s="15"/>
      <c r="G1170" s="15"/>
      <c r="H1170" s="15"/>
      <c r="I1170" s="15"/>
      <c r="J1170" s="15"/>
    </row>
    <row r="1171" spans="1:12" x14ac:dyDescent="0.25">
      <c r="A1171" s="12"/>
      <c r="B1171" s="12"/>
      <c r="C1171" s="12"/>
      <c r="D1171" s="12"/>
      <c r="E1171" s="12"/>
      <c r="F1171" s="12"/>
      <c r="G1171" s="12"/>
      <c r="H1171" s="12"/>
      <c r="I1171" s="12"/>
      <c r="J1171" s="12"/>
    </row>
    <row r="1172" spans="1:12" ht="30" x14ac:dyDescent="0.25">
      <c r="A1172" s="2" t="s">
        <v>6</v>
      </c>
      <c r="B1172" s="2" t="s">
        <v>7</v>
      </c>
      <c r="C1172" s="2" t="s">
        <v>8</v>
      </c>
      <c r="D1172" s="2" t="s">
        <v>9</v>
      </c>
      <c r="E1172" s="2" t="s">
        <v>10</v>
      </c>
      <c r="F1172" s="2" t="s">
        <v>11</v>
      </c>
      <c r="G1172" s="2" t="s">
        <v>12</v>
      </c>
      <c r="H1172" s="2" t="s">
        <v>13</v>
      </c>
      <c r="I1172" s="2" t="s">
        <v>14</v>
      </c>
      <c r="J1172" s="2" t="s">
        <v>15</v>
      </c>
      <c r="K1172" s="2" t="s">
        <v>16</v>
      </c>
      <c r="L1172" s="2" t="s">
        <v>17</v>
      </c>
    </row>
    <row r="1173" spans="1:12" x14ac:dyDescent="0.25">
      <c r="A1173" s="3">
        <v>45709.21292824074</v>
      </c>
      <c r="B1173" t="s">
        <v>34</v>
      </c>
      <c r="C1173" s="3">
        <v>45709.217256944445</v>
      </c>
      <c r="D1173" t="s">
        <v>170</v>
      </c>
      <c r="E1173" s="4">
        <v>0.379</v>
      </c>
      <c r="F1173" s="4">
        <v>65361.832000000002</v>
      </c>
      <c r="G1173" s="4">
        <v>65362.211000000003</v>
      </c>
      <c r="H1173" s="5">
        <f>299 / 86400</f>
        <v>3.460648148148148E-3</v>
      </c>
      <c r="I1173" t="s">
        <v>247</v>
      </c>
      <c r="J1173" t="s">
        <v>30</v>
      </c>
      <c r="K1173" s="5">
        <f>373 / 86400</f>
        <v>4.31712962962963E-3</v>
      </c>
      <c r="L1173" s="5">
        <f>18402 / 86400</f>
        <v>0.2129861111111111</v>
      </c>
    </row>
    <row r="1174" spans="1:12" x14ac:dyDescent="0.25">
      <c r="A1174" s="3">
        <v>45709.217314814814</v>
      </c>
      <c r="B1174" t="s">
        <v>170</v>
      </c>
      <c r="C1174" s="3">
        <v>45709.217731481476</v>
      </c>
      <c r="D1174" t="s">
        <v>199</v>
      </c>
      <c r="E1174" s="4">
        <v>0</v>
      </c>
      <c r="F1174" s="4">
        <v>65362.211000000003</v>
      </c>
      <c r="G1174" s="4">
        <v>65362.211000000003</v>
      </c>
      <c r="H1174" s="5">
        <f>33 / 86400</f>
        <v>3.8194444444444446E-4</v>
      </c>
      <c r="I1174" t="s">
        <v>48</v>
      </c>
      <c r="J1174" t="s">
        <v>48</v>
      </c>
      <c r="K1174" s="5">
        <f>36 / 86400</f>
        <v>4.1666666666666669E-4</v>
      </c>
      <c r="L1174" s="5">
        <f>119 / 86400</f>
        <v>1.3773148148148147E-3</v>
      </c>
    </row>
    <row r="1175" spans="1:12" x14ac:dyDescent="0.25">
      <c r="A1175" s="3">
        <v>45709.2191087963</v>
      </c>
      <c r="B1175" t="s">
        <v>199</v>
      </c>
      <c r="C1175" s="3">
        <v>45709.219560185185</v>
      </c>
      <c r="D1175" t="s">
        <v>199</v>
      </c>
      <c r="E1175" s="4">
        <v>5.0000000000000001E-3</v>
      </c>
      <c r="F1175" s="4">
        <v>65362.211000000003</v>
      </c>
      <c r="G1175" s="4">
        <v>65362.216</v>
      </c>
      <c r="H1175" s="5">
        <f>19 / 86400</f>
        <v>2.199074074074074E-4</v>
      </c>
      <c r="I1175" t="s">
        <v>48</v>
      </c>
      <c r="J1175" t="s">
        <v>48</v>
      </c>
      <c r="K1175" s="5">
        <f>39 / 86400</f>
        <v>4.5138888888888887E-4</v>
      </c>
      <c r="L1175" s="5">
        <f>248 / 86400</f>
        <v>2.8703703703703703E-3</v>
      </c>
    </row>
    <row r="1176" spans="1:12" x14ac:dyDescent="0.25">
      <c r="A1176" s="3">
        <v>45709.222430555557</v>
      </c>
      <c r="B1176" t="s">
        <v>199</v>
      </c>
      <c r="C1176" s="3">
        <v>45709.224606481483</v>
      </c>
      <c r="D1176" t="s">
        <v>199</v>
      </c>
      <c r="E1176" s="4">
        <v>3.0000000000000001E-3</v>
      </c>
      <c r="F1176" s="4">
        <v>65362.216</v>
      </c>
      <c r="G1176" s="4">
        <v>65362.218999999997</v>
      </c>
      <c r="H1176" s="5">
        <f>179 / 86400</f>
        <v>2.0717592592592593E-3</v>
      </c>
      <c r="I1176" t="s">
        <v>48</v>
      </c>
      <c r="J1176" t="s">
        <v>48</v>
      </c>
      <c r="K1176" s="5">
        <f>188 / 86400</f>
        <v>2.1759259259259258E-3</v>
      </c>
      <c r="L1176" s="5">
        <f>74 / 86400</f>
        <v>8.564814814814815E-4</v>
      </c>
    </row>
    <row r="1177" spans="1:12" x14ac:dyDescent="0.25">
      <c r="A1177" s="3">
        <v>45709.225462962961</v>
      </c>
      <c r="B1177" t="s">
        <v>199</v>
      </c>
      <c r="C1177" s="3">
        <v>45709.448194444441</v>
      </c>
      <c r="D1177" t="s">
        <v>70</v>
      </c>
      <c r="E1177" s="4">
        <v>80.363</v>
      </c>
      <c r="F1177" s="4">
        <v>65362.218999999997</v>
      </c>
      <c r="G1177" s="4">
        <v>65442.582000000002</v>
      </c>
      <c r="H1177" s="5">
        <f>7742 / 86400</f>
        <v>8.9606481481481481E-2</v>
      </c>
      <c r="I1177" t="s">
        <v>73</v>
      </c>
      <c r="J1177" t="s">
        <v>41</v>
      </c>
      <c r="K1177" s="5">
        <f>19244 / 86400</f>
        <v>0.22273148148148147</v>
      </c>
      <c r="L1177" s="5">
        <f>235 / 86400</f>
        <v>2.7199074074074074E-3</v>
      </c>
    </row>
    <row r="1178" spans="1:12" x14ac:dyDescent="0.25">
      <c r="A1178" s="3">
        <v>45709.450914351852</v>
      </c>
      <c r="B1178" t="s">
        <v>70</v>
      </c>
      <c r="C1178" s="3">
        <v>45709.451550925922</v>
      </c>
      <c r="D1178" t="s">
        <v>70</v>
      </c>
      <c r="E1178" s="4">
        <v>2.1000000000000001E-2</v>
      </c>
      <c r="F1178" s="4">
        <v>65442.582000000002</v>
      </c>
      <c r="G1178" s="4">
        <v>65442.603000000003</v>
      </c>
      <c r="H1178" s="5">
        <f>0 / 86400</f>
        <v>0</v>
      </c>
      <c r="I1178" t="s">
        <v>134</v>
      </c>
      <c r="J1178" t="s">
        <v>47</v>
      </c>
      <c r="K1178" s="5">
        <f>54 / 86400</f>
        <v>6.2500000000000001E-4</v>
      </c>
      <c r="L1178" s="5">
        <f>1885 / 86400</f>
        <v>2.1817129629629631E-2</v>
      </c>
    </row>
    <row r="1179" spans="1:12" x14ac:dyDescent="0.25">
      <c r="A1179" s="3">
        <v>45709.473368055551</v>
      </c>
      <c r="B1179" t="s">
        <v>140</v>
      </c>
      <c r="C1179" s="3">
        <v>45709.477013888885</v>
      </c>
      <c r="D1179" t="s">
        <v>126</v>
      </c>
      <c r="E1179" s="4">
        <v>1.351</v>
      </c>
      <c r="F1179" s="4">
        <v>65442.603000000003</v>
      </c>
      <c r="G1179" s="4">
        <v>65443.953999999998</v>
      </c>
      <c r="H1179" s="5">
        <f>0 / 86400</f>
        <v>0</v>
      </c>
      <c r="I1179" t="s">
        <v>87</v>
      </c>
      <c r="J1179" t="s">
        <v>41</v>
      </c>
      <c r="K1179" s="5">
        <f>314 / 86400</f>
        <v>3.6342592592592594E-3</v>
      </c>
      <c r="L1179" s="5">
        <f>1826 / 86400</f>
        <v>2.1134259259259259E-2</v>
      </c>
    </row>
    <row r="1180" spans="1:12" x14ac:dyDescent="0.25">
      <c r="A1180" s="3">
        <v>45709.498148148152</v>
      </c>
      <c r="B1180" t="s">
        <v>126</v>
      </c>
      <c r="C1180" s="3">
        <v>45709.736967592587</v>
      </c>
      <c r="D1180" t="s">
        <v>34</v>
      </c>
      <c r="E1180" s="4">
        <v>103.96800000000745</v>
      </c>
      <c r="F1180" s="4">
        <v>65443.953999999998</v>
      </c>
      <c r="G1180" s="4">
        <v>65547.922000000006</v>
      </c>
      <c r="H1180" s="5">
        <f>6761 / 86400</f>
        <v>7.8252314814814816E-2</v>
      </c>
      <c r="I1180" t="s">
        <v>35</v>
      </c>
      <c r="J1180" t="s">
        <v>20</v>
      </c>
      <c r="K1180" s="5">
        <f>20634 / 86400</f>
        <v>0.23881944444444445</v>
      </c>
      <c r="L1180" s="5">
        <f>324 / 86400</f>
        <v>3.7499999999999999E-3</v>
      </c>
    </row>
    <row r="1181" spans="1:12" x14ac:dyDescent="0.25">
      <c r="A1181" s="3">
        <v>45709.740717592591</v>
      </c>
      <c r="B1181" t="s">
        <v>34</v>
      </c>
      <c r="C1181" s="3">
        <v>45709.745092592595</v>
      </c>
      <c r="D1181" t="s">
        <v>34</v>
      </c>
      <c r="E1181" s="4">
        <v>1.401</v>
      </c>
      <c r="F1181" s="4">
        <v>65547.922000000006</v>
      </c>
      <c r="G1181" s="4">
        <v>65549.323000000004</v>
      </c>
      <c r="H1181" s="5">
        <f>200 / 86400</f>
        <v>2.3148148148148147E-3</v>
      </c>
      <c r="I1181" t="s">
        <v>76</v>
      </c>
      <c r="J1181" t="s">
        <v>26</v>
      </c>
      <c r="K1181" s="5">
        <f>378 / 86400</f>
        <v>4.3750000000000004E-3</v>
      </c>
      <c r="L1181" s="5">
        <f>22023 / 86400</f>
        <v>0.25489583333333332</v>
      </c>
    </row>
    <row r="1182" spans="1:12" x14ac:dyDescent="0.25">
      <c r="A1182" s="12"/>
      <c r="B1182" s="12"/>
      <c r="C1182" s="12"/>
      <c r="D1182" s="12"/>
      <c r="E1182" s="12"/>
      <c r="F1182" s="12"/>
      <c r="G1182" s="12"/>
      <c r="H1182" s="12"/>
      <c r="I1182" s="12"/>
      <c r="J1182" s="12"/>
    </row>
    <row r="1183" spans="1:12" x14ac:dyDescent="0.25">
      <c r="A1183" s="12"/>
      <c r="B1183" s="12"/>
      <c r="C1183" s="12"/>
      <c r="D1183" s="12"/>
      <c r="E1183" s="12"/>
      <c r="F1183" s="12"/>
      <c r="G1183" s="12"/>
      <c r="H1183" s="12"/>
      <c r="I1183" s="12"/>
      <c r="J1183" s="12"/>
    </row>
    <row r="1184" spans="1:12" s="10" customFormat="1" ht="20.100000000000001" customHeight="1" x14ac:dyDescent="0.35">
      <c r="A1184" s="15" t="s">
        <v>506</v>
      </c>
      <c r="B1184" s="15"/>
      <c r="C1184" s="15"/>
      <c r="D1184" s="15"/>
      <c r="E1184" s="15"/>
      <c r="F1184" s="15"/>
      <c r="G1184" s="15"/>
      <c r="H1184" s="15"/>
      <c r="I1184" s="15"/>
      <c r="J1184" s="15"/>
    </row>
    <row r="1185" spans="1:12" x14ac:dyDescent="0.25">
      <c r="A1185" s="12"/>
      <c r="B1185" s="12"/>
      <c r="C1185" s="12"/>
      <c r="D1185" s="12"/>
      <c r="E1185" s="12"/>
      <c r="F1185" s="12"/>
      <c r="G1185" s="12"/>
      <c r="H1185" s="12"/>
      <c r="I1185" s="12"/>
      <c r="J1185" s="12"/>
    </row>
    <row r="1186" spans="1:12" ht="30" x14ac:dyDescent="0.25">
      <c r="A1186" s="2" t="s">
        <v>6</v>
      </c>
      <c r="B1186" s="2" t="s">
        <v>7</v>
      </c>
      <c r="C1186" s="2" t="s">
        <v>8</v>
      </c>
      <c r="D1186" s="2" t="s">
        <v>9</v>
      </c>
      <c r="E1186" s="2" t="s">
        <v>10</v>
      </c>
      <c r="F1186" s="2" t="s">
        <v>11</v>
      </c>
      <c r="G1186" s="2" t="s">
        <v>12</v>
      </c>
      <c r="H1186" s="2" t="s">
        <v>13</v>
      </c>
      <c r="I1186" s="2" t="s">
        <v>14</v>
      </c>
      <c r="J1186" s="2" t="s">
        <v>15</v>
      </c>
      <c r="K1186" s="2" t="s">
        <v>16</v>
      </c>
      <c r="L1186" s="2" t="s">
        <v>17</v>
      </c>
    </row>
    <row r="1187" spans="1:12" x14ac:dyDescent="0.25">
      <c r="A1187" s="3">
        <v>45709.275752314818</v>
      </c>
      <c r="B1187" t="s">
        <v>70</v>
      </c>
      <c r="C1187" s="3">
        <v>45709.346944444449</v>
      </c>
      <c r="D1187" t="s">
        <v>70</v>
      </c>
      <c r="E1187" s="4">
        <v>0</v>
      </c>
      <c r="F1187" s="4">
        <v>5847.3609999999999</v>
      </c>
      <c r="G1187" s="4">
        <v>5847.3609999999999</v>
      </c>
      <c r="H1187" s="5">
        <f>6139 / 86400</f>
        <v>7.1053240740740736E-2</v>
      </c>
      <c r="I1187" t="s">
        <v>48</v>
      </c>
      <c r="J1187" t="s">
        <v>48</v>
      </c>
      <c r="K1187" s="5">
        <f>6151 / 86400</f>
        <v>7.1192129629629633E-2</v>
      </c>
      <c r="L1187" s="5">
        <f>24654 / 86400</f>
        <v>0.2853472222222222</v>
      </c>
    </row>
    <row r="1188" spans="1:12" x14ac:dyDescent="0.25">
      <c r="A1188" s="3">
        <v>45709.356539351851</v>
      </c>
      <c r="B1188" t="s">
        <v>403</v>
      </c>
      <c r="C1188" s="3">
        <v>45709.357060185182</v>
      </c>
      <c r="D1188" t="s">
        <v>126</v>
      </c>
      <c r="E1188" s="4">
        <v>8.5999999999999993E-2</v>
      </c>
      <c r="F1188" s="4">
        <v>5847.3609999999999</v>
      </c>
      <c r="G1188" s="4">
        <v>5847.4470000000001</v>
      </c>
      <c r="H1188" s="5">
        <f>0 / 86400</f>
        <v>0</v>
      </c>
      <c r="I1188" t="s">
        <v>60</v>
      </c>
      <c r="J1188" t="s">
        <v>88</v>
      </c>
      <c r="K1188" s="5">
        <f>44 / 86400</f>
        <v>5.0925925925925921E-4</v>
      </c>
      <c r="L1188" s="5">
        <f>4 / 86400</f>
        <v>4.6296296296296294E-5</v>
      </c>
    </row>
    <row r="1189" spans="1:12" x14ac:dyDescent="0.25">
      <c r="A1189" s="3">
        <v>45709.357106481482</v>
      </c>
      <c r="B1189" t="s">
        <v>126</v>
      </c>
      <c r="C1189" s="3">
        <v>45709.625567129631</v>
      </c>
      <c r="D1189" t="s">
        <v>70</v>
      </c>
      <c r="E1189" s="4">
        <v>101.229</v>
      </c>
      <c r="F1189" s="4">
        <v>5847.4470000000001</v>
      </c>
      <c r="G1189" s="4">
        <v>5948.6760000000004</v>
      </c>
      <c r="H1189" s="5">
        <f>7764 / 86400</f>
        <v>8.9861111111111114E-2</v>
      </c>
      <c r="I1189" t="s">
        <v>25</v>
      </c>
      <c r="J1189" t="s">
        <v>28</v>
      </c>
      <c r="K1189" s="5">
        <f>23194 / 86400</f>
        <v>0.26844907407407409</v>
      </c>
      <c r="L1189" s="5">
        <f>176 / 86400</f>
        <v>2.0370370370370369E-3</v>
      </c>
    </row>
    <row r="1190" spans="1:12" x14ac:dyDescent="0.25">
      <c r="A1190" s="3">
        <v>45709.627604166672</v>
      </c>
      <c r="B1190" t="s">
        <v>70</v>
      </c>
      <c r="C1190" s="3">
        <v>45709.628576388888</v>
      </c>
      <c r="D1190" t="s">
        <v>350</v>
      </c>
      <c r="E1190" s="4">
        <v>0.189</v>
      </c>
      <c r="F1190" s="4">
        <v>5948.6760000000004</v>
      </c>
      <c r="G1190" s="4">
        <v>5948.8649999999998</v>
      </c>
      <c r="H1190" s="5">
        <f>20 / 86400</f>
        <v>2.3148148148148149E-4</v>
      </c>
      <c r="I1190" t="s">
        <v>52</v>
      </c>
      <c r="J1190" t="s">
        <v>59</v>
      </c>
      <c r="K1190" s="5">
        <f>83 / 86400</f>
        <v>9.6064814814814819E-4</v>
      </c>
      <c r="L1190" s="5">
        <f>293 / 86400</f>
        <v>3.3912037037037036E-3</v>
      </c>
    </row>
    <row r="1191" spans="1:12" x14ac:dyDescent="0.25">
      <c r="A1191" s="3">
        <v>45709.631967592592</v>
      </c>
      <c r="B1191" t="s">
        <v>350</v>
      </c>
      <c r="C1191" s="3">
        <v>45709.635960648149</v>
      </c>
      <c r="D1191" t="s">
        <v>149</v>
      </c>
      <c r="E1191" s="4">
        <v>1.595</v>
      </c>
      <c r="F1191" s="4">
        <v>5948.8649999999998</v>
      </c>
      <c r="G1191" s="4">
        <v>5950.46</v>
      </c>
      <c r="H1191" s="5">
        <f>20 / 86400</f>
        <v>2.3148148148148149E-4</v>
      </c>
      <c r="I1191" t="s">
        <v>154</v>
      </c>
      <c r="J1191" t="s">
        <v>52</v>
      </c>
      <c r="K1191" s="5">
        <f>345 / 86400</f>
        <v>3.9930555555555552E-3</v>
      </c>
      <c r="L1191" s="5">
        <f>1975 / 86400</f>
        <v>2.2858796296296297E-2</v>
      </c>
    </row>
    <row r="1192" spans="1:12" x14ac:dyDescent="0.25">
      <c r="A1192" s="3">
        <v>45709.658819444448</v>
      </c>
      <c r="B1192" t="s">
        <v>149</v>
      </c>
      <c r="C1192" s="3">
        <v>45709.662499999999</v>
      </c>
      <c r="D1192" t="s">
        <v>403</v>
      </c>
      <c r="E1192" s="4">
        <v>0.73899999999999999</v>
      </c>
      <c r="F1192" s="4">
        <v>5950.46</v>
      </c>
      <c r="G1192" s="4">
        <v>5951.1989999999996</v>
      </c>
      <c r="H1192" s="5">
        <f>39 / 86400</f>
        <v>4.5138888888888887E-4</v>
      </c>
      <c r="I1192" t="s">
        <v>136</v>
      </c>
      <c r="J1192" t="s">
        <v>59</v>
      </c>
      <c r="K1192" s="5">
        <f>318 / 86400</f>
        <v>3.6805555555555554E-3</v>
      </c>
      <c r="L1192" s="5">
        <f>1988 / 86400</f>
        <v>2.3009259259259261E-2</v>
      </c>
    </row>
    <row r="1193" spans="1:12" x14ac:dyDescent="0.25">
      <c r="A1193" s="3">
        <v>45709.68550925926</v>
      </c>
      <c r="B1193" t="s">
        <v>403</v>
      </c>
      <c r="C1193" s="3">
        <v>45709.76085648148</v>
      </c>
      <c r="D1193" t="s">
        <v>332</v>
      </c>
      <c r="E1193" s="4">
        <v>34.222000000000001</v>
      </c>
      <c r="F1193" s="4">
        <v>5951.1989999999996</v>
      </c>
      <c r="G1193" s="4">
        <v>5985.4210000000003</v>
      </c>
      <c r="H1193" s="5">
        <f>1820 / 86400</f>
        <v>2.1064814814814814E-2</v>
      </c>
      <c r="I1193" t="s">
        <v>163</v>
      </c>
      <c r="J1193" t="s">
        <v>77</v>
      </c>
      <c r="K1193" s="5">
        <f>6510 / 86400</f>
        <v>7.5347222222222218E-2</v>
      </c>
      <c r="L1193" s="5">
        <f>248 / 86400</f>
        <v>2.8703703703703703E-3</v>
      </c>
    </row>
    <row r="1194" spans="1:12" x14ac:dyDescent="0.25">
      <c r="A1194" s="3">
        <v>45709.763726851852</v>
      </c>
      <c r="B1194" t="s">
        <v>332</v>
      </c>
      <c r="C1194" s="3">
        <v>45709.768518518518</v>
      </c>
      <c r="D1194" t="s">
        <v>69</v>
      </c>
      <c r="E1194" s="4">
        <v>1.0089999999999999</v>
      </c>
      <c r="F1194" s="4">
        <v>5985.4210000000003</v>
      </c>
      <c r="G1194" s="4">
        <v>5986.43</v>
      </c>
      <c r="H1194" s="5">
        <f>99 / 86400</f>
        <v>1.1458333333333333E-3</v>
      </c>
      <c r="I1194" t="s">
        <v>77</v>
      </c>
      <c r="J1194" t="s">
        <v>125</v>
      </c>
      <c r="K1194" s="5">
        <f>414 / 86400</f>
        <v>4.7916666666666663E-3</v>
      </c>
      <c r="L1194" s="5">
        <f>377 / 86400</f>
        <v>4.363425925925926E-3</v>
      </c>
    </row>
    <row r="1195" spans="1:12" x14ac:dyDescent="0.25">
      <c r="A1195" s="3">
        <v>45709.772881944446</v>
      </c>
      <c r="B1195" t="s">
        <v>69</v>
      </c>
      <c r="C1195" s="3">
        <v>45709.773831018523</v>
      </c>
      <c r="D1195" t="s">
        <v>69</v>
      </c>
      <c r="E1195" s="4">
        <v>0.01</v>
      </c>
      <c r="F1195" s="4">
        <v>5986.43</v>
      </c>
      <c r="G1195" s="4">
        <v>5986.44</v>
      </c>
      <c r="H1195" s="5">
        <f>79 / 86400</f>
        <v>9.1435185185185185E-4</v>
      </c>
      <c r="I1195" t="s">
        <v>48</v>
      </c>
      <c r="J1195" t="s">
        <v>48</v>
      </c>
      <c r="K1195" s="5">
        <f>82 / 86400</f>
        <v>9.4907407407407408E-4</v>
      </c>
      <c r="L1195" s="5">
        <f>19540 / 86400</f>
        <v>0.22615740740740742</v>
      </c>
    </row>
    <row r="1196" spans="1:12" x14ac:dyDescent="0.25">
      <c r="A1196" s="12"/>
      <c r="B1196" s="12"/>
      <c r="C1196" s="12"/>
      <c r="D1196" s="12"/>
      <c r="E1196" s="12"/>
      <c r="F1196" s="12"/>
      <c r="G1196" s="12"/>
      <c r="H1196" s="12"/>
      <c r="I1196" s="12"/>
      <c r="J1196" s="12"/>
    </row>
    <row r="1197" spans="1:12" x14ac:dyDescent="0.25">
      <c r="A1197" s="12"/>
      <c r="B1197" s="12"/>
      <c r="C1197" s="12"/>
      <c r="D1197" s="12"/>
      <c r="E1197" s="12"/>
      <c r="F1197" s="12"/>
      <c r="G1197" s="12"/>
      <c r="H1197" s="12"/>
      <c r="I1197" s="12"/>
      <c r="J1197" s="12"/>
    </row>
    <row r="1198" spans="1:12" s="10" customFormat="1" ht="20.100000000000001" customHeight="1" x14ac:dyDescent="0.35">
      <c r="A1198" s="15" t="s">
        <v>507</v>
      </c>
      <c r="B1198" s="15"/>
      <c r="C1198" s="15"/>
      <c r="D1198" s="15"/>
      <c r="E1198" s="15"/>
      <c r="F1198" s="15"/>
      <c r="G1198" s="15"/>
      <c r="H1198" s="15"/>
      <c r="I1198" s="15"/>
      <c r="J1198" s="15"/>
    </row>
    <row r="1199" spans="1:12" x14ac:dyDescent="0.25">
      <c r="A1199" s="12"/>
      <c r="B1199" s="12"/>
      <c r="C1199" s="12"/>
      <c r="D1199" s="12"/>
      <c r="E1199" s="12"/>
      <c r="F1199" s="12"/>
      <c r="G1199" s="12"/>
      <c r="H1199" s="12"/>
      <c r="I1199" s="12"/>
      <c r="J1199" s="12"/>
    </row>
    <row r="1200" spans="1:12" ht="30" x14ac:dyDescent="0.25">
      <c r="A1200" s="2" t="s">
        <v>6</v>
      </c>
      <c r="B1200" s="2" t="s">
        <v>7</v>
      </c>
      <c r="C1200" s="2" t="s">
        <v>8</v>
      </c>
      <c r="D1200" s="2" t="s">
        <v>9</v>
      </c>
      <c r="E1200" s="2" t="s">
        <v>10</v>
      </c>
      <c r="F1200" s="2" t="s">
        <v>11</v>
      </c>
      <c r="G1200" s="2" t="s">
        <v>12</v>
      </c>
      <c r="H1200" s="2" t="s">
        <v>13</v>
      </c>
      <c r="I1200" s="2" t="s">
        <v>14</v>
      </c>
      <c r="J1200" s="2" t="s">
        <v>15</v>
      </c>
      <c r="K1200" s="2" t="s">
        <v>16</v>
      </c>
      <c r="L1200" s="2" t="s">
        <v>17</v>
      </c>
    </row>
    <row r="1201" spans="1:12" x14ac:dyDescent="0.25">
      <c r="A1201" s="3">
        <v>45709</v>
      </c>
      <c r="B1201" t="s">
        <v>92</v>
      </c>
      <c r="C1201" s="3">
        <v>45709.101006944446</v>
      </c>
      <c r="D1201" t="s">
        <v>86</v>
      </c>
      <c r="E1201" s="4">
        <v>58.039000000000001</v>
      </c>
      <c r="F1201" s="4">
        <v>409521.04599999997</v>
      </c>
      <c r="G1201" s="4">
        <v>409579.08500000002</v>
      </c>
      <c r="H1201" s="5">
        <f>2161 / 86400</f>
        <v>2.5011574074074075E-2</v>
      </c>
      <c r="I1201" t="s">
        <v>56</v>
      </c>
      <c r="J1201" t="s">
        <v>127</v>
      </c>
      <c r="K1201" s="5">
        <f>8727 / 86400</f>
        <v>0.10100694444444444</v>
      </c>
      <c r="L1201" s="5">
        <f>634 / 86400</f>
        <v>7.3379629629629628E-3</v>
      </c>
    </row>
    <row r="1202" spans="1:12" x14ac:dyDescent="0.25">
      <c r="A1202" s="3">
        <v>45709.108344907407</v>
      </c>
      <c r="B1202" t="s">
        <v>86</v>
      </c>
      <c r="C1202" s="3">
        <v>45709.108657407407</v>
      </c>
      <c r="D1202" t="s">
        <v>86</v>
      </c>
      <c r="E1202" s="4">
        <v>1.7000000000000001E-2</v>
      </c>
      <c r="F1202" s="4">
        <v>409579.08500000002</v>
      </c>
      <c r="G1202" s="4">
        <v>409579.10200000001</v>
      </c>
      <c r="H1202" s="5">
        <f>0 / 86400</f>
        <v>0</v>
      </c>
      <c r="I1202" t="s">
        <v>121</v>
      </c>
      <c r="J1202" t="s">
        <v>122</v>
      </c>
      <c r="K1202" s="5">
        <f>26 / 86400</f>
        <v>3.0092592592592595E-4</v>
      </c>
      <c r="L1202" s="5">
        <f>13 / 86400</f>
        <v>1.5046296296296297E-4</v>
      </c>
    </row>
    <row r="1203" spans="1:12" x14ac:dyDescent="0.25">
      <c r="A1203" s="3">
        <v>45709.108807870369</v>
      </c>
      <c r="B1203" t="s">
        <v>86</v>
      </c>
      <c r="C1203" s="3">
        <v>45709.109282407408</v>
      </c>
      <c r="D1203" t="s">
        <v>197</v>
      </c>
      <c r="E1203" s="4">
        <v>1.7999999999999999E-2</v>
      </c>
      <c r="F1203" s="4">
        <v>409579.10200000001</v>
      </c>
      <c r="G1203" s="4">
        <v>409579.12</v>
      </c>
      <c r="H1203" s="5">
        <f>20 / 86400</f>
        <v>2.3148148148148149E-4</v>
      </c>
      <c r="I1203" t="s">
        <v>121</v>
      </c>
      <c r="J1203" t="s">
        <v>122</v>
      </c>
      <c r="K1203" s="5">
        <f>40 / 86400</f>
        <v>4.6296296296296298E-4</v>
      </c>
      <c r="L1203" s="5">
        <f>1874 / 86400</f>
        <v>2.1689814814814815E-2</v>
      </c>
    </row>
    <row r="1204" spans="1:12" x14ac:dyDescent="0.25">
      <c r="A1204" s="3">
        <v>45709.130972222221</v>
      </c>
      <c r="B1204" t="s">
        <v>197</v>
      </c>
      <c r="C1204" s="3">
        <v>45709.136412037042</v>
      </c>
      <c r="D1204" t="s">
        <v>24</v>
      </c>
      <c r="E1204" s="4">
        <v>2.2799999999999998</v>
      </c>
      <c r="F1204" s="4">
        <v>409579.12</v>
      </c>
      <c r="G1204" s="4">
        <v>409581.4</v>
      </c>
      <c r="H1204" s="5">
        <f>139 / 86400</f>
        <v>1.6087962962962963E-3</v>
      </c>
      <c r="I1204" t="s">
        <v>178</v>
      </c>
      <c r="J1204" t="s">
        <v>20</v>
      </c>
      <c r="K1204" s="5">
        <f>469 / 86400</f>
        <v>5.4282407407407404E-3</v>
      </c>
      <c r="L1204" s="5">
        <f>24510 / 86400</f>
        <v>0.28368055555555555</v>
      </c>
    </row>
    <row r="1205" spans="1:12" x14ac:dyDescent="0.25">
      <c r="A1205" s="3">
        <v>45709.420092592598</v>
      </c>
      <c r="B1205" t="s">
        <v>24</v>
      </c>
      <c r="C1205" s="3">
        <v>45709.421875</v>
      </c>
      <c r="D1205" t="s">
        <v>24</v>
      </c>
      <c r="E1205" s="4">
        <v>8.4000000000000005E-2</v>
      </c>
      <c r="F1205" s="4">
        <v>409581.4</v>
      </c>
      <c r="G1205" s="4">
        <v>409581.484</v>
      </c>
      <c r="H1205" s="5">
        <f>19 / 86400</f>
        <v>2.199074074074074E-4</v>
      </c>
      <c r="I1205" t="s">
        <v>88</v>
      </c>
      <c r="J1205" t="s">
        <v>122</v>
      </c>
      <c r="K1205" s="5">
        <f>154 / 86400</f>
        <v>1.7824074074074075E-3</v>
      </c>
      <c r="L1205" s="5">
        <f>1890 / 86400</f>
        <v>2.1874999999999999E-2</v>
      </c>
    </row>
    <row r="1206" spans="1:12" x14ac:dyDescent="0.25">
      <c r="A1206" s="3">
        <v>45709.443749999999</v>
      </c>
      <c r="B1206" t="s">
        <v>24</v>
      </c>
      <c r="C1206" s="3">
        <v>45709.444143518514</v>
      </c>
      <c r="D1206" t="s">
        <v>24</v>
      </c>
      <c r="E1206" s="4">
        <v>0</v>
      </c>
      <c r="F1206" s="4">
        <v>409581.484</v>
      </c>
      <c r="G1206" s="4">
        <v>409581.484</v>
      </c>
      <c r="H1206" s="5">
        <f>19 / 86400</f>
        <v>2.199074074074074E-4</v>
      </c>
      <c r="I1206" t="s">
        <v>48</v>
      </c>
      <c r="J1206" t="s">
        <v>48</v>
      </c>
      <c r="K1206" s="5">
        <f>33 / 86400</f>
        <v>3.8194444444444446E-4</v>
      </c>
      <c r="L1206" s="5">
        <f>2 / 86400</f>
        <v>2.3148148148148147E-5</v>
      </c>
    </row>
    <row r="1207" spans="1:12" x14ac:dyDescent="0.25">
      <c r="A1207" s="3">
        <v>45709.444166666668</v>
      </c>
      <c r="B1207" t="s">
        <v>24</v>
      </c>
      <c r="C1207" s="3">
        <v>45709.445138888885</v>
      </c>
      <c r="D1207" t="s">
        <v>24</v>
      </c>
      <c r="E1207" s="4">
        <v>0</v>
      </c>
      <c r="F1207" s="4">
        <v>409581.484</v>
      </c>
      <c r="G1207" s="4">
        <v>409581.484</v>
      </c>
      <c r="H1207" s="5">
        <f>64 / 86400</f>
        <v>7.407407407407407E-4</v>
      </c>
      <c r="I1207" t="s">
        <v>48</v>
      </c>
      <c r="J1207" t="s">
        <v>48</v>
      </c>
      <c r="K1207" s="5">
        <f>84 / 86400</f>
        <v>9.7222222222222219E-4</v>
      </c>
      <c r="L1207" s="5">
        <f>3355 / 86400</f>
        <v>3.8831018518518522E-2</v>
      </c>
    </row>
    <row r="1208" spans="1:12" x14ac:dyDescent="0.25">
      <c r="A1208" s="3">
        <v>45709.483969907407</v>
      </c>
      <c r="B1208" t="s">
        <v>24</v>
      </c>
      <c r="C1208" s="3">
        <v>45709.484178240746</v>
      </c>
      <c r="D1208" t="s">
        <v>24</v>
      </c>
      <c r="E1208" s="4">
        <v>0</v>
      </c>
      <c r="F1208" s="4">
        <v>409581.484</v>
      </c>
      <c r="G1208" s="4">
        <v>409581.484</v>
      </c>
      <c r="H1208" s="5">
        <f>0 / 86400</f>
        <v>0</v>
      </c>
      <c r="I1208" t="s">
        <v>48</v>
      </c>
      <c r="J1208" t="s">
        <v>48</v>
      </c>
      <c r="K1208" s="5">
        <f>17 / 86400</f>
        <v>1.9675925925925926E-4</v>
      </c>
      <c r="L1208" s="5">
        <f>3628 / 86400</f>
        <v>4.1990740740740738E-2</v>
      </c>
    </row>
    <row r="1209" spans="1:12" x14ac:dyDescent="0.25">
      <c r="A1209" s="3">
        <v>45709.52616898148</v>
      </c>
      <c r="B1209" t="s">
        <v>24</v>
      </c>
      <c r="C1209" s="3">
        <v>45709.535925925928</v>
      </c>
      <c r="D1209" t="s">
        <v>86</v>
      </c>
      <c r="E1209" s="4">
        <v>2.4940000000000002</v>
      </c>
      <c r="F1209" s="4">
        <v>409581.484</v>
      </c>
      <c r="G1209" s="4">
        <v>409583.978</v>
      </c>
      <c r="H1209" s="5">
        <f>419 / 86400</f>
        <v>4.8495370370370368E-3</v>
      </c>
      <c r="I1209" t="s">
        <v>232</v>
      </c>
      <c r="J1209" t="s">
        <v>128</v>
      </c>
      <c r="K1209" s="5">
        <f>842 / 86400</f>
        <v>9.7453703703703695E-3</v>
      </c>
      <c r="L1209" s="5">
        <f>1096 / 86400</f>
        <v>1.2685185185185185E-2</v>
      </c>
    </row>
    <row r="1210" spans="1:12" x14ac:dyDescent="0.25">
      <c r="A1210" s="3">
        <v>45709.548611111109</v>
      </c>
      <c r="B1210" t="s">
        <v>86</v>
      </c>
      <c r="C1210" s="3">
        <v>45709.601782407408</v>
      </c>
      <c r="D1210" t="s">
        <v>126</v>
      </c>
      <c r="E1210" s="4">
        <v>22.8</v>
      </c>
      <c r="F1210" s="4">
        <v>409583.978</v>
      </c>
      <c r="G1210" s="4">
        <v>409606.77799999999</v>
      </c>
      <c r="H1210" s="5">
        <f>1579 / 86400</f>
        <v>1.8275462962962962E-2</v>
      </c>
      <c r="I1210" t="s">
        <v>25</v>
      </c>
      <c r="J1210" t="s">
        <v>20</v>
      </c>
      <c r="K1210" s="5">
        <f>4594 / 86400</f>
        <v>5.3171296296296293E-2</v>
      </c>
      <c r="L1210" s="5">
        <f>297 / 86400</f>
        <v>3.4375E-3</v>
      </c>
    </row>
    <row r="1211" spans="1:12" x14ac:dyDescent="0.25">
      <c r="A1211" s="3">
        <v>45709.605219907404</v>
      </c>
      <c r="B1211" t="s">
        <v>126</v>
      </c>
      <c r="C1211" s="3">
        <v>45709.605949074074</v>
      </c>
      <c r="D1211" t="s">
        <v>126</v>
      </c>
      <c r="E1211" s="4">
        <v>8.3000000000000004E-2</v>
      </c>
      <c r="F1211" s="4">
        <v>409606.77799999999</v>
      </c>
      <c r="G1211" s="4">
        <v>409606.86099999998</v>
      </c>
      <c r="H1211" s="5">
        <f>0 / 86400</f>
        <v>0</v>
      </c>
      <c r="I1211" t="s">
        <v>88</v>
      </c>
      <c r="J1211" t="s">
        <v>121</v>
      </c>
      <c r="K1211" s="5">
        <f>63 / 86400</f>
        <v>7.291666666666667E-4</v>
      </c>
      <c r="L1211" s="5">
        <f>1831 / 86400</f>
        <v>2.119212962962963E-2</v>
      </c>
    </row>
    <row r="1212" spans="1:12" x14ac:dyDescent="0.25">
      <c r="A1212" s="3">
        <v>45709.627141203702</v>
      </c>
      <c r="B1212" t="s">
        <v>126</v>
      </c>
      <c r="C1212" s="3">
        <v>45709.630775462967</v>
      </c>
      <c r="D1212" t="s">
        <v>70</v>
      </c>
      <c r="E1212" s="4">
        <v>1.349</v>
      </c>
      <c r="F1212" s="4">
        <v>409606.86099999998</v>
      </c>
      <c r="G1212" s="4">
        <v>409608.21</v>
      </c>
      <c r="H1212" s="5">
        <f>40 / 86400</f>
        <v>4.6296296296296298E-4</v>
      </c>
      <c r="I1212" t="s">
        <v>201</v>
      </c>
      <c r="J1212" t="s">
        <v>28</v>
      </c>
      <c r="K1212" s="5">
        <f>313 / 86400</f>
        <v>3.6226851851851854E-3</v>
      </c>
      <c r="L1212" s="5">
        <f>23 / 86400</f>
        <v>2.6620370370370372E-4</v>
      </c>
    </row>
    <row r="1213" spans="1:12" x14ac:dyDescent="0.25">
      <c r="A1213" s="3">
        <v>45709.631041666667</v>
      </c>
      <c r="B1213" t="s">
        <v>70</v>
      </c>
      <c r="C1213" s="3">
        <v>45709.631099537037</v>
      </c>
      <c r="D1213" t="s">
        <v>70</v>
      </c>
      <c r="E1213" s="4">
        <v>0</v>
      </c>
      <c r="F1213" s="4">
        <v>409608.21</v>
      </c>
      <c r="G1213" s="4">
        <v>409608.21</v>
      </c>
      <c r="H1213" s="5">
        <f>0 / 86400</f>
        <v>0</v>
      </c>
      <c r="I1213" t="s">
        <v>48</v>
      </c>
      <c r="J1213" t="s">
        <v>48</v>
      </c>
      <c r="K1213" s="5">
        <f>4 / 86400</f>
        <v>4.6296296296296294E-5</v>
      </c>
      <c r="L1213" s="5">
        <f>3 / 86400</f>
        <v>3.4722222222222222E-5</v>
      </c>
    </row>
    <row r="1214" spans="1:12" x14ac:dyDescent="0.25">
      <c r="A1214" s="3">
        <v>45709.63113425926</v>
      </c>
      <c r="B1214" t="s">
        <v>70</v>
      </c>
      <c r="C1214" s="3">
        <v>45709.631168981483</v>
      </c>
      <c r="D1214" t="s">
        <v>70</v>
      </c>
      <c r="E1214" s="4">
        <v>0</v>
      </c>
      <c r="F1214" s="4">
        <v>409608.21</v>
      </c>
      <c r="G1214" s="4">
        <v>409608.21</v>
      </c>
      <c r="H1214" s="5">
        <f>0 / 86400</f>
        <v>0</v>
      </c>
      <c r="I1214" t="s">
        <v>48</v>
      </c>
      <c r="J1214" t="s">
        <v>48</v>
      </c>
      <c r="K1214" s="5">
        <f>3 / 86400</f>
        <v>3.4722222222222222E-5</v>
      </c>
      <c r="L1214" s="5">
        <f>374 / 86400</f>
        <v>4.3287037037037035E-3</v>
      </c>
    </row>
    <row r="1215" spans="1:12" x14ac:dyDescent="0.25">
      <c r="A1215" s="3">
        <v>45709.635497685187</v>
      </c>
      <c r="B1215" t="s">
        <v>70</v>
      </c>
      <c r="C1215" s="3">
        <v>45709.638958333337</v>
      </c>
      <c r="D1215" t="s">
        <v>113</v>
      </c>
      <c r="E1215" s="4">
        <v>1.0169999999999999</v>
      </c>
      <c r="F1215" s="4">
        <v>409608.21</v>
      </c>
      <c r="G1215" s="4">
        <v>409609.22700000001</v>
      </c>
      <c r="H1215" s="5">
        <f>79 / 86400</f>
        <v>9.1435185185185185E-4</v>
      </c>
      <c r="I1215" t="s">
        <v>231</v>
      </c>
      <c r="J1215" t="s">
        <v>55</v>
      </c>
      <c r="K1215" s="5">
        <f>299 / 86400</f>
        <v>3.460648148148148E-3</v>
      </c>
      <c r="L1215" s="5">
        <f>1646 / 86400</f>
        <v>1.9050925925925926E-2</v>
      </c>
    </row>
    <row r="1216" spans="1:12" x14ac:dyDescent="0.25">
      <c r="A1216" s="3">
        <v>45709.658009259263</v>
      </c>
      <c r="B1216" t="s">
        <v>113</v>
      </c>
      <c r="C1216" s="3">
        <v>45709.659178240741</v>
      </c>
      <c r="D1216" t="s">
        <v>407</v>
      </c>
      <c r="E1216" s="4">
        <v>0.09</v>
      </c>
      <c r="F1216" s="4">
        <v>409609.22700000001</v>
      </c>
      <c r="G1216" s="4">
        <v>409609.31699999998</v>
      </c>
      <c r="H1216" s="5">
        <f>20 / 86400</f>
        <v>2.3148148148148149E-4</v>
      </c>
      <c r="I1216" t="s">
        <v>128</v>
      </c>
      <c r="J1216" t="s">
        <v>135</v>
      </c>
      <c r="K1216" s="5">
        <f>101 / 86400</f>
        <v>1.1689814814814816E-3</v>
      </c>
      <c r="L1216" s="5">
        <f>2336 / 86400</f>
        <v>2.7037037037037037E-2</v>
      </c>
    </row>
    <row r="1217" spans="1:12" x14ac:dyDescent="0.25">
      <c r="A1217" s="3">
        <v>45709.686215277776</v>
      </c>
      <c r="B1217" t="s">
        <v>407</v>
      </c>
      <c r="C1217" s="3">
        <v>45709.823935185181</v>
      </c>
      <c r="D1217" t="s">
        <v>356</v>
      </c>
      <c r="E1217" s="4">
        <v>62.6</v>
      </c>
      <c r="F1217" s="4">
        <v>409609.31699999998</v>
      </c>
      <c r="G1217" s="4">
        <v>409671.91700000002</v>
      </c>
      <c r="H1217" s="5">
        <f>3659 / 86400</f>
        <v>4.234953703703704E-2</v>
      </c>
      <c r="I1217" t="s">
        <v>73</v>
      </c>
      <c r="J1217" t="s">
        <v>77</v>
      </c>
      <c r="K1217" s="5">
        <f>11899 / 86400</f>
        <v>0.13771990740740742</v>
      </c>
      <c r="L1217" s="5">
        <f>56 / 86400</f>
        <v>6.4814814814814813E-4</v>
      </c>
    </row>
    <row r="1218" spans="1:12" x14ac:dyDescent="0.25">
      <c r="A1218" s="3">
        <v>45709.824583333335</v>
      </c>
      <c r="B1218" t="s">
        <v>356</v>
      </c>
      <c r="C1218" s="3">
        <v>45709.98332175926</v>
      </c>
      <c r="D1218" t="s">
        <v>197</v>
      </c>
      <c r="E1218" s="4">
        <v>77.567999999999998</v>
      </c>
      <c r="F1218" s="4">
        <v>409671.91700000002</v>
      </c>
      <c r="G1218" s="4">
        <v>409749.48499999999</v>
      </c>
      <c r="H1218" s="5">
        <f>4339 / 86400</f>
        <v>5.0219907407407408E-2</v>
      </c>
      <c r="I1218" t="s">
        <v>130</v>
      </c>
      <c r="J1218" t="s">
        <v>33</v>
      </c>
      <c r="K1218" s="5">
        <f>13714 / 86400</f>
        <v>0.15872685185185184</v>
      </c>
      <c r="L1218" s="5">
        <f>135 / 86400</f>
        <v>1.5625000000000001E-3</v>
      </c>
    </row>
    <row r="1219" spans="1:12" x14ac:dyDescent="0.25">
      <c r="A1219" s="3">
        <v>45709.984884259262</v>
      </c>
      <c r="B1219" t="s">
        <v>197</v>
      </c>
      <c r="C1219" s="3">
        <v>45709.985659722224</v>
      </c>
      <c r="D1219" t="s">
        <v>86</v>
      </c>
      <c r="E1219" s="4">
        <v>0.45900000000000002</v>
      </c>
      <c r="F1219" s="4">
        <v>409749.48499999999</v>
      </c>
      <c r="G1219" s="4">
        <v>409749.94400000002</v>
      </c>
      <c r="H1219" s="5">
        <f>0 / 86400</f>
        <v>0</v>
      </c>
      <c r="I1219" t="s">
        <v>231</v>
      </c>
      <c r="J1219" t="s">
        <v>66</v>
      </c>
      <c r="K1219" s="5">
        <f>67 / 86400</f>
        <v>7.7546296296296293E-4</v>
      </c>
      <c r="L1219" s="5">
        <f>952 / 86400</f>
        <v>1.1018518518518518E-2</v>
      </c>
    </row>
    <row r="1220" spans="1:12" x14ac:dyDescent="0.25">
      <c r="A1220" s="3">
        <v>45709.996678240743</v>
      </c>
      <c r="B1220" t="s">
        <v>86</v>
      </c>
      <c r="C1220" s="3">
        <v>45709.99998842593</v>
      </c>
      <c r="D1220" t="s">
        <v>75</v>
      </c>
      <c r="E1220" s="4">
        <v>3.3439999999999999</v>
      </c>
      <c r="F1220" s="4">
        <v>409749.94400000002</v>
      </c>
      <c r="G1220" s="4">
        <v>409753.288</v>
      </c>
      <c r="H1220" s="5">
        <f>20 / 86400</f>
        <v>2.3148148148148149E-4</v>
      </c>
      <c r="I1220" t="s">
        <v>25</v>
      </c>
      <c r="J1220" t="s">
        <v>204</v>
      </c>
      <c r="K1220" s="5">
        <f>286 / 86400</f>
        <v>3.3101851851851851E-3</v>
      </c>
      <c r="L1220" s="5">
        <f>0 / 86400</f>
        <v>0</v>
      </c>
    </row>
    <row r="1221" spans="1:12" x14ac:dyDescent="0.25">
      <c r="A1221" s="12"/>
      <c r="B1221" s="12"/>
      <c r="C1221" s="12"/>
      <c r="D1221" s="12"/>
      <c r="E1221" s="12"/>
      <c r="F1221" s="12"/>
      <c r="G1221" s="12"/>
      <c r="H1221" s="12"/>
      <c r="I1221" s="12"/>
      <c r="J1221" s="12"/>
    </row>
    <row r="1222" spans="1:12" x14ac:dyDescent="0.25">
      <c r="A1222" s="12"/>
      <c r="B1222" s="12"/>
      <c r="C1222" s="12"/>
      <c r="D1222" s="12"/>
      <c r="E1222" s="12"/>
      <c r="F1222" s="12"/>
      <c r="G1222" s="12"/>
      <c r="H1222" s="12"/>
      <c r="I1222" s="12"/>
      <c r="J1222" s="12"/>
    </row>
    <row r="1223" spans="1:12" s="10" customFormat="1" ht="20.100000000000001" customHeight="1" x14ac:dyDescent="0.35">
      <c r="A1223" s="15" t="s">
        <v>508</v>
      </c>
      <c r="B1223" s="15"/>
      <c r="C1223" s="15"/>
      <c r="D1223" s="15"/>
      <c r="E1223" s="15"/>
      <c r="F1223" s="15"/>
      <c r="G1223" s="15"/>
      <c r="H1223" s="15"/>
      <c r="I1223" s="15"/>
      <c r="J1223" s="15"/>
    </row>
    <row r="1224" spans="1:12" x14ac:dyDescent="0.25">
      <c r="A1224" s="12"/>
      <c r="B1224" s="12"/>
      <c r="C1224" s="12"/>
      <c r="D1224" s="12"/>
      <c r="E1224" s="12"/>
      <c r="F1224" s="12"/>
      <c r="G1224" s="12"/>
      <c r="H1224" s="12"/>
      <c r="I1224" s="12"/>
      <c r="J1224" s="12"/>
    </row>
    <row r="1225" spans="1:12" ht="30" x14ac:dyDescent="0.25">
      <c r="A1225" s="2" t="s">
        <v>6</v>
      </c>
      <c r="B1225" s="2" t="s">
        <v>7</v>
      </c>
      <c r="C1225" s="2" t="s">
        <v>8</v>
      </c>
      <c r="D1225" s="2" t="s">
        <v>9</v>
      </c>
      <c r="E1225" s="2" t="s">
        <v>10</v>
      </c>
      <c r="F1225" s="2" t="s">
        <v>11</v>
      </c>
      <c r="G1225" s="2" t="s">
        <v>12</v>
      </c>
      <c r="H1225" s="2" t="s">
        <v>13</v>
      </c>
      <c r="I1225" s="2" t="s">
        <v>14</v>
      </c>
      <c r="J1225" s="2" t="s">
        <v>15</v>
      </c>
      <c r="K1225" s="2" t="s">
        <v>16</v>
      </c>
      <c r="L1225" s="2" t="s">
        <v>17</v>
      </c>
    </row>
    <row r="1226" spans="1:12" x14ac:dyDescent="0.25">
      <c r="A1226" s="3">
        <v>45709.010092592594</v>
      </c>
      <c r="B1226" t="s">
        <v>106</v>
      </c>
      <c r="C1226" s="3">
        <v>45709.058819444443</v>
      </c>
      <c r="D1226" t="s">
        <v>86</v>
      </c>
      <c r="E1226" s="4">
        <v>31.103999999999999</v>
      </c>
      <c r="F1226" s="4">
        <v>552108.84100000001</v>
      </c>
      <c r="G1226" s="4">
        <v>552139.94499999995</v>
      </c>
      <c r="H1226" s="5">
        <f>659 / 86400</f>
        <v>7.6273148148148151E-3</v>
      </c>
      <c r="I1226" t="s">
        <v>93</v>
      </c>
      <c r="J1226" t="s">
        <v>150</v>
      </c>
      <c r="K1226" s="5">
        <f>4210 / 86400</f>
        <v>4.8726851851851855E-2</v>
      </c>
      <c r="L1226" s="5">
        <f>1768 / 86400</f>
        <v>2.0462962962962964E-2</v>
      </c>
    </row>
    <row r="1227" spans="1:12" x14ac:dyDescent="0.25">
      <c r="A1227" s="3">
        <v>45709.069189814814</v>
      </c>
      <c r="B1227" t="s">
        <v>86</v>
      </c>
      <c r="C1227" s="3">
        <v>45709.078275462962</v>
      </c>
      <c r="D1227" t="s">
        <v>341</v>
      </c>
      <c r="E1227" s="4">
        <v>4.6349999999999998</v>
      </c>
      <c r="F1227" s="4">
        <v>552139.94499999995</v>
      </c>
      <c r="G1227" s="4">
        <v>552144.57999999996</v>
      </c>
      <c r="H1227" s="5">
        <f>160 / 86400</f>
        <v>1.8518518518518519E-3</v>
      </c>
      <c r="I1227" t="s">
        <v>247</v>
      </c>
      <c r="J1227" t="s">
        <v>136</v>
      </c>
      <c r="K1227" s="5">
        <f>785 / 86400</f>
        <v>9.0856481481481483E-3</v>
      </c>
      <c r="L1227" s="5">
        <f>35290 / 86400</f>
        <v>0.40844907407407405</v>
      </c>
    </row>
    <row r="1228" spans="1:12" x14ac:dyDescent="0.25">
      <c r="A1228" s="3">
        <v>45709.486724537041</v>
      </c>
      <c r="B1228" t="s">
        <v>341</v>
      </c>
      <c r="C1228" s="3">
        <v>45709.73918981482</v>
      </c>
      <c r="D1228" t="s">
        <v>431</v>
      </c>
      <c r="E1228" s="4">
        <v>89.411000000000001</v>
      </c>
      <c r="F1228" s="4">
        <v>552144.57999999996</v>
      </c>
      <c r="G1228" s="4">
        <v>552233.99100000004</v>
      </c>
      <c r="H1228" s="5">
        <f>7240 / 86400</f>
        <v>8.3796296296296299E-2</v>
      </c>
      <c r="I1228" t="s">
        <v>108</v>
      </c>
      <c r="J1228" t="s">
        <v>41</v>
      </c>
      <c r="K1228" s="5">
        <f>21812 / 86400</f>
        <v>0.25245370370370368</v>
      </c>
      <c r="L1228" s="5">
        <f>3836 / 86400</f>
        <v>4.4398148148148145E-2</v>
      </c>
    </row>
    <row r="1229" spans="1:12" x14ac:dyDescent="0.25">
      <c r="A1229" s="3">
        <v>45709.783587962964</v>
      </c>
      <c r="B1229" t="s">
        <v>431</v>
      </c>
      <c r="C1229" s="3">
        <v>45709.99998842593</v>
      </c>
      <c r="D1229" t="s">
        <v>107</v>
      </c>
      <c r="E1229" s="4">
        <v>78.739000000000004</v>
      </c>
      <c r="F1229" s="4">
        <v>552233.99100000004</v>
      </c>
      <c r="G1229" s="4">
        <v>552312.73</v>
      </c>
      <c r="H1229" s="5">
        <f>7599 / 86400</f>
        <v>8.7951388888888885E-2</v>
      </c>
      <c r="I1229" t="s">
        <v>45</v>
      </c>
      <c r="J1229" t="s">
        <v>41</v>
      </c>
      <c r="K1229" s="5">
        <f>18697 / 86400</f>
        <v>0.21640046296296298</v>
      </c>
      <c r="L1229" s="5">
        <f>0 / 86400</f>
        <v>0</v>
      </c>
    </row>
    <row r="1230" spans="1:12" x14ac:dyDescent="0.25">
      <c r="A1230" s="12"/>
      <c r="B1230" s="12"/>
      <c r="C1230" s="12"/>
      <c r="D1230" s="12"/>
      <c r="E1230" s="12"/>
      <c r="F1230" s="12"/>
      <c r="G1230" s="12"/>
      <c r="H1230" s="12"/>
      <c r="I1230" s="12"/>
      <c r="J1230" s="12"/>
    </row>
    <row r="1231" spans="1:12" x14ac:dyDescent="0.25">
      <c r="A1231" s="12"/>
      <c r="B1231" s="12"/>
      <c r="C1231" s="12"/>
      <c r="D1231" s="12"/>
      <c r="E1231" s="12"/>
      <c r="F1231" s="12"/>
      <c r="G1231" s="12"/>
      <c r="H1231" s="12"/>
      <c r="I1231" s="12"/>
      <c r="J1231" s="12"/>
    </row>
    <row r="1232" spans="1:12" s="10" customFormat="1" ht="20.100000000000001" customHeight="1" x14ac:dyDescent="0.35">
      <c r="A1232" s="15" t="s">
        <v>509</v>
      </c>
      <c r="B1232" s="15"/>
      <c r="C1232" s="15"/>
      <c r="D1232" s="15"/>
      <c r="E1232" s="15"/>
      <c r="F1232" s="15"/>
      <c r="G1232" s="15"/>
      <c r="H1232" s="15"/>
      <c r="I1232" s="15"/>
      <c r="J1232" s="15"/>
    </row>
    <row r="1233" spans="1:12" x14ac:dyDescent="0.25">
      <c r="A1233" s="12"/>
      <c r="B1233" s="12"/>
      <c r="C1233" s="12"/>
      <c r="D1233" s="12"/>
      <c r="E1233" s="12"/>
      <c r="F1233" s="12"/>
      <c r="G1233" s="12"/>
      <c r="H1233" s="12"/>
      <c r="I1233" s="12"/>
      <c r="J1233" s="12"/>
    </row>
    <row r="1234" spans="1:12" ht="30" x14ac:dyDescent="0.25">
      <c r="A1234" s="2" t="s">
        <v>6</v>
      </c>
      <c r="B1234" s="2" t="s">
        <v>7</v>
      </c>
      <c r="C1234" s="2" t="s">
        <v>8</v>
      </c>
      <c r="D1234" s="2" t="s">
        <v>9</v>
      </c>
      <c r="E1234" s="2" t="s">
        <v>10</v>
      </c>
      <c r="F1234" s="2" t="s">
        <v>11</v>
      </c>
      <c r="G1234" s="2" t="s">
        <v>12</v>
      </c>
      <c r="H1234" s="2" t="s">
        <v>13</v>
      </c>
      <c r="I1234" s="2" t="s">
        <v>14</v>
      </c>
      <c r="J1234" s="2" t="s">
        <v>15</v>
      </c>
      <c r="K1234" s="2" t="s">
        <v>16</v>
      </c>
      <c r="L1234" s="2" t="s">
        <v>17</v>
      </c>
    </row>
    <row r="1235" spans="1:12" x14ac:dyDescent="0.25">
      <c r="A1235" s="3">
        <v>45709.27652777778</v>
      </c>
      <c r="B1235" t="s">
        <v>24</v>
      </c>
      <c r="C1235" s="3">
        <v>45709.276701388888</v>
      </c>
      <c r="D1235" t="s">
        <v>24</v>
      </c>
      <c r="E1235" s="4">
        <v>0</v>
      </c>
      <c r="F1235" s="4">
        <v>61285.79</v>
      </c>
      <c r="G1235" s="4">
        <v>61285.79</v>
      </c>
      <c r="H1235" s="5">
        <f>0 / 86400</f>
        <v>0</v>
      </c>
      <c r="I1235" t="s">
        <v>48</v>
      </c>
      <c r="J1235" t="s">
        <v>48</v>
      </c>
      <c r="K1235" s="5">
        <f>15 / 86400</f>
        <v>1.7361111111111112E-4</v>
      </c>
      <c r="L1235" s="5">
        <f>23918 / 86400</f>
        <v>0.27682870370370372</v>
      </c>
    </row>
    <row r="1236" spans="1:12" x14ac:dyDescent="0.25">
      <c r="A1236" s="3">
        <v>45709.277002314819</v>
      </c>
      <c r="B1236" t="s">
        <v>24</v>
      </c>
      <c r="C1236" s="3">
        <v>45709.27716435185</v>
      </c>
      <c r="D1236" t="s">
        <v>24</v>
      </c>
      <c r="E1236" s="4">
        <v>0</v>
      </c>
      <c r="F1236" s="4">
        <v>61285.79</v>
      </c>
      <c r="G1236" s="4">
        <v>61285.79</v>
      </c>
      <c r="H1236" s="5">
        <f>0 / 86400</f>
        <v>0</v>
      </c>
      <c r="I1236" t="s">
        <v>48</v>
      </c>
      <c r="J1236" t="s">
        <v>48</v>
      </c>
      <c r="K1236" s="5">
        <f>13 / 86400</f>
        <v>1.5046296296296297E-4</v>
      </c>
      <c r="L1236" s="5">
        <f>65 / 86400</f>
        <v>7.5231481481481482E-4</v>
      </c>
    </row>
    <row r="1237" spans="1:12" x14ac:dyDescent="0.25">
      <c r="A1237" s="3">
        <v>45709.277916666666</v>
      </c>
      <c r="B1237" t="s">
        <v>24</v>
      </c>
      <c r="C1237" s="3">
        <v>45709.278101851851</v>
      </c>
      <c r="D1237" t="s">
        <v>24</v>
      </c>
      <c r="E1237" s="4">
        <v>0</v>
      </c>
      <c r="F1237" s="4">
        <v>61285.79</v>
      </c>
      <c r="G1237" s="4">
        <v>61285.79</v>
      </c>
      <c r="H1237" s="5">
        <f>0 / 86400</f>
        <v>0</v>
      </c>
      <c r="I1237" t="s">
        <v>48</v>
      </c>
      <c r="J1237" t="s">
        <v>48</v>
      </c>
      <c r="K1237" s="5">
        <f>15 / 86400</f>
        <v>1.7361111111111112E-4</v>
      </c>
      <c r="L1237" s="5">
        <f>85 / 86400</f>
        <v>9.837962962962962E-4</v>
      </c>
    </row>
    <row r="1238" spans="1:12" x14ac:dyDescent="0.25">
      <c r="A1238" s="3">
        <v>45709.279085648144</v>
      </c>
      <c r="B1238" t="s">
        <v>24</v>
      </c>
      <c r="C1238" s="3">
        <v>45709.279537037037</v>
      </c>
      <c r="D1238" t="s">
        <v>24</v>
      </c>
      <c r="E1238" s="4">
        <v>0</v>
      </c>
      <c r="F1238" s="4">
        <v>61285.79</v>
      </c>
      <c r="G1238" s="4">
        <v>61285.79</v>
      </c>
      <c r="H1238" s="5">
        <f>19 / 86400</f>
        <v>2.199074074074074E-4</v>
      </c>
      <c r="I1238" t="s">
        <v>48</v>
      </c>
      <c r="J1238" t="s">
        <v>48</v>
      </c>
      <c r="K1238" s="5">
        <f>38 / 86400</f>
        <v>4.3981481481481481E-4</v>
      </c>
      <c r="L1238" s="5">
        <f>1 / 86400</f>
        <v>1.1574074074074073E-5</v>
      </c>
    </row>
    <row r="1239" spans="1:12" x14ac:dyDescent="0.25">
      <c r="A1239" s="3">
        <v>45709.279548611114</v>
      </c>
      <c r="B1239" t="s">
        <v>24</v>
      </c>
      <c r="C1239" s="3">
        <v>45709.279594907406</v>
      </c>
      <c r="D1239" t="s">
        <v>24</v>
      </c>
      <c r="E1239" s="4">
        <v>0</v>
      </c>
      <c r="F1239" s="4">
        <v>61285.79</v>
      </c>
      <c r="G1239" s="4">
        <v>61285.79</v>
      </c>
      <c r="H1239" s="5">
        <f>0 / 86400</f>
        <v>0</v>
      </c>
      <c r="I1239" t="s">
        <v>48</v>
      </c>
      <c r="J1239" t="s">
        <v>48</v>
      </c>
      <c r="K1239" s="5">
        <f>3 / 86400</f>
        <v>3.4722222222222222E-5</v>
      </c>
      <c r="L1239" s="5">
        <f>242 / 86400</f>
        <v>2.8009259259259259E-3</v>
      </c>
    </row>
    <row r="1240" spans="1:12" x14ac:dyDescent="0.25">
      <c r="A1240" s="3">
        <v>45709.282395833332</v>
      </c>
      <c r="B1240" t="s">
        <v>24</v>
      </c>
      <c r="C1240" s="3">
        <v>45709.293761574074</v>
      </c>
      <c r="D1240" t="s">
        <v>24</v>
      </c>
      <c r="E1240" s="4">
        <v>5.63</v>
      </c>
      <c r="F1240" s="4">
        <v>61285.79</v>
      </c>
      <c r="G1240" s="4">
        <v>61291.42</v>
      </c>
      <c r="H1240" s="5">
        <f>399 / 86400</f>
        <v>4.6180555555555558E-3</v>
      </c>
      <c r="I1240" t="s">
        <v>91</v>
      </c>
      <c r="J1240" t="s">
        <v>136</v>
      </c>
      <c r="K1240" s="5">
        <f>981 / 86400</f>
        <v>1.1354166666666667E-2</v>
      </c>
      <c r="L1240" s="5">
        <f>203 / 86400</f>
        <v>2.3495370370370371E-3</v>
      </c>
    </row>
    <row r="1241" spans="1:12" x14ac:dyDescent="0.25">
      <c r="A1241" s="3">
        <v>45709.296111111107</v>
      </c>
      <c r="B1241" t="s">
        <v>32</v>
      </c>
      <c r="C1241" s="3">
        <v>45709.296435185184</v>
      </c>
      <c r="D1241" t="s">
        <v>32</v>
      </c>
      <c r="E1241" s="4">
        <v>0</v>
      </c>
      <c r="F1241" s="4">
        <v>61291.42</v>
      </c>
      <c r="G1241" s="4">
        <v>61291.42</v>
      </c>
      <c r="H1241" s="5">
        <f>20 / 86400</f>
        <v>2.3148148148148149E-4</v>
      </c>
      <c r="I1241" t="s">
        <v>48</v>
      </c>
      <c r="J1241" t="s">
        <v>48</v>
      </c>
      <c r="K1241" s="5">
        <f>28 / 86400</f>
        <v>3.2407407407407406E-4</v>
      </c>
      <c r="L1241" s="5">
        <f>222 / 86400</f>
        <v>2.5694444444444445E-3</v>
      </c>
    </row>
    <row r="1242" spans="1:12" x14ac:dyDescent="0.25">
      <c r="A1242" s="3">
        <v>45709.299004629633</v>
      </c>
      <c r="B1242" t="s">
        <v>32</v>
      </c>
      <c r="C1242" s="3">
        <v>45709.32534722222</v>
      </c>
      <c r="D1242" t="s">
        <v>448</v>
      </c>
      <c r="E1242" s="4">
        <v>-61285.760000000002</v>
      </c>
      <c r="F1242" s="4">
        <v>61291.42</v>
      </c>
      <c r="G1242" s="4">
        <v>5.66</v>
      </c>
      <c r="H1242" s="5">
        <f>320 / 86400</f>
        <v>3.7037037037037038E-3</v>
      </c>
      <c r="I1242" t="s">
        <v>196</v>
      </c>
      <c r="J1242" t="s">
        <v>449</v>
      </c>
      <c r="K1242" s="5">
        <f>2276 / 86400</f>
        <v>2.6342592592592591E-2</v>
      </c>
      <c r="L1242" s="5">
        <f>489 / 86400</f>
        <v>5.6597222222222222E-3</v>
      </c>
    </row>
    <row r="1243" spans="1:12" x14ac:dyDescent="0.25">
      <c r="A1243" s="3">
        <v>45709.331006944441</v>
      </c>
      <c r="B1243" t="s">
        <v>448</v>
      </c>
      <c r="C1243" s="3">
        <v>45709.331041666665</v>
      </c>
      <c r="D1243" t="s">
        <v>448</v>
      </c>
      <c r="E1243" s="4">
        <v>0</v>
      </c>
      <c r="F1243" s="4">
        <v>5.66</v>
      </c>
      <c r="G1243" s="4">
        <v>5.66</v>
      </c>
      <c r="H1243" s="5">
        <f>0 / 86400</f>
        <v>0</v>
      </c>
      <c r="I1243" t="s">
        <v>48</v>
      </c>
      <c r="J1243" t="s">
        <v>48</v>
      </c>
      <c r="K1243" s="5">
        <f>3 / 86400</f>
        <v>3.4722222222222222E-5</v>
      </c>
      <c r="L1243" s="5">
        <f>1111 / 86400</f>
        <v>1.2858796296296297E-2</v>
      </c>
    </row>
    <row r="1244" spans="1:12" x14ac:dyDescent="0.25">
      <c r="A1244" s="3">
        <v>45709.343900462962</v>
      </c>
      <c r="B1244" t="s">
        <v>448</v>
      </c>
      <c r="C1244" s="3">
        <v>45709.3441087963</v>
      </c>
      <c r="D1244" t="s">
        <v>448</v>
      </c>
      <c r="E1244" s="4">
        <v>0</v>
      </c>
      <c r="F1244" s="4">
        <v>5.66</v>
      </c>
      <c r="G1244" s="4">
        <v>5.66</v>
      </c>
      <c r="H1244" s="5">
        <f>0 / 86400</f>
        <v>0</v>
      </c>
      <c r="I1244" t="s">
        <v>48</v>
      </c>
      <c r="J1244" t="s">
        <v>48</v>
      </c>
      <c r="K1244" s="5">
        <f>18 / 86400</f>
        <v>2.0833333333333335E-4</v>
      </c>
      <c r="L1244" s="5">
        <f>1 / 86400</f>
        <v>1.1574074074074073E-5</v>
      </c>
    </row>
    <row r="1245" spans="1:12" x14ac:dyDescent="0.25">
      <c r="A1245" s="3">
        <v>45709.34412037037</v>
      </c>
      <c r="B1245" t="s">
        <v>448</v>
      </c>
      <c r="C1245" s="3">
        <v>45709.351134259261</v>
      </c>
      <c r="D1245" t="s">
        <v>448</v>
      </c>
      <c r="E1245" s="4">
        <v>0</v>
      </c>
      <c r="F1245" s="4">
        <v>5.66</v>
      </c>
      <c r="G1245" s="4">
        <v>5.66</v>
      </c>
      <c r="H1245" s="5">
        <f>599 / 86400</f>
        <v>6.9328703703703705E-3</v>
      </c>
      <c r="I1245" t="s">
        <v>48</v>
      </c>
      <c r="J1245" t="s">
        <v>48</v>
      </c>
      <c r="K1245" s="5">
        <f>605 / 86400</f>
        <v>7.0023148148148145E-3</v>
      </c>
      <c r="L1245" s="5">
        <f>5 / 86400</f>
        <v>5.7870370370370373E-5</v>
      </c>
    </row>
    <row r="1246" spans="1:12" x14ac:dyDescent="0.25">
      <c r="A1246" s="3">
        <v>45709.35119212963</v>
      </c>
      <c r="B1246" t="s">
        <v>448</v>
      </c>
      <c r="C1246" s="3">
        <v>45709.361979166672</v>
      </c>
      <c r="D1246" t="s">
        <v>448</v>
      </c>
      <c r="E1246" s="4">
        <v>0</v>
      </c>
      <c r="F1246" s="4">
        <v>5.66</v>
      </c>
      <c r="G1246" s="4">
        <v>5.66</v>
      </c>
      <c r="H1246" s="5">
        <f>929 / 86400</f>
        <v>1.0752314814814815E-2</v>
      </c>
      <c r="I1246" t="s">
        <v>48</v>
      </c>
      <c r="J1246" t="s">
        <v>48</v>
      </c>
      <c r="K1246" s="5">
        <f>932 / 86400</f>
        <v>1.0787037037037038E-2</v>
      </c>
      <c r="L1246" s="5">
        <f>2 / 86400</f>
        <v>2.3148148148148147E-5</v>
      </c>
    </row>
    <row r="1247" spans="1:12" x14ac:dyDescent="0.25">
      <c r="A1247" s="3">
        <v>45709.362002314811</v>
      </c>
      <c r="B1247" t="s">
        <v>448</v>
      </c>
      <c r="C1247" s="3">
        <v>45709.363715277781</v>
      </c>
      <c r="D1247" t="s">
        <v>448</v>
      </c>
      <c r="E1247" s="4">
        <v>0</v>
      </c>
      <c r="F1247" s="4">
        <v>5.66</v>
      </c>
      <c r="G1247" s="4">
        <v>5.66</v>
      </c>
      <c r="H1247" s="5">
        <f>135 / 86400</f>
        <v>1.5625000000000001E-3</v>
      </c>
      <c r="I1247" t="s">
        <v>48</v>
      </c>
      <c r="J1247" t="s">
        <v>48</v>
      </c>
      <c r="K1247" s="5">
        <f>148 / 86400</f>
        <v>1.712962962962963E-3</v>
      </c>
      <c r="L1247" s="5">
        <f>431 / 86400</f>
        <v>4.9884259259259257E-3</v>
      </c>
    </row>
    <row r="1248" spans="1:12" x14ac:dyDescent="0.25">
      <c r="A1248" s="3">
        <v>45709.368703703702</v>
      </c>
      <c r="B1248" t="s">
        <v>448</v>
      </c>
      <c r="C1248" s="3">
        <v>45709.624965277777</v>
      </c>
      <c r="D1248" t="s">
        <v>149</v>
      </c>
      <c r="E1248" s="4">
        <v>488.31</v>
      </c>
      <c r="F1248" s="4">
        <v>5.66</v>
      </c>
      <c r="G1248" s="4">
        <v>493.97</v>
      </c>
      <c r="H1248" s="5">
        <f>8019 / 86400</f>
        <v>9.2812500000000006E-2</v>
      </c>
      <c r="I1248" t="s">
        <v>45</v>
      </c>
      <c r="J1248" t="s">
        <v>56</v>
      </c>
      <c r="K1248" s="5">
        <f>22141 / 86400</f>
        <v>0.25626157407407407</v>
      </c>
      <c r="L1248" s="5">
        <f>2907 / 86400</f>
        <v>3.3645833333333333E-2</v>
      </c>
    </row>
    <row r="1249" spans="1:12" x14ac:dyDescent="0.25">
      <c r="A1249" s="3">
        <v>45709.65861111111</v>
      </c>
      <c r="B1249" t="s">
        <v>149</v>
      </c>
      <c r="C1249" s="3">
        <v>45709.800011574072</v>
      </c>
      <c r="D1249" t="s">
        <v>24</v>
      </c>
      <c r="E1249" s="4">
        <v>364.78</v>
      </c>
      <c r="F1249" s="4">
        <v>493.97</v>
      </c>
      <c r="G1249" s="4">
        <v>858.75</v>
      </c>
      <c r="H1249" s="5">
        <f>3748 / 86400</f>
        <v>4.3379629629629629E-2</v>
      </c>
      <c r="I1249" t="s">
        <v>109</v>
      </c>
      <c r="J1249" t="s">
        <v>450</v>
      </c>
      <c r="K1249" s="5">
        <f>12217 / 86400</f>
        <v>0.14140046296296296</v>
      </c>
      <c r="L1249" s="5">
        <f>2 / 86400</f>
        <v>2.3148148148148147E-5</v>
      </c>
    </row>
    <row r="1250" spans="1:12" x14ac:dyDescent="0.25">
      <c r="A1250" s="3">
        <v>45709.800034722226</v>
      </c>
      <c r="B1250" t="s">
        <v>24</v>
      </c>
      <c r="C1250" s="3">
        <v>45709.800277777773</v>
      </c>
      <c r="D1250" t="s">
        <v>24</v>
      </c>
      <c r="E1250" s="4">
        <v>0</v>
      </c>
      <c r="F1250" s="4">
        <v>858.75</v>
      </c>
      <c r="G1250" s="4">
        <v>858.75</v>
      </c>
      <c r="H1250" s="5">
        <f>1 / 86400</f>
        <v>1.1574074074074073E-5</v>
      </c>
      <c r="I1250" t="s">
        <v>48</v>
      </c>
      <c r="J1250" t="s">
        <v>48</v>
      </c>
      <c r="K1250" s="5">
        <f>21 / 86400</f>
        <v>2.4305555555555555E-4</v>
      </c>
      <c r="L1250" s="5">
        <f>5 / 86400</f>
        <v>5.7870370370370373E-5</v>
      </c>
    </row>
    <row r="1251" spans="1:12" x14ac:dyDescent="0.25">
      <c r="A1251" s="3">
        <v>45709.800335648149</v>
      </c>
      <c r="B1251" t="s">
        <v>24</v>
      </c>
      <c r="C1251" s="3">
        <v>45709.800370370373</v>
      </c>
      <c r="D1251" t="s">
        <v>24</v>
      </c>
      <c r="E1251" s="4">
        <v>0</v>
      </c>
      <c r="F1251" s="4">
        <v>858.75</v>
      </c>
      <c r="G1251" s="4">
        <v>858.75</v>
      </c>
      <c r="H1251" s="5">
        <f>0 / 86400</f>
        <v>0</v>
      </c>
      <c r="I1251" t="s">
        <v>48</v>
      </c>
      <c r="J1251" t="s">
        <v>48</v>
      </c>
      <c r="K1251" s="5">
        <f>3 / 86400</f>
        <v>3.4722222222222222E-5</v>
      </c>
      <c r="L1251" s="5">
        <f>17247 / 86400</f>
        <v>0.19961805555555556</v>
      </c>
    </row>
    <row r="1252" spans="1:12" x14ac:dyDescent="0.25">
      <c r="A1252" s="12"/>
      <c r="B1252" s="12"/>
      <c r="C1252" s="12"/>
      <c r="D1252" s="12"/>
      <c r="E1252" s="12"/>
      <c r="F1252" s="12"/>
      <c r="G1252" s="12"/>
      <c r="H1252" s="12"/>
      <c r="I1252" s="12"/>
      <c r="J1252" s="12"/>
    </row>
    <row r="1253" spans="1:12" x14ac:dyDescent="0.25">
      <c r="A1253" s="12"/>
      <c r="B1253" s="12"/>
      <c r="C1253" s="12"/>
      <c r="D1253" s="12"/>
      <c r="E1253" s="12"/>
      <c r="F1253" s="12"/>
      <c r="G1253" s="12"/>
      <c r="H1253" s="12"/>
      <c r="I1253" s="12"/>
      <c r="J1253" s="12"/>
    </row>
    <row r="1254" spans="1:12" s="10" customFormat="1" ht="20.100000000000001" customHeight="1" x14ac:dyDescent="0.35">
      <c r="A1254" s="15" t="s">
        <v>510</v>
      </c>
      <c r="B1254" s="15"/>
      <c r="C1254" s="15"/>
      <c r="D1254" s="15"/>
      <c r="E1254" s="15"/>
      <c r="F1254" s="15"/>
      <c r="G1254" s="15"/>
      <c r="H1254" s="15"/>
      <c r="I1254" s="15"/>
      <c r="J1254" s="15"/>
    </row>
    <row r="1255" spans="1:12" x14ac:dyDescent="0.25">
      <c r="A1255" s="12"/>
      <c r="B1255" s="12"/>
      <c r="C1255" s="12"/>
      <c r="D1255" s="12"/>
      <c r="E1255" s="12"/>
      <c r="F1255" s="12"/>
      <c r="G1255" s="12"/>
      <c r="H1255" s="12"/>
      <c r="I1255" s="12"/>
      <c r="J1255" s="12"/>
    </row>
    <row r="1256" spans="1:12" ht="30" x14ac:dyDescent="0.25">
      <c r="A1256" s="2" t="s">
        <v>6</v>
      </c>
      <c r="B1256" s="2" t="s">
        <v>7</v>
      </c>
      <c r="C1256" s="2" t="s">
        <v>8</v>
      </c>
      <c r="D1256" s="2" t="s">
        <v>9</v>
      </c>
      <c r="E1256" s="2" t="s">
        <v>10</v>
      </c>
      <c r="F1256" s="2" t="s">
        <v>11</v>
      </c>
      <c r="G1256" s="2" t="s">
        <v>12</v>
      </c>
      <c r="H1256" s="2" t="s">
        <v>13</v>
      </c>
      <c r="I1256" s="2" t="s">
        <v>14</v>
      </c>
      <c r="J1256" s="2" t="s">
        <v>15</v>
      </c>
      <c r="K1256" s="2" t="s">
        <v>16</v>
      </c>
      <c r="L1256" s="2" t="s">
        <v>17</v>
      </c>
    </row>
    <row r="1257" spans="1:12" x14ac:dyDescent="0.25">
      <c r="A1257" s="3">
        <v>45709</v>
      </c>
      <c r="B1257" t="s">
        <v>75</v>
      </c>
      <c r="C1257" s="3">
        <v>45709.037870370375</v>
      </c>
      <c r="D1257" t="s">
        <v>352</v>
      </c>
      <c r="E1257" s="4">
        <v>26.591000000000001</v>
      </c>
      <c r="F1257" s="4">
        <v>61502.52</v>
      </c>
      <c r="G1257" s="4">
        <v>61529.110999999997</v>
      </c>
      <c r="H1257" s="5">
        <f>520 / 86400</f>
        <v>6.0185185185185185E-3</v>
      </c>
      <c r="I1257" t="s">
        <v>93</v>
      </c>
      <c r="J1257" t="s">
        <v>171</v>
      </c>
      <c r="K1257" s="5">
        <f>3272 / 86400</f>
        <v>3.7870370370370374E-2</v>
      </c>
      <c r="L1257" s="5">
        <f>558 / 86400</f>
        <v>6.4583333333333333E-3</v>
      </c>
    </row>
    <row r="1258" spans="1:12" x14ac:dyDescent="0.25">
      <c r="A1258" s="3">
        <v>45709.044328703705</v>
      </c>
      <c r="B1258" t="s">
        <v>352</v>
      </c>
      <c r="C1258" s="3">
        <v>45709.044479166667</v>
      </c>
      <c r="D1258" t="s">
        <v>352</v>
      </c>
      <c r="E1258" s="4">
        <v>8.0000000000000002E-3</v>
      </c>
      <c r="F1258" s="4">
        <v>61529.110999999997</v>
      </c>
      <c r="G1258" s="4">
        <v>61529.118999999999</v>
      </c>
      <c r="H1258" s="5">
        <f>0 / 86400</f>
        <v>0</v>
      </c>
      <c r="I1258" t="s">
        <v>121</v>
      </c>
      <c r="J1258" t="s">
        <v>122</v>
      </c>
      <c r="K1258" s="5">
        <f>12 / 86400</f>
        <v>1.3888888888888889E-4</v>
      </c>
      <c r="L1258" s="5">
        <f>282 / 86400</f>
        <v>3.2638888888888891E-3</v>
      </c>
    </row>
    <row r="1259" spans="1:12" x14ac:dyDescent="0.25">
      <c r="A1259" s="3">
        <v>45709.047743055555</v>
      </c>
      <c r="B1259" t="s">
        <v>431</v>
      </c>
      <c r="C1259" s="3">
        <v>45709.050104166672</v>
      </c>
      <c r="D1259" t="s">
        <v>421</v>
      </c>
      <c r="E1259" s="4">
        <v>0.31</v>
      </c>
      <c r="F1259" s="4">
        <v>61529.118999999999</v>
      </c>
      <c r="G1259" s="4">
        <v>61529.428999999996</v>
      </c>
      <c r="H1259" s="5">
        <f>80 / 86400</f>
        <v>9.2592592592592596E-4</v>
      </c>
      <c r="I1259" t="s">
        <v>124</v>
      </c>
      <c r="J1259" t="s">
        <v>121</v>
      </c>
      <c r="K1259" s="5">
        <f>204 / 86400</f>
        <v>2.3611111111111111E-3</v>
      </c>
      <c r="L1259" s="5">
        <f>13480 / 86400</f>
        <v>0.15601851851851853</v>
      </c>
    </row>
    <row r="1260" spans="1:12" x14ac:dyDescent="0.25">
      <c r="A1260" s="3">
        <v>45709.20612268518</v>
      </c>
      <c r="B1260" t="s">
        <v>421</v>
      </c>
      <c r="C1260" s="3">
        <v>45709.209317129629</v>
      </c>
      <c r="D1260" t="s">
        <v>350</v>
      </c>
      <c r="E1260" s="4">
        <v>0.40600000000000003</v>
      </c>
      <c r="F1260" s="4">
        <v>61529.428999999996</v>
      </c>
      <c r="G1260" s="4">
        <v>61529.834999999999</v>
      </c>
      <c r="H1260" s="5">
        <f>79 / 86400</f>
        <v>9.1435185185185185E-4</v>
      </c>
      <c r="I1260" t="s">
        <v>20</v>
      </c>
      <c r="J1260" t="s">
        <v>121</v>
      </c>
      <c r="K1260" s="5">
        <f>276 / 86400</f>
        <v>3.1944444444444446E-3</v>
      </c>
      <c r="L1260" s="5">
        <f>92 / 86400</f>
        <v>1.0648148148148149E-3</v>
      </c>
    </row>
    <row r="1261" spans="1:12" x14ac:dyDescent="0.25">
      <c r="A1261" s="3">
        <v>45709.210381944446</v>
      </c>
      <c r="B1261" t="s">
        <v>350</v>
      </c>
      <c r="C1261" s="3">
        <v>45709.211805555555</v>
      </c>
      <c r="D1261" t="s">
        <v>151</v>
      </c>
      <c r="E1261" s="4">
        <v>0.35199999999999998</v>
      </c>
      <c r="F1261" s="4">
        <v>61529.834999999999</v>
      </c>
      <c r="G1261" s="4">
        <v>61530.186999999998</v>
      </c>
      <c r="H1261" s="5">
        <f>20 / 86400</f>
        <v>2.3148148148148149E-4</v>
      </c>
      <c r="I1261" t="s">
        <v>52</v>
      </c>
      <c r="J1261" t="s">
        <v>60</v>
      </c>
      <c r="K1261" s="5">
        <f>123 / 86400</f>
        <v>1.4236111111111112E-3</v>
      </c>
      <c r="L1261" s="5">
        <f>149 / 86400</f>
        <v>1.724537037037037E-3</v>
      </c>
    </row>
    <row r="1262" spans="1:12" x14ac:dyDescent="0.25">
      <c r="A1262" s="3">
        <v>45709.213530092587</v>
      </c>
      <c r="B1262" t="s">
        <v>151</v>
      </c>
      <c r="C1262" s="3">
        <v>45709.213761574079</v>
      </c>
      <c r="D1262" t="s">
        <v>151</v>
      </c>
      <c r="E1262" s="4">
        <v>5.0000000000000001E-3</v>
      </c>
      <c r="F1262" s="4">
        <v>61530.186999999998</v>
      </c>
      <c r="G1262" s="4">
        <v>61530.192000000003</v>
      </c>
      <c r="H1262" s="5">
        <f>0 / 86400</f>
        <v>0</v>
      </c>
      <c r="I1262" t="s">
        <v>48</v>
      </c>
      <c r="J1262" t="s">
        <v>47</v>
      </c>
      <c r="K1262" s="5">
        <f>20 / 86400</f>
        <v>2.3148148148148149E-4</v>
      </c>
      <c r="L1262" s="5">
        <f>139 / 86400</f>
        <v>1.6087962962962963E-3</v>
      </c>
    </row>
    <row r="1263" spans="1:12" x14ac:dyDescent="0.25">
      <c r="A1263" s="3">
        <v>45709.215370370366</v>
      </c>
      <c r="B1263" t="s">
        <v>151</v>
      </c>
      <c r="C1263" s="3">
        <v>45709.334328703699</v>
      </c>
      <c r="D1263" t="s">
        <v>285</v>
      </c>
      <c r="E1263" s="4">
        <v>52.338000000000001</v>
      </c>
      <c r="F1263" s="4">
        <v>61530.192000000003</v>
      </c>
      <c r="G1263" s="4">
        <v>61582.53</v>
      </c>
      <c r="H1263" s="5">
        <f>3119 / 86400</f>
        <v>3.6099537037037034E-2</v>
      </c>
      <c r="I1263" t="s">
        <v>19</v>
      </c>
      <c r="J1263" t="s">
        <v>20</v>
      </c>
      <c r="K1263" s="5">
        <f>10278 / 86400</f>
        <v>0.11895833333333333</v>
      </c>
      <c r="L1263" s="5">
        <f>19 / 86400</f>
        <v>2.199074074074074E-4</v>
      </c>
    </row>
    <row r="1264" spans="1:12" x14ac:dyDescent="0.25">
      <c r="A1264" s="3">
        <v>45709.334548611107</v>
      </c>
      <c r="B1264" t="s">
        <v>285</v>
      </c>
      <c r="C1264" s="3">
        <v>45709.337534722217</v>
      </c>
      <c r="D1264" t="s">
        <v>285</v>
      </c>
      <c r="E1264" s="4">
        <v>1.4E-2</v>
      </c>
      <c r="F1264" s="4">
        <v>61582.53</v>
      </c>
      <c r="G1264" s="4">
        <v>61582.544000000002</v>
      </c>
      <c r="H1264" s="5">
        <f>239 / 86400</f>
        <v>2.7662037037037039E-3</v>
      </c>
      <c r="I1264" t="s">
        <v>48</v>
      </c>
      <c r="J1264" t="s">
        <v>48</v>
      </c>
      <c r="K1264" s="5">
        <f>258 / 86400</f>
        <v>2.9861111111111113E-3</v>
      </c>
      <c r="L1264" s="5">
        <f>113 / 86400</f>
        <v>1.3078703703703703E-3</v>
      </c>
    </row>
    <row r="1265" spans="1:12" x14ac:dyDescent="0.25">
      <c r="A1265" s="3">
        <v>45709.338842592595</v>
      </c>
      <c r="B1265" t="s">
        <v>285</v>
      </c>
      <c r="C1265" s="3">
        <v>45709.40552083333</v>
      </c>
      <c r="D1265" t="s">
        <v>310</v>
      </c>
      <c r="E1265" s="4">
        <v>11.545999999999999</v>
      </c>
      <c r="F1265" s="4">
        <v>61582.544000000002</v>
      </c>
      <c r="G1265" s="4">
        <v>61594.09</v>
      </c>
      <c r="H1265" s="5">
        <f>3818 / 86400</f>
        <v>4.4189814814814814E-2</v>
      </c>
      <c r="I1265" t="s">
        <v>238</v>
      </c>
      <c r="J1265" t="s">
        <v>88</v>
      </c>
      <c r="K1265" s="5">
        <f>5760 / 86400</f>
        <v>6.6666666666666666E-2</v>
      </c>
      <c r="L1265" s="5">
        <f>111 / 86400</f>
        <v>1.2847222222222223E-3</v>
      </c>
    </row>
    <row r="1266" spans="1:12" x14ac:dyDescent="0.25">
      <c r="A1266" s="3">
        <v>45709.406805555554</v>
      </c>
      <c r="B1266" t="s">
        <v>310</v>
      </c>
      <c r="C1266" s="3">
        <v>45709.418854166666</v>
      </c>
      <c r="D1266" t="s">
        <v>384</v>
      </c>
      <c r="E1266" s="4">
        <v>3.2080000000000002</v>
      </c>
      <c r="F1266" s="4">
        <v>61594.09</v>
      </c>
      <c r="G1266" s="4">
        <v>61597.298000000003</v>
      </c>
      <c r="H1266" s="5">
        <f>420 / 86400</f>
        <v>4.8611111111111112E-3</v>
      </c>
      <c r="I1266" t="s">
        <v>167</v>
      </c>
      <c r="J1266" t="s">
        <v>128</v>
      </c>
      <c r="K1266" s="5">
        <f>1040 / 86400</f>
        <v>1.2037037037037037E-2</v>
      </c>
      <c r="L1266" s="5">
        <f>4 / 86400</f>
        <v>4.6296296296296294E-5</v>
      </c>
    </row>
    <row r="1267" spans="1:12" x14ac:dyDescent="0.25">
      <c r="A1267" s="3">
        <v>45709.418900462959</v>
      </c>
      <c r="B1267" t="s">
        <v>384</v>
      </c>
      <c r="C1267" s="3">
        <v>45709.544699074075</v>
      </c>
      <c r="D1267" t="s">
        <v>177</v>
      </c>
      <c r="E1267" s="4">
        <v>32.698999999999998</v>
      </c>
      <c r="F1267" s="4">
        <v>61597.298000000003</v>
      </c>
      <c r="G1267" s="4">
        <v>61629.997000000003</v>
      </c>
      <c r="H1267" s="5">
        <f>5371 / 86400</f>
        <v>6.2164351851851853E-2</v>
      </c>
      <c r="I1267" t="s">
        <v>56</v>
      </c>
      <c r="J1267" t="s">
        <v>128</v>
      </c>
      <c r="K1267" s="5">
        <f>10868 / 86400</f>
        <v>0.12578703703703703</v>
      </c>
      <c r="L1267" s="5">
        <f>173 / 86400</f>
        <v>2.0023148148148148E-3</v>
      </c>
    </row>
    <row r="1268" spans="1:12" x14ac:dyDescent="0.25">
      <c r="A1268" s="3">
        <v>45709.546701388885</v>
      </c>
      <c r="B1268" t="s">
        <v>177</v>
      </c>
      <c r="C1268" s="3">
        <v>45709.612013888887</v>
      </c>
      <c r="D1268" t="s">
        <v>70</v>
      </c>
      <c r="E1268" s="4">
        <v>32.835000000000001</v>
      </c>
      <c r="F1268" s="4">
        <v>61629.997000000003</v>
      </c>
      <c r="G1268" s="4">
        <v>61662.832000000002</v>
      </c>
      <c r="H1268" s="5">
        <f>1521 / 86400</f>
        <v>1.7604166666666667E-2</v>
      </c>
      <c r="I1268" t="s">
        <v>71</v>
      </c>
      <c r="J1268" t="s">
        <v>136</v>
      </c>
      <c r="K1268" s="5">
        <f>5643 / 86400</f>
        <v>6.5312499999999996E-2</v>
      </c>
      <c r="L1268" s="5">
        <f>634 / 86400</f>
        <v>7.3379629629629628E-3</v>
      </c>
    </row>
    <row r="1269" spans="1:12" x14ac:dyDescent="0.25">
      <c r="A1269" s="3">
        <v>45709.619351851856</v>
      </c>
      <c r="B1269" t="s">
        <v>70</v>
      </c>
      <c r="C1269" s="3">
        <v>45709.620752314819</v>
      </c>
      <c r="D1269" t="s">
        <v>70</v>
      </c>
      <c r="E1269" s="4">
        <v>0.216</v>
      </c>
      <c r="F1269" s="4">
        <v>61662.832000000002</v>
      </c>
      <c r="G1269" s="4">
        <v>61663.048000000003</v>
      </c>
      <c r="H1269" s="5">
        <f>19 / 86400</f>
        <v>2.199074074074074E-4</v>
      </c>
      <c r="I1269" t="s">
        <v>28</v>
      </c>
      <c r="J1269" t="s">
        <v>134</v>
      </c>
      <c r="K1269" s="5">
        <f>120 / 86400</f>
        <v>1.3888888888888889E-3</v>
      </c>
      <c r="L1269" s="5">
        <f>398 / 86400</f>
        <v>4.6064814814814814E-3</v>
      </c>
    </row>
    <row r="1270" spans="1:12" x14ac:dyDescent="0.25">
      <c r="A1270" s="3">
        <v>45709.6253587963</v>
      </c>
      <c r="B1270" t="s">
        <v>70</v>
      </c>
      <c r="C1270" s="3">
        <v>45709.625509259262</v>
      </c>
      <c r="D1270" t="s">
        <v>70</v>
      </c>
      <c r="E1270" s="4">
        <v>6.0000000000000001E-3</v>
      </c>
      <c r="F1270" s="4">
        <v>61663.048000000003</v>
      </c>
      <c r="G1270" s="4">
        <v>61663.053999999996</v>
      </c>
      <c r="H1270" s="5">
        <f>0 / 86400</f>
        <v>0</v>
      </c>
      <c r="I1270" t="s">
        <v>48</v>
      </c>
      <c r="J1270" t="s">
        <v>122</v>
      </c>
      <c r="K1270" s="5">
        <f>13 / 86400</f>
        <v>1.5046296296296297E-4</v>
      </c>
      <c r="L1270" s="5">
        <f>3 / 86400</f>
        <v>3.4722222222222222E-5</v>
      </c>
    </row>
    <row r="1271" spans="1:12" x14ac:dyDescent="0.25">
      <c r="A1271" s="3">
        <v>45709.625543981485</v>
      </c>
      <c r="B1271" t="s">
        <v>70</v>
      </c>
      <c r="C1271" s="3">
        <v>45709.625613425931</v>
      </c>
      <c r="D1271" t="s">
        <v>70</v>
      </c>
      <c r="E1271" s="4">
        <v>1E-3</v>
      </c>
      <c r="F1271" s="4">
        <v>61663.053999999996</v>
      </c>
      <c r="G1271" s="4">
        <v>61663.055</v>
      </c>
      <c r="H1271" s="5">
        <f>3 / 86400</f>
        <v>3.4722222222222222E-5</v>
      </c>
      <c r="I1271" t="s">
        <v>48</v>
      </c>
      <c r="J1271" t="s">
        <v>47</v>
      </c>
      <c r="K1271" s="5">
        <f>6 / 86400</f>
        <v>6.9444444444444444E-5</v>
      </c>
      <c r="L1271" s="5">
        <f>181 / 86400</f>
        <v>2.0949074074074073E-3</v>
      </c>
    </row>
    <row r="1272" spans="1:12" x14ac:dyDescent="0.25">
      <c r="A1272" s="3">
        <v>45709.627708333333</v>
      </c>
      <c r="B1272" t="s">
        <v>70</v>
      </c>
      <c r="C1272" s="3">
        <v>45709.629259259258</v>
      </c>
      <c r="D1272" t="s">
        <v>421</v>
      </c>
      <c r="E1272" s="4">
        <v>0.224</v>
      </c>
      <c r="F1272" s="4">
        <v>61663.055</v>
      </c>
      <c r="G1272" s="4">
        <v>61663.279000000002</v>
      </c>
      <c r="H1272" s="5">
        <f>0 / 86400</f>
        <v>0</v>
      </c>
      <c r="I1272" t="s">
        <v>60</v>
      </c>
      <c r="J1272" t="s">
        <v>134</v>
      </c>
      <c r="K1272" s="5">
        <f>133 / 86400</f>
        <v>1.5393518518518519E-3</v>
      </c>
      <c r="L1272" s="5">
        <f>101 / 86400</f>
        <v>1.1689814814814816E-3</v>
      </c>
    </row>
    <row r="1273" spans="1:12" x14ac:dyDescent="0.25">
      <c r="A1273" s="3">
        <v>45709.630428240736</v>
      </c>
      <c r="B1273" t="s">
        <v>421</v>
      </c>
      <c r="C1273" s="3">
        <v>45709.631296296298</v>
      </c>
      <c r="D1273" t="s">
        <v>421</v>
      </c>
      <c r="E1273" s="4">
        <v>3.1E-2</v>
      </c>
      <c r="F1273" s="4">
        <v>61663.279000000002</v>
      </c>
      <c r="G1273" s="4">
        <v>61663.31</v>
      </c>
      <c r="H1273" s="5">
        <f>0 / 86400</f>
        <v>0</v>
      </c>
      <c r="I1273" t="s">
        <v>121</v>
      </c>
      <c r="J1273" t="s">
        <v>122</v>
      </c>
      <c r="K1273" s="5">
        <f>74 / 86400</f>
        <v>8.564814814814815E-4</v>
      </c>
      <c r="L1273" s="5">
        <f>5005 / 86400</f>
        <v>5.7928240740740738E-2</v>
      </c>
    </row>
    <row r="1274" spans="1:12" x14ac:dyDescent="0.25">
      <c r="A1274" s="3">
        <v>45709.68922453704</v>
      </c>
      <c r="B1274" t="s">
        <v>421</v>
      </c>
      <c r="C1274" s="3">
        <v>45709.774687500001</v>
      </c>
      <c r="D1274" t="s">
        <v>177</v>
      </c>
      <c r="E1274" s="4">
        <v>35.927</v>
      </c>
      <c r="F1274" s="4">
        <v>61663.31</v>
      </c>
      <c r="G1274" s="4">
        <v>61699.237000000001</v>
      </c>
      <c r="H1274" s="5">
        <f>2579 / 86400</f>
        <v>2.9849537037037036E-2</v>
      </c>
      <c r="I1274" t="s">
        <v>62</v>
      </c>
      <c r="J1274" t="s">
        <v>20</v>
      </c>
      <c r="K1274" s="5">
        <f>7383 / 86400</f>
        <v>8.5451388888888882E-2</v>
      </c>
      <c r="L1274" s="5">
        <f>33 / 86400</f>
        <v>3.8194444444444446E-4</v>
      </c>
    </row>
    <row r="1275" spans="1:12" x14ac:dyDescent="0.25">
      <c r="A1275" s="3">
        <v>45709.77506944444</v>
      </c>
      <c r="B1275" t="s">
        <v>177</v>
      </c>
      <c r="C1275" s="3">
        <v>45709.904502314814</v>
      </c>
      <c r="D1275" t="s">
        <v>356</v>
      </c>
      <c r="E1275" s="4">
        <v>47.884999999999998</v>
      </c>
      <c r="F1275" s="4">
        <v>61699.237000000001</v>
      </c>
      <c r="G1275" s="4">
        <v>61747.122000000003</v>
      </c>
      <c r="H1275" s="5">
        <f>4041 / 86400</f>
        <v>4.6770833333333331E-2</v>
      </c>
      <c r="I1275" t="s">
        <v>183</v>
      </c>
      <c r="J1275" t="s">
        <v>41</v>
      </c>
      <c r="K1275" s="5">
        <f>11182 / 86400</f>
        <v>0.12942129629629628</v>
      </c>
      <c r="L1275" s="5">
        <f>34 / 86400</f>
        <v>3.9351851851851852E-4</v>
      </c>
    </row>
    <row r="1276" spans="1:12" x14ac:dyDescent="0.25">
      <c r="A1276" s="3">
        <v>45709.90489583333</v>
      </c>
      <c r="B1276" t="s">
        <v>356</v>
      </c>
      <c r="C1276" s="3">
        <v>45709.906365740739</v>
      </c>
      <c r="D1276" t="s">
        <v>356</v>
      </c>
      <c r="E1276" s="4">
        <v>3.0000000000000001E-3</v>
      </c>
      <c r="F1276" s="4">
        <v>61747.122000000003</v>
      </c>
      <c r="G1276" s="4">
        <v>61747.125</v>
      </c>
      <c r="H1276" s="5">
        <f>118 / 86400</f>
        <v>1.3657407407407407E-3</v>
      </c>
      <c r="I1276" t="s">
        <v>48</v>
      </c>
      <c r="J1276" t="s">
        <v>48</v>
      </c>
      <c r="K1276" s="5">
        <f>126 / 86400</f>
        <v>1.4583333333333334E-3</v>
      </c>
      <c r="L1276" s="5">
        <f>198 / 86400</f>
        <v>2.2916666666666667E-3</v>
      </c>
    </row>
    <row r="1277" spans="1:12" x14ac:dyDescent="0.25">
      <c r="A1277" s="3">
        <v>45709.908657407403</v>
      </c>
      <c r="B1277" t="s">
        <v>356</v>
      </c>
      <c r="C1277" s="3">
        <v>45709.974351851852</v>
      </c>
      <c r="D1277" t="s">
        <v>451</v>
      </c>
      <c r="E1277" s="4">
        <v>35.311999999999998</v>
      </c>
      <c r="F1277" s="4">
        <v>61747.125</v>
      </c>
      <c r="G1277" s="4">
        <v>61782.436999999998</v>
      </c>
      <c r="H1277" s="5">
        <f>1999 / 86400</f>
        <v>2.3136574074074073E-2</v>
      </c>
      <c r="I1277" t="s">
        <v>112</v>
      </c>
      <c r="J1277" t="s">
        <v>143</v>
      </c>
      <c r="K1277" s="5">
        <f>5675 / 86400</f>
        <v>6.5682870370370364E-2</v>
      </c>
      <c r="L1277" s="5">
        <f>382 / 86400</f>
        <v>4.4212962962962964E-3</v>
      </c>
    </row>
    <row r="1278" spans="1:12" x14ac:dyDescent="0.25">
      <c r="A1278" s="3">
        <v>45709.978773148148</v>
      </c>
      <c r="B1278" t="s">
        <v>451</v>
      </c>
      <c r="C1278" s="3">
        <v>45709.982303240744</v>
      </c>
      <c r="D1278" t="s">
        <v>451</v>
      </c>
      <c r="E1278" s="4">
        <v>2.4E-2</v>
      </c>
      <c r="F1278" s="4">
        <v>61782.436999999998</v>
      </c>
      <c r="G1278" s="4">
        <v>61782.461000000003</v>
      </c>
      <c r="H1278" s="5">
        <f>279 / 86400</f>
        <v>3.2291666666666666E-3</v>
      </c>
      <c r="I1278" t="s">
        <v>30</v>
      </c>
      <c r="J1278" t="s">
        <v>48</v>
      </c>
      <c r="K1278" s="5">
        <f>305 / 86400</f>
        <v>3.5300925925925925E-3</v>
      </c>
      <c r="L1278" s="5">
        <f>136 / 86400</f>
        <v>1.5740740740740741E-3</v>
      </c>
    </row>
    <row r="1279" spans="1:12" x14ac:dyDescent="0.25">
      <c r="A1279" s="3">
        <v>45709.983877314815</v>
      </c>
      <c r="B1279" t="s">
        <v>451</v>
      </c>
      <c r="C1279" s="3">
        <v>45709.984259259261</v>
      </c>
      <c r="D1279" t="s">
        <v>451</v>
      </c>
      <c r="E1279" s="4">
        <v>8.0000000000000002E-3</v>
      </c>
      <c r="F1279" s="4">
        <v>61782.461000000003</v>
      </c>
      <c r="G1279" s="4">
        <v>61782.468999999997</v>
      </c>
      <c r="H1279" s="5">
        <f>19 / 86400</f>
        <v>2.199074074074074E-4</v>
      </c>
      <c r="I1279" t="s">
        <v>48</v>
      </c>
      <c r="J1279" t="s">
        <v>47</v>
      </c>
      <c r="K1279" s="5">
        <f>33 / 86400</f>
        <v>3.8194444444444446E-4</v>
      </c>
      <c r="L1279" s="5">
        <f>177 / 86400</f>
        <v>2.0486111111111113E-3</v>
      </c>
    </row>
    <row r="1280" spans="1:12" x14ac:dyDescent="0.25">
      <c r="A1280" s="3">
        <v>45709.986307870371</v>
      </c>
      <c r="B1280" t="s">
        <v>451</v>
      </c>
      <c r="C1280" s="3">
        <v>45709.987187499995</v>
      </c>
      <c r="D1280" t="s">
        <v>451</v>
      </c>
      <c r="E1280" s="4">
        <v>6.0000000000000001E-3</v>
      </c>
      <c r="F1280" s="4">
        <v>61782.468999999997</v>
      </c>
      <c r="G1280" s="4">
        <v>61782.474999999999</v>
      </c>
      <c r="H1280" s="5">
        <f>59 / 86400</f>
        <v>6.8287037037037036E-4</v>
      </c>
      <c r="I1280" t="s">
        <v>48</v>
      </c>
      <c r="J1280" t="s">
        <v>48</v>
      </c>
      <c r="K1280" s="5">
        <f>76 / 86400</f>
        <v>8.7962962962962962E-4</v>
      </c>
      <c r="L1280" s="5">
        <f>122 / 86400</f>
        <v>1.4120370370370369E-3</v>
      </c>
    </row>
    <row r="1281" spans="1:12" x14ac:dyDescent="0.25">
      <c r="A1281" s="3">
        <v>45709.988599537042</v>
      </c>
      <c r="B1281" t="s">
        <v>451</v>
      </c>
      <c r="C1281" s="3">
        <v>45709.988703703704</v>
      </c>
      <c r="D1281" t="s">
        <v>451</v>
      </c>
      <c r="E1281" s="4">
        <v>3.0000000000000001E-3</v>
      </c>
      <c r="F1281" s="4">
        <v>61782.474999999999</v>
      </c>
      <c r="G1281" s="4">
        <v>61782.478000000003</v>
      </c>
      <c r="H1281" s="5">
        <f>0 / 86400</f>
        <v>0</v>
      </c>
      <c r="I1281" t="s">
        <v>48</v>
      </c>
      <c r="J1281" t="s">
        <v>47</v>
      </c>
      <c r="K1281" s="5">
        <f>9 / 86400</f>
        <v>1.0416666666666667E-4</v>
      </c>
      <c r="L1281" s="5">
        <f>338 / 86400</f>
        <v>3.9120370370370368E-3</v>
      </c>
    </row>
    <row r="1282" spans="1:12" x14ac:dyDescent="0.25">
      <c r="A1282" s="3">
        <v>45709.992615740739</v>
      </c>
      <c r="B1282" t="s">
        <v>397</v>
      </c>
      <c r="C1282" s="3">
        <v>45709.996574074074</v>
      </c>
      <c r="D1282" t="s">
        <v>397</v>
      </c>
      <c r="E1282" s="4">
        <v>4.0000000000000001E-3</v>
      </c>
      <c r="F1282" s="4">
        <v>61782.478000000003</v>
      </c>
      <c r="G1282" s="4">
        <v>61782.482000000004</v>
      </c>
      <c r="H1282" s="5">
        <f>339 / 86400</f>
        <v>3.9236111111111112E-3</v>
      </c>
      <c r="I1282" t="s">
        <v>48</v>
      </c>
      <c r="J1282" t="s">
        <v>48</v>
      </c>
      <c r="K1282" s="5">
        <f>342 / 86400</f>
        <v>3.9583333333333337E-3</v>
      </c>
      <c r="L1282" s="5">
        <f>16 / 86400</f>
        <v>1.8518518518518518E-4</v>
      </c>
    </row>
    <row r="1283" spans="1:12" x14ac:dyDescent="0.25">
      <c r="A1283" s="3">
        <v>45709.996759259258</v>
      </c>
      <c r="B1283" t="s">
        <v>397</v>
      </c>
      <c r="C1283" s="3">
        <v>45709.99998842593</v>
      </c>
      <c r="D1283" t="s">
        <v>111</v>
      </c>
      <c r="E1283" s="4">
        <v>0.10100000000000001</v>
      </c>
      <c r="F1283" s="4">
        <v>61782.482000000004</v>
      </c>
      <c r="G1283" s="4">
        <v>61782.582999999999</v>
      </c>
      <c r="H1283" s="5">
        <f>241 / 86400</f>
        <v>2.7893518518518519E-3</v>
      </c>
      <c r="I1283" t="s">
        <v>20</v>
      </c>
      <c r="J1283" t="s">
        <v>47</v>
      </c>
      <c r="K1283" s="5">
        <f>279 / 86400</f>
        <v>3.2291666666666666E-3</v>
      </c>
      <c r="L1283" s="5">
        <f>0 / 86400</f>
        <v>0</v>
      </c>
    </row>
    <row r="1284" spans="1:12" x14ac:dyDescent="0.25">
      <c r="A1284" s="12"/>
      <c r="B1284" s="12"/>
      <c r="C1284" s="12"/>
      <c r="D1284" s="12"/>
      <c r="E1284" s="12"/>
      <c r="F1284" s="12"/>
      <c r="G1284" s="12"/>
      <c r="H1284" s="12"/>
      <c r="I1284" s="12"/>
      <c r="J1284" s="12"/>
    </row>
    <row r="1285" spans="1:12" x14ac:dyDescent="0.25">
      <c r="A1285" s="12"/>
      <c r="B1285" s="12"/>
      <c r="C1285" s="12"/>
      <c r="D1285" s="12"/>
      <c r="E1285" s="12"/>
      <c r="F1285" s="12"/>
      <c r="G1285" s="12"/>
      <c r="H1285" s="12"/>
      <c r="I1285" s="12"/>
      <c r="J1285" s="12"/>
    </row>
    <row r="1286" spans="1:12" s="10" customFormat="1" ht="20.100000000000001" customHeight="1" x14ac:dyDescent="0.35">
      <c r="A1286" s="15" t="s">
        <v>511</v>
      </c>
      <c r="B1286" s="15"/>
      <c r="C1286" s="15"/>
      <c r="D1286" s="15"/>
      <c r="E1286" s="15"/>
      <c r="F1286" s="15"/>
      <c r="G1286" s="15"/>
      <c r="H1286" s="15"/>
      <c r="I1286" s="15"/>
      <c r="J1286" s="15"/>
    </row>
    <row r="1287" spans="1:12" x14ac:dyDescent="0.25">
      <c r="A1287" s="12"/>
      <c r="B1287" s="12"/>
      <c r="C1287" s="12"/>
      <c r="D1287" s="12"/>
      <c r="E1287" s="12"/>
      <c r="F1287" s="12"/>
      <c r="G1287" s="12"/>
      <c r="H1287" s="12"/>
      <c r="I1287" s="12"/>
      <c r="J1287" s="12"/>
    </row>
    <row r="1288" spans="1:12" ht="30" x14ac:dyDescent="0.25">
      <c r="A1288" s="2" t="s">
        <v>6</v>
      </c>
      <c r="B1288" s="2" t="s">
        <v>7</v>
      </c>
      <c r="C1288" s="2" t="s">
        <v>8</v>
      </c>
      <c r="D1288" s="2" t="s">
        <v>9</v>
      </c>
      <c r="E1288" s="2" t="s">
        <v>10</v>
      </c>
      <c r="F1288" s="2" t="s">
        <v>11</v>
      </c>
      <c r="G1288" s="2" t="s">
        <v>12</v>
      </c>
      <c r="H1288" s="2" t="s">
        <v>13</v>
      </c>
      <c r="I1288" s="2" t="s">
        <v>14</v>
      </c>
      <c r="J1288" s="2" t="s">
        <v>15</v>
      </c>
      <c r="K1288" s="2" t="s">
        <v>16</v>
      </c>
      <c r="L1288" s="2" t="s">
        <v>17</v>
      </c>
    </row>
    <row r="1289" spans="1:12" x14ac:dyDescent="0.25">
      <c r="A1289" s="3">
        <v>45709.515868055554</v>
      </c>
      <c r="B1289" t="s">
        <v>113</v>
      </c>
      <c r="C1289" s="3">
        <v>45709.794745370367</v>
      </c>
      <c r="D1289" t="s">
        <v>219</v>
      </c>
      <c r="E1289" s="4">
        <v>117.17500000000744</v>
      </c>
      <c r="F1289" s="4">
        <v>65451.398000000001</v>
      </c>
      <c r="G1289" s="4">
        <v>65568.573000000004</v>
      </c>
      <c r="H1289" s="5">
        <f>9109 / 86400</f>
        <v>0.10542824074074074</v>
      </c>
      <c r="I1289" t="s">
        <v>109</v>
      </c>
      <c r="J1289" t="s">
        <v>20</v>
      </c>
      <c r="K1289" s="5">
        <f>24095 / 86400</f>
        <v>0.27887731481481481</v>
      </c>
      <c r="L1289" s="5">
        <f>44668 / 86400</f>
        <v>0.5169907407407407</v>
      </c>
    </row>
    <row r="1290" spans="1:12" x14ac:dyDescent="0.25">
      <c r="A1290" s="3">
        <v>45709.79586805556</v>
      </c>
      <c r="B1290" t="s">
        <v>219</v>
      </c>
      <c r="C1290" s="3">
        <v>45709.99998842593</v>
      </c>
      <c r="D1290" t="s">
        <v>114</v>
      </c>
      <c r="E1290" s="4">
        <v>89.225999999992553</v>
      </c>
      <c r="F1290" s="4">
        <v>65568.573000000004</v>
      </c>
      <c r="G1290" s="4">
        <v>65657.798999999999</v>
      </c>
      <c r="H1290" s="5">
        <f>6256 / 86400</f>
        <v>7.2407407407407406E-2</v>
      </c>
      <c r="I1290" t="s">
        <v>73</v>
      </c>
      <c r="J1290" t="s">
        <v>20</v>
      </c>
      <c r="K1290" s="5">
        <f>17636 / 86400</f>
        <v>0.20412037037037037</v>
      </c>
      <c r="L1290" s="5">
        <f>0 / 86400</f>
        <v>0</v>
      </c>
    </row>
    <row r="1291" spans="1:12" x14ac:dyDescent="0.25">
      <c r="A1291" s="12"/>
      <c r="B1291" s="12"/>
      <c r="C1291" s="12"/>
      <c r="D1291" s="12"/>
      <c r="E1291" s="12"/>
      <c r="F1291" s="12"/>
      <c r="G1291" s="12"/>
      <c r="H1291" s="12"/>
      <c r="I1291" s="12"/>
      <c r="J1291" s="12"/>
    </row>
    <row r="1292" spans="1:12" x14ac:dyDescent="0.25">
      <c r="A1292" s="12"/>
      <c r="B1292" s="12"/>
      <c r="C1292" s="12"/>
      <c r="D1292" s="12"/>
      <c r="E1292" s="12"/>
      <c r="F1292" s="12"/>
      <c r="G1292" s="12"/>
      <c r="H1292" s="12"/>
      <c r="I1292" s="12"/>
      <c r="J1292" s="12"/>
    </row>
    <row r="1293" spans="1:12" s="10" customFormat="1" ht="20.100000000000001" customHeight="1" x14ac:dyDescent="0.35">
      <c r="A1293" s="15" t="s">
        <v>512</v>
      </c>
      <c r="B1293" s="15"/>
      <c r="C1293" s="15"/>
      <c r="D1293" s="15"/>
      <c r="E1293" s="15"/>
      <c r="F1293" s="15"/>
      <c r="G1293" s="15"/>
      <c r="H1293" s="15"/>
      <c r="I1293" s="15"/>
      <c r="J1293" s="15"/>
    </row>
    <row r="1294" spans="1:12" x14ac:dyDescent="0.25">
      <c r="A1294" s="12"/>
      <c r="B1294" s="12"/>
      <c r="C1294" s="12"/>
      <c r="D1294" s="12"/>
      <c r="E1294" s="12"/>
      <c r="F1294" s="12"/>
      <c r="G1294" s="12"/>
      <c r="H1294" s="12"/>
      <c r="I1294" s="12"/>
      <c r="J1294" s="12"/>
    </row>
    <row r="1295" spans="1:12" ht="30" x14ac:dyDescent="0.25">
      <c r="A1295" s="2" t="s">
        <v>6</v>
      </c>
      <c r="B1295" s="2" t="s">
        <v>7</v>
      </c>
      <c r="C1295" s="2" t="s">
        <v>8</v>
      </c>
      <c r="D1295" s="2" t="s">
        <v>9</v>
      </c>
      <c r="E1295" s="2" t="s">
        <v>10</v>
      </c>
      <c r="F1295" s="2" t="s">
        <v>11</v>
      </c>
      <c r="G1295" s="2" t="s">
        <v>12</v>
      </c>
      <c r="H1295" s="2" t="s">
        <v>13</v>
      </c>
      <c r="I1295" s="2" t="s">
        <v>14</v>
      </c>
      <c r="J1295" s="2" t="s">
        <v>15</v>
      </c>
      <c r="K1295" s="2" t="s">
        <v>16</v>
      </c>
      <c r="L1295" s="2" t="s">
        <v>17</v>
      </c>
    </row>
    <row r="1296" spans="1:12" x14ac:dyDescent="0.25">
      <c r="A1296" s="3">
        <v>45709.025555555556</v>
      </c>
      <c r="B1296" t="s">
        <v>113</v>
      </c>
      <c r="C1296" s="3">
        <v>45709.027719907404</v>
      </c>
      <c r="D1296" t="s">
        <v>113</v>
      </c>
      <c r="E1296" s="4">
        <v>6.3E-2</v>
      </c>
      <c r="F1296" s="4">
        <v>293321.23800000001</v>
      </c>
      <c r="G1296" s="4">
        <v>293321.30099999998</v>
      </c>
      <c r="H1296" s="5">
        <f>120 / 86400</f>
        <v>1.3888888888888889E-3</v>
      </c>
      <c r="I1296" t="s">
        <v>134</v>
      </c>
      <c r="J1296" t="s">
        <v>47</v>
      </c>
      <c r="K1296" s="5">
        <f>187 / 86400</f>
        <v>2.1643518518518518E-3</v>
      </c>
      <c r="L1296" s="5">
        <f>21682 / 86400</f>
        <v>0.25094907407407407</v>
      </c>
    </row>
    <row r="1297" spans="1:12" x14ac:dyDescent="0.25">
      <c r="A1297" s="3">
        <v>45709.253113425926</v>
      </c>
      <c r="B1297" t="s">
        <v>113</v>
      </c>
      <c r="C1297" s="3">
        <v>45709.360219907408</v>
      </c>
      <c r="D1297" t="s">
        <v>452</v>
      </c>
      <c r="E1297" s="4">
        <v>40.962000000000003</v>
      </c>
      <c r="F1297" s="4">
        <v>293321.30099999998</v>
      </c>
      <c r="G1297" s="4">
        <v>293362.26299999998</v>
      </c>
      <c r="H1297" s="5">
        <f>3800 / 86400</f>
        <v>4.3981481481481483E-2</v>
      </c>
      <c r="I1297" t="s">
        <v>50</v>
      </c>
      <c r="J1297" t="s">
        <v>28</v>
      </c>
      <c r="K1297" s="5">
        <f>9253 / 86400</f>
        <v>0.1070949074074074</v>
      </c>
      <c r="L1297" s="5">
        <f>539 / 86400</f>
        <v>6.2384259259259259E-3</v>
      </c>
    </row>
    <row r="1298" spans="1:12" x14ac:dyDescent="0.25">
      <c r="A1298" s="3">
        <v>45709.36645833333</v>
      </c>
      <c r="B1298" t="s">
        <v>452</v>
      </c>
      <c r="C1298" s="3">
        <v>45709.888749999998</v>
      </c>
      <c r="D1298" t="s">
        <v>113</v>
      </c>
      <c r="E1298" s="4">
        <v>145.76599999999999</v>
      </c>
      <c r="F1298" s="4">
        <v>293362.26299999998</v>
      </c>
      <c r="G1298" s="4">
        <v>293508.02899999998</v>
      </c>
      <c r="H1298" s="5">
        <f>23181 / 86400</f>
        <v>0.26829861111111108</v>
      </c>
      <c r="I1298" t="s">
        <v>115</v>
      </c>
      <c r="J1298" t="s">
        <v>55</v>
      </c>
      <c r="K1298" s="5">
        <f>45126 / 86400</f>
        <v>0.52229166666666671</v>
      </c>
      <c r="L1298" s="5">
        <f>9611 / 86400</f>
        <v>0.11123842592592592</v>
      </c>
    </row>
    <row r="1299" spans="1:12" x14ac:dyDescent="0.25">
      <c r="A1299" s="12"/>
      <c r="B1299" s="12"/>
      <c r="C1299" s="12"/>
      <c r="D1299" s="12"/>
      <c r="E1299" s="12"/>
      <c r="F1299" s="12"/>
      <c r="G1299" s="12"/>
      <c r="H1299" s="12"/>
      <c r="I1299" s="12"/>
      <c r="J1299" s="12"/>
    </row>
    <row r="1300" spans="1:12" x14ac:dyDescent="0.25">
      <c r="A1300" s="12" t="s">
        <v>117</v>
      </c>
      <c r="B1300" s="12"/>
      <c r="C1300" s="12"/>
      <c r="D1300" s="12"/>
      <c r="E1300" s="12"/>
      <c r="F1300" s="12"/>
      <c r="G1300" s="12"/>
      <c r="H1300" s="12"/>
      <c r="I1300" s="12"/>
      <c r="J1300" s="12"/>
    </row>
  </sheetData>
  <mergeCells count="250">
    <mergeCell ref="A1286:J1286"/>
    <mergeCell ref="A1287:J1287"/>
    <mergeCell ref="A1291:J1291"/>
    <mergeCell ref="A1292:J1292"/>
    <mergeCell ref="A1293:J1293"/>
    <mergeCell ref="A1294:J1294"/>
    <mergeCell ref="A1299:J1299"/>
    <mergeCell ref="A1300:J1300"/>
    <mergeCell ref="A1231:J1231"/>
    <mergeCell ref="A1232:J1232"/>
    <mergeCell ref="A1233:J1233"/>
    <mergeCell ref="A1252:J1252"/>
    <mergeCell ref="A1253:J1253"/>
    <mergeCell ref="A1254:J1254"/>
    <mergeCell ref="A1255:J1255"/>
    <mergeCell ref="A1284:J1284"/>
    <mergeCell ref="A1285:J1285"/>
    <mergeCell ref="A1196:J1196"/>
    <mergeCell ref="A1197:J1197"/>
    <mergeCell ref="A1198:J1198"/>
    <mergeCell ref="A1199:J1199"/>
    <mergeCell ref="A1221:J1221"/>
    <mergeCell ref="A1222:J1222"/>
    <mergeCell ref="A1223:J1223"/>
    <mergeCell ref="A1224:J1224"/>
    <mergeCell ref="A1230:J1230"/>
    <mergeCell ref="A1158:J1158"/>
    <mergeCell ref="A1168:J1168"/>
    <mergeCell ref="A1169:J1169"/>
    <mergeCell ref="A1170:J1170"/>
    <mergeCell ref="A1171:J1171"/>
    <mergeCell ref="A1182:J1182"/>
    <mergeCell ref="A1183:J1183"/>
    <mergeCell ref="A1184:J1184"/>
    <mergeCell ref="A1185:J1185"/>
    <mergeCell ref="A1137:J1137"/>
    <mergeCell ref="A1138:J1138"/>
    <mergeCell ref="A1146:J1146"/>
    <mergeCell ref="A1147:J1147"/>
    <mergeCell ref="A1148:J1148"/>
    <mergeCell ref="A1149:J1149"/>
    <mergeCell ref="A1155:J1155"/>
    <mergeCell ref="A1156:J1156"/>
    <mergeCell ref="A1157:J1157"/>
    <mergeCell ref="A1111:J1111"/>
    <mergeCell ref="A1112:J1112"/>
    <mergeCell ref="A1113:J1113"/>
    <mergeCell ref="A1124:J1124"/>
    <mergeCell ref="A1125:J1125"/>
    <mergeCell ref="A1126:J1126"/>
    <mergeCell ref="A1127:J1127"/>
    <mergeCell ref="A1135:J1135"/>
    <mergeCell ref="A1136:J1136"/>
    <mergeCell ref="A1083:J1083"/>
    <mergeCell ref="A1084:J1084"/>
    <mergeCell ref="A1085:J1085"/>
    <mergeCell ref="A1086:J1086"/>
    <mergeCell ref="A1103:J1103"/>
    <mergeCell ref="A1104:J1104"/>
    <mergeCell ref="A1105:J1105"/>
    <mergeCell ref="A1106:J1106"/>
    <mergeCell ref="A1110:J1110"/>
    <mergeCell ref="A1042:J1042"/>
    <mergeCell ref="A1057:J1057"/>
    <mergeCell ref="A1058:J1058"/>
    <mergeCell ref="A1059:J1059"/>
    <mergeCell ref="A1060:J1060"/>
    <mergeCell ref="A1070:J1070"/>
    <mergeCell ref="A1071:J1071"/>
    <mergeCell ref="A1072:J1072"/>
    <mergeCell ref="A1073:J1073"/>
    <mergeCell ref="A1016:J1016"/>
    <mergeCell ref="A1017:J1017"/>
    <mergeCell ref="A1026:J1026"/>
    <mergeCell ref="A1027:J1027"/>
    <mergeCell ref="A1028:J1028"/>
    <mergeCell ref="A1029:J1029"/>
    <mergeCell ref="A1039:J1039"/>
    <mergeCell ref="A1040:J1040"/>
    <mergeCell ref="A1041:J1041"/>
    <mergeCell ref="A986:J986"/>
    <mergeCell ref="A987:J987"/>
    <mergeCell ref="A988:J988"/>
    <mergeCell ref="A997:J997"/>
    <mergeCell ref="A998:J998"/>
    <mergeCell ref="A999:J999"/>
    <mergeCell ref="A1000:J1000"/>
    <mergeCell ref="A1014:J1014"/>
    <mergeCell ref="A1015:J1015"/>
    <mergeCell ref="A963:J963"/>
    <mergeCell ref="A964:J964"/>
    <mergeCell ref="A965:J965"/>
    <mergeCell ref="A966:J966"/>
    <mergeCell ref="A975:J975"/>
    <mergeCell ref="A976:J976"/>
    <mergeCell ref="A977:J977"/>
    <mergeCell ref="A978:J978"/>
    <mergeCell ref="A985:J985"/>
    <mergeCell ref="A921:J921"/>
    <mergeCell ref="A931:J931"/>
    <mergeCell ref="A932:J932"/>
    <mergeCell ref="A933:J933"/>
    <mergeCell ref="A934:J934"/>
    <mergeCell ref="A948:J948"/>
    <mergeCell ref="A949:J949"/>
    <mergeCell ref="A950:J950"/>
    <mergeCell ref="A951:J951"/>
    <mergeCell ref="A890:J890"/>
    <mergeCell ref="A891:J891"/>
    <mergeCell ref="A907:J907"/>
    <mergeCell ref="A908:J908"/>
    <mergeCell ref="A909:J909"/>
    <mergeCell ref="A910:J910"/>
    <mergeCell ref="A918:J918"/>
    <mergeCell ref="A919:J919"/>
    <mergeCell ref="A920:J920"/>
    <mergeCell ref="A863:J863"/>
    <mergeCell ref="A864:J864"/>
    <mergeCell ref="A865:J865"/>
    <mergeCell ref="A882:J882"/>
    <mergeCell ref="A883:J883"/>
    <mergeCell ref="A884:J884"/>
    <mergeCell ref="A885:J885"/>
    <mergeCell ref="A888:J888"/>
    <mergeCell ref="A889:J889"/>
    <mergeCell ref="A820:J820"/>
    <mergeCell ref="A821:J821"/>
    <mergeCell ref="A822:J822"/>
    <mergeCell ref="A823:J823"/>
    <mergeCell ref="A843:J843"/>
    <mergeCell ref="A844:J844"/>
    <mergeCell ref="A845:J845"/>
    <mergeCell ref="A846:J846"/>
    <mergeCell ref="A862:J862"/>
    <mergeCell ref="A784:J784"/>
    <mergeCell ref="A792:J792"/>
    <mergeCell ref="A793:J793"/>
    <mergeCell ref="A794:J794"/>
    <mergeCell ref="A795:J795"/>
    <mergeCell ref="A802:J802"/>
    <mergeCell ref="A803:J803"/>
    <mergeCell ref="A804:J804"/>
    <mergeCell ref="A805:J805"/>
    <mergeCell ref="A766:J766"/>
    <mergeCell ref="A767:J767"/>
    <mergeCell ref="A772:J772"/>
    <mergeCell ref="A773:J773"/>
    <mergeCell ref="A774:J774"/>
    <mergeCell ref="A775:J775"/>
    <mergeCell ref="A781:J781"/>
    <mergeCell ref="A782:J782"/>
    <mergeCell ref="A783:J783"/>
    <mergeCell ref="A745:J745"/>
    <mergeCell ref="A746:J746"/>
    <mergeCell ref="A747:J747"/>
    <mergeCell ref="A750:J750"/>
    <mergeCell ref="A751:J751"/>
    <mergeCell ref="A752:J752"/>
    <mergeCell ref="A753:J753"/>
    <mergeCell ref="A764:J764"/>
    <mergeCell ref="A765:J765"/>
    <mergeCell ref="A718:J718"/>
    <mergeCell ref="A719:J719"/>
    <mergeCell ref="A720:J720"/>
    <mergeCell ref="A721:J721"/>
    <mergeCell ref="A733:J733"/>
    <mergeCell ref="A734:J734"/>
    <mergeCell ref="A735:J735"/>
    <mergeCell ref="A736:J736"/>
    <mergeCell ref="A744:J744"/>
    <mergeCell ref="A680:J680"/>
    <mergeCell ref="A697:J697"/>
    <mergeCell ref="A698:J698"/>
    <mergeCell ref="A699:J699"/>
    <mergeCell ref="A700:J700"/>
    <mergeCell ref="A705:J705"/>
    <mergeCell ref="A706:J706"/>
    <mergeCell ref="A707:J707"/>
    <mergeCell ref="A708:J708"/>
    <mergeCell ref="A643:J643"/>
    <mergeCell ref="A644:J644"/>
    <mergeCell ref="A661:J661"/>
    <mergeCell ref="A662:J662"/>
    <mergeCell ref="A663:J663"/>
    <mergeCell ref="A664:J664"/>
    <mergeCell ref="A677:J677"/>
    <mergeCell ref="A678:J678"/>
    <mergeCell ref="A679:J679"/>
    <mergeCell ref="A614:J614"/>
    <mergeCell ref="A615:J615"/>
    <mergeCell ref="A616:J616"/>
    <mergeCell ref="A623:J623"/>
    <mergeCell ref="A624:J624"/>
    <mergeCell ref="A625:J625"/>
    <mergeCell ref="A626:J626"/>
    <mergeCell ref="A641:J641"/>
    <mergeCell ref="A642:J642"/>
    <mergeCell ref="A591:J591"/>
    <mergeCell ref="A592:J592"/>
    <mergeCell ref="A593:J593"/>
    <mergeCell ref="A594:J594"/>
    <mergeCell ref="A598:J598"/>
    <mergeCell ref="A599:J599"/>
    <mergeCell ref="A600:J600"/>
    <mergeCell ref="A601:J601"/>
    <mergeCell ref="A613:J613"/>
    <mergeCell ref="A544:J544"/>
    <mergeCell ref="A549:J549"/>
    <mergeCell ref="A550:J550"/>
    <mergeCell ref="A551:J551"/>
    <mergeCell ref="A552:J552"/>
    <mergeCell ref="A568:J568"/>
    <mergeCell ref="A569:J569"/>
    <mergeCell ref="A570:J570"/>
    <mergeCell ref="A571:J571"/>
    <mergeCell ref="A145:J145"/>
    <mergeCell ref="A146:J146"/>
    <mergeCell ref="A152:J152"/>
    <mergeCell ref="A153:J153"/>
    <mergeCell ref="A154:J154"/>
    <mergeCell ref="A155:J155"/>
    <mergeCell ref="A541:J541"/>
    <mergeCell ref="A542:J542"/>
    <mergeCell ref="A543:J543"/>
    <mergeCell ref="A105:J105"/>
    <mergeCell ref="A106:J106"/>
    <mergeCell ref="A107:J107"/>
    <mergeCell ref="A126:J126"/>
    <mergeCell ref="A127:J127"/>
    <mergeCell ref="A128:J128"/>
    <mergeCell ref="A129:J129"/>
    <mergeCell ref="A143:J143"/>
    <mergeCell ref="A144:J144"/>
    <mergeCell ref="A71:J71"/>
    <mergeCell ref="A72:J72"/>
    <mergeCell ref="A73:J73"/>
    <mergeCell ref="A74:J74"/>
    <mergeCell ref="A89:J89"/>
    <mergeCell ref="A90:J90"/>
    <mergeCell ref="A91:J91"/>
    <mergeCell ref="A92:J92"/>
    <mergeCell ref="A104:J104"/>
    <mergeCell ref="A1:J1"/>
    <mergeCell ref="A2:J2"/>
    <mergeCell ref="A3:J3"/>
    <mergeCell ref="A4:J4"/>
    <mergeCell ref="A5:J5"/>
    <mergeCell ref="A6:J6"/>
    <mergeCell ref="A69:J69"/>
    <mergeCell ref="A70:J70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2025-09-22T19:52:57Z</dcterms:created>
  <dcterms:modified xsi:type="dcterms:W3CDTF">2025-09-23T05:39:14Z</dcterms:modified>
</cp:coreProperties>
</file>