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hart/Desktop/"/>
    </mc:Choice>
  </mc:AlternateContent>
  <xr:revisionPtr revIDLastSave="0" documentId="13_ncr:1_{E3FE62EC-9444-5C4C-8C24-07A36D6AB8DC}" xr6:coauthVersionLast="45" xr6:coauthVersionMax="45" xr10:uidLastSave="{00000000-0000-0000-0000-000000000000}"/>
  <bookViews>
    <workbookView xWindow="0" yWindow="900" windowWidth="25600" windowHeight="14900" tabRatio="500" xr2:uid="{00000000-000D-0000-FFFF-FFFF00000000}"/>
  </bookViews>
  <sheets>
    <sheet name="data" sheetId="5" r:id="rId1"/>
    <sheet name="dashboar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M5" i="6" l="1"/>
  <c r="L5" i="6"/>
  <c r="K5" i="6"/>
  <c r="J5" i="6"/>
  <c r="I5" i="6"/>
  <c r="H5" i="6"/>
  <c r="G5" i="6"/>
  <c r="F5" i="6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M16" i="6"/>
  <c r="M15" i="6"/>
  <c r="M14" i="6"/>
  <c r="M10" i="6"/>
  <c r="M9" i="6"/>
  <c r="M8" i="6"/>
  <c r="M7" i="6"/>
  <c r="M6" i="6"/>
  <c r="L16" i="6"/>
  <c r="L15" i="6"/>
  <c r="L14" i="6"/>
  <c r="L10" i="6"/>
  <c r="L9" i="6"/>
  <c r="L8" i="6"/>
  <c r="L7" i="6"/>
  <c r="L6" i="6"/>
  <c r="K16" i="6"/>
  <c r="K15" i="6"/>
  <c r="K14" i="6"/>
  <c r="K10" i="6"/>
  <c r="K9" i="6"/>
  <c r="K8" i="6"/>
  <c r="K7" i="6"/>
  <c r="K6" i="6"/>
  <c r="J16" i="6"/>
  <c r="J15" i="6"/>
  <c r="J14" i="6"/>
  <c r="J10" i="6"/>
  <c r="J9" i="6"/>
  <c r="J8" i="6"/>
  <c r="J7" i="6"/>
  <c r="J6" i="6"/>
  <c r="I16" i="6"/>
  <c r="I15" i="6"/>
  <c r="I14" i="6"/>
  <c r="I10" i="6"/>
  <c r="I9" i="6"/>
  <c r="I8" i="6"/>
  <c r="I7" i="6"/>
  <c r="I6" i="6"/>
  <c r="C8" i="6"/>
  <c r="C15" i="6"/>
  <c r="C14" i="6"/>
  <c r="C12" i="6"/>
  <c r="C11" i="6"/>
  <c r="C9" i="6"/>
  <c r="C7" i="6"/>
  <c r="Q15" i="6" l="1"/>
  <c r="R15" i="6"/>
  <c r="S10" i="6"/>
  <c r="T10" i="6"/>
  <c r="P5" i="6"/>
  <c r="R14" i="6"/>
  <c r="T16" i="6"/>
  <c r="Q5" i="6"/>
  <c r="Q9" i="6"/>
  <c r="Q16" i="6"/>
  <c r="R8" i="6"/>
  <c r="S7" i="6"/>
  <c r="S14" i="6"/>
  <c r="T6" i="6"/>
  <c r="Q6" i="6"/>
  <c r="Q10" i="6"/>
  <c r="R5" i="6"/>
  <c r="R9" i="6"/>
  <c r="R16" i="6"/>
  <c r="S8" i="6"/>
  <c r="S15" i="6"/>
  <c r="T7" i="6"/>
  <c r="T14" i="6"/>
  <c r="Q7" i="6"/>
  <c r="Q14" i="6"/>
  <c r="R6" i="6"/>
  <c r="R10" i="6"/>
  <c r="S5" i="6"/>
  <c r="S9" i="6"/>
  <c r="S16" i="6"/>
  <c r="T8" i="6"/>
  <c r="T15" i="6"/>
  <c r="Q8" i="6"/>
  <c r="R7" i="6"/>
  <c r="S6" i="6"/>
  <c r="T5" i="6"/>
  <c r="T9" i="6"/>
  <c r="P16" i="6"/>
  <c r="P14" i="6"/>
  <c r="P15" i="6"/>
  <c r="P8" i="6"/>
  <c r="P10" i="6"/>
  <c r="P6" i="6"/>
  <c r="P9" i="6"/>
  <c r="P7" i="6"/>
  <c r="I17" i="6"/>
  <c r="R17" i="6"/>
  <c r="T17" i="6"/>
  <c r="J17" i="6"/>
  <c r="M17" i="6"/>
  <c r="L17" i="6"/>
  <c r="K17" i="6"/>
  <c r="M11" i="6"/>
  <c r="M12" i="6" s="1"/>
  <c r="L11" i="6"/>
  <c r="L12" i="6" s="1"/>
  <c r="K11" i="6"/>
  <c r="K12" i="6" s="1"/>
  <c r="J11" i="6"/>
  <c r="J13" i="6" s="1"/>
  <c r="I11" i="6"/>
  <c r="I12" i="6" s="1"/>
  <c r="C5" i="6"/>
  <c r="C4" i="6"/>
  <c r="H16" i="6"/>
  <c r="H15" i="6"/>
  <c r="H14" i="6"/>
  <c r="H10" i="6"/>
  <c r="H9" i="6"/>
  <c r="H8" i="6"/>
  <c r="H7" i="6"/>
  <c r="H6" i="6"/>
  <c r="G14" i="6"/>
  <c r="F14" i="6"/>
  <c r="G16" i="6"/>
  <c r="G15" i="6"/>
  <c r="G10" i="6"/>
  <c r="G9" i="6"/>
  <c r="G8" i="6"/>
  <c r="G7" i="6"/>
  <c r="G6" i="6"/>
  <c r="F16" i="6"/>
  <c r="F15" i="6"/>
  <c r="F10" i="6"/>
  <c r="F9" i="6"/>
  <c r="F8" i="6"/>
  <c r="F7" i="6"/>
  <c r="F6" i="6"/>
  <c r="R11" i="6" l="1"/>
  <c r="R12" i="6" s="1"/>
  <c r="Q17" i="6"/>
  <c r="S11" i="6"/>
  <c r="S12" i="6" s="1"/>
  <c r="Q11" i="6"/>
  <c r="Q12" i="6" s="1"/>
  <c r="S17" i="6"/>
  <c r="T11" i="6"/>
  <c r="T12" i="6" s="1"/>
  <c r="P11" i="6"/>
  <c r="P12" i="6" s="1"/>
  <c r="P17" i="6"/>
  <c r="I13" i="6"/>
  <c r="M13" i="6"/>
  <c r="L13" i="6"/>
  <c r="K13" i="6"/>
  <c r="J12" i="6"/>
  <c r="H17" i="6"/>
  <c r="F17" i="6"/>
  <c r="G17" i="6"/>
  <c r="F11" i="6"/>
  <c r="F12" i="6" s="1"/>
  <c r="H11" i="6"/>
  <c r="H12" i="6" s="1"/>
  <c r="G11" i="6"/>
  <c r="G12" i="6" s="1"/>
  <c r="S13" i="6" l="1"/>
  <c r="R13" i="6"/>
  <c r="Q13" i="6"/>
  <c r="T13" i="6"/>
  <c r="P13" i="6"/>
  <c r="H13" i="6"/>
  <c r="G13" i="6"/>
  <c r="F13" i="6"/>
</calcChain>
</file>

<file path=xl/sharedStrings.xml><?xml version="1.0" encoding="utf-8"?>
<sst xmlns="http://schemas.openxmlformats.org/spreadsheetml/2006/main" count="183" uniqueCount="92">
  <si>
    <t>Age</t>
  </si>
  <si>
    <t>Date</t>
  </si>
  <si>
    <t>Target</t>
  </si>
  <si>
    <t>Gpi</t>
  </si>
  <si>
    <t>STN</t>
  </si>
  <si>
    <t>Gender</t>
  </si>
  <si>
    <t>M</t>
  </si>
  <si>
    <t>F</t>
  </si>
  <si>
    <t>MOCA</t>
  </si>
  <si>
    <t>2016_02</t>
  </si>
  <si>
    <t>2016_03</t>
  </si>
  <si>
    <t>2016_04</t>
  </si>
  <si>
    <t>2016_05</t>
  </si>
  <si>
    <t>2016_06</t>
  </si>
  <si>
    <t>2016_07</t>
  </si>
  <si>
    <t>2016_08</t>
  </si>
  <si>
    <t>2016_09</t>
  </si>
  <si>
    <t>2016_10</t>
  </si>
  <si>
    <t>2017_01</t>
  </si>
  <si>
    <t>2017_02</t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</si>
  <si>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</si>
  <si>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</si>
  <si>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</si>
  <si>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</si>
  <si>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</si>
  <si>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</si>
  <si>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</si>
  <si>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</si>
  <si>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</si>
  <si>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2017_12</t>
  </si>
  <si>
    <t>ID</t>
  </si>
  <si>
    <t>Weight_pre</t>
  </si>
  <si>
    <t>Weight_post</t>
  </si>
  <si>
    <t>LEDD_pre</t>
  </si>
  <si>
    <t>LEDD_post</t>
  </si>
  <si>
    <t>PDQ39_pre</t>
  </si>
  <si>
    <t>PDQ39_post</t>
  </si>
  <si>
    <t>Disease_duration</t>
  </si>
  <si>
    <t>Weight_change</t>
  </si>
  <si>
    <t>UPDRS3_change</t>
  </si>
  <si>
    <t>UPDRS4_change</t>
  </si>
  <si>
    <t>LEDD_change</t>
  </si>
  <si>
    <t>PDQ39_change</t>
  </si>
  <si>
    <t>Manufacturer</t>
  </si>
  <si>
    <t>Abbott</t>
  </si>
  <si>
    <t>Medtronic</t>
  </si>
  <si>
    <t>Boston</t>
  </si>
  <si>
    <t>UPDRS3_pre</t>
  </si>
  <si>
    <t>UPDRS3_post</t>
  </si>
  <si>
    <t>UPDRS4_pre</t>
  </si>
  <si>
    <t>UPDRS4_post</t>
  </si>
  <si>
    <t>System</t>
  </si>
  <si>
    <t>Year</t>
  </si>
  <si>
    <t>Completeness</t>
  </si>
  <si>
    <t>Mean</t>
  </si>
  <si>
    <t>SD</t>
  </si>
  <si>
    <t>Min</t>
  </si>
  <si>
    <t>Max</t>
  </si>
  <si>
    <t>Median</t>
  </si>
  <si>
    <t>IQR</t>
  </si>
  <si>
    <t>Range</t>
  </si>
  <si>
    <t>Disease Duration</t>
  </si>
  <si>
    <t>Follow-up</t>
  </si>
  <si>
    <t>Weight</t>
  </si>
  <si>
    <t>UPDRS3</t>
  </si>
  <si>
    <t>UPDRS4</t>
  </si>
  <si>
    <t>LEDD</t>
  </si>
  <si>
    <t>PDQ39</t>
  </si>
  <si>
    <t>Right_nucleus</t>
  </si>
  <si>
    <t>Right_motor</t>
  </si>
  <si>
    <t>Right_VAT</t>
  </si>
  <si>
    <t>Right_motor_VAT</t>
  </si>
  <si>
    <t>Left_nucleus</t>
  </si>
  <si>
    <t>Left_motor</t>
  </si>
  <si>
    <t>Left_VAT</t>
  </si>
  <si>
    <t>GPI</t>
  </si>
  <si>
    <t>Male</t>
  </si>
  <si>
    <t>Female</t>
  </si>
  <si>
    <t>Lower_bound</t>
  </si>
  <si>
    <t>Upper_bound</t>
  </si>
  <si>
    <t>Outlier</t>
  </si>
  <si>
    <t>Lower quartile</t>
  </si>
  <si>
    <t>Upper quartile</t>
  </si>
  <si>
    <t>DBS Demographics &amp; Results</t>
  </si>
  <si>
    <t>Table 1: Treatments Performed</t>
  </si>
  <si>
    <t>Table 2: Baseline variables</t>
  </si>
  <si>
    <t>Table 3: Outcomes</t>
  </si>
  <si>
    <t>Cummulative case</t>
  </si>
  <si>
    <t>Left_motor_VAT</t>
  </si>
  <si>
    <t>2016_01</t>
  </si>
  <si>
    <t>2016_11</t>
  </si>
  <si>
    <t>2016_12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</si>
</sst>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1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0" fontId="0" fillId="0" borderId="0" xfId="0" applyFont="1" applyFill="1"/>
    <xf numFmtId="0" fontId="4" fillId="0" borderId="0" xfId="0" applyFont="1" applyFill="1"/>
    <xf numFmtId="1" fontId="4" fillId="0" borderId="0" xfId="0" applyNumberFormat="1" applyFont="1" applyFill="1"/>
    <xf numFmtId="164" fontId="4" fillId="0" borderId="0" xfId="0" applyNumberFormat="1" applyFont="1" applyFill="1"/>
    <xf numFmtId="1" fontId="4" fillId="0" borderId="0" xfId="0" applyNumberFormat="1" applyFont="1" applyFill="1" applyAlignment="1">
      <alignment horizontal="right"/>
    </xf>
    <xf numFmtId="1" fontId="0" fillId="0" borderId="0" xfId="0" applyNumberFormat="1" applyFont="1" applyFill="1"/>
    <xf numFmtId="2" fontId="4" fillId="0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/>
    <xf numFmtId="2" fontId="0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left"/>
    </xf>
    <xf numFmtId="2" fontId="4" fillId="0" borderId="0" xfId="0" applyNumberFormat="1" applyFont="1"/>
    <xf numFmtId="2" fontId="0" fillId="0" borderId="0" xfId="0" applyNumberFormat="1" applyAlignment="1">
      <alignment horizontal="right"/>
    </xf>
    <xf numFmtId="0" fontId="0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" fontId="0" fillId="0" borderId="0" xfId="0" applyNumberFormat="1" applyFont="1" applyFill="1" applyAlignment="1">
      <alignment horizontal="right"/>
    </xf>
    <xf numFmtId="9" fontId="0" fillId="0" borderId="0" xfId="217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9" fontId="0" fillId="0" borderId="0" xfId="217" applyNumberFormat="1" applyFont="1" applyFill="1" applyAlignment="1">
      <alignment horizontal="right"/>
    </xf>
    <xf numFmtId="0" fontId="7" fillId="0" borderId="0" xfId="0" applyFont="1"/>
    <xf numFmtId="0" fontId="8" fillId="0" borderId="0" xfId="0" applyFont="1"/>
    <xf numFmtId="0" fontId="8" fillId="0" borderId="0" xfId="0" applyFont="1" applyFill="1"/>
    <xf numFmtId="0" fontId="9" fillId="0" borderId="0" xfId="0" applyFont="1"/>
    <xf numFmtId="0" fontId="10" fillId="0" borderId="0" xfId="0" applyFont="1"/>
    <xf numFmtId="1" fontId="10" fillId="0" borderId="0" xfId="0" applyNumberFormat="1" applyFont="1" applyFill="1"/>
    <xf numFmtId="0" fontId="10" fillId="0" borderId="0" xfId="0" applyFont="1" applyFill="1"/>
    <xf numFmtId="0" fontId="11" fillId="0" borderId="0" xfId="0" applyFont="1" applyFill="1"/>
    <xf numFmtId="0" fontId="4" fillId="0" borderId="0" xfId="0" applyFont="1" applyFill="1" applyAlignment="1">
      <alignment horizontal="right" vertical="center" indent="3"/>
    </xf>
    <xf numFmtId="1" fontId="4" fillId="0" borderId="0" xfId="0" applyNumberFormat="1" applyFont="1" applyFill="1" applyAlignment="1">
      <alignment horizontal="right" vertical="center" indent="3"/>
    </xf>
    <xf numFmtId="164" fontId="4" fillId="0" borderId="0" xfId="0" applyNumberFormat="1" applyFont="1" applyFill="1" applyAlignment="1">
      <alignment horizontal="right" vertical="center" indent="3"/>
    </xf>
    <xf numFmtId="2" fontId="4" fillId="0" borderId="0" xfId="0" applyNumberFormat="1" applyFont="1" applyFill="1" applyAlignment="1">
      <alignment horizontal="right" vertical="center" indent="3"/>
    </xf>
    <xf numFmtId="0" fontId="11" fillId="0" borderId="0" xfId="0" applyFont="1" applyFill="1" applyAlignment="1">
      <alignment horizontal="right" indent="3"/>
    </xf>
  </cellXfs>
  <cellStyles count="2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  <cellStyle name="Per cent" xfId="217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Cumulative Procedures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data!$F$2:$F$25</c:f>
              <c:numCache>
                <c:formatCode>yyyy\-mm\-dd;@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data!$G$2:$G$25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E-7C4C-99B7-67FFC452DA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33371391"/>
        <c:axId val="1426656159"/>
      </c:lineChart>
      <c:dateAx>
        <c:axId val="1433371391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56159"/>
        <c:crosses val="autoZero"/>
        <c:auto val="1"/>
        <c:lblOffset val="100"/>
        <c:baseTimeUnit val="days"/>
      </c:dateAx>
      <c:valAx>
        <c:axId val="14266561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713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19</xdr:col>
      <xdr:colOff>308427</xdr:colOff>
      <xdr:row>39</xdr:row>
      <xdr:rowOff>18143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EC966-71FE-7C4F-982D-48BE722B8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00975D-91C0-6B46-B294-FED3919D32B2}" name="Table1" displayName="Table1" ref="A1:AG25" totalsRowShown="0" headerRowDxfId="60" dataDxfId="59">
  <autoFilter ref="A1:AG25" xr:uid="{E8024BF4-51AD-BA49-B220-8F6EB037A5D6}"/>
  <tableColumns count="33">
    <tableColumn id="1" xr3:uid="{E65A6686-363D-934C-9284-4D213D67176E}" name="ID" dataDxfId="58"/>
    <tableColumn id="3" xr3:uid="{6C8980AA-1DD7-9048-8BB9-B01C3AFE7AD9}" name="Age" dataDxfId="57"/>
    <tableColumn id="4" xr3:uid="{B4A26F99-E0DC-E54B-A38A-395B88577323}" name="Gender" dataDxfId="56"/>
    <tableColumn id="5" xr3:uid="{52E71FFD-FBAF-344C-B0DF-2BB243B9BF94}" name="Follow-up" dataDxfId="55"/>
    <tableColumn id="6" xr3:uid="{E2F9DD2E-6976-214B-A762-5B02FFE56CD5}" name="Disease_duration" dataDxfId="54"/>
    <tableColumn id="7" xr3:uid="{14AEB758-08F5-5B4B-B1E8-AD95368EA027}" name="Date" dataDxfId="53"/>
    <tableColumn id="40" xr3:uid="{B979E868-2DE2-064D-B09B-1931EF07222D}" name="Cummulative case" dataDxfId="52"/>
    <tableColumn id="8" xr3:uid="{D7A337F3-A68A-224E-BE4A-9264EC4E61E8}" name="Target" dataDxfId="51"/>
    <tableColumn id="9" xr3:uid="{4A251035-FBA1-F149-B40D-E830DCB9FE2D}" name="Manufacturer" dataDxfId="50"/>
    <tableColumn id="13" xr3:uid="{E952A75D-0E06-D34B-AC80-203E094DCBC6}" name="Weight_pre" dataDxfId="49"/>
    <tableColumn id="14" xr3:uid="{E496356A-4DF5-CC4C-8E11-28ED69BC4B27}" name="Weight_post" dataDxfId="48"/>
    <tableColumn id="29" xr3:uid="{03DBA09D-1E48-BE44-8609-807B2D7D520A}" name="Weight_change" dataDxfId="47">
      <calculatedColumnFormula>IFERROR((Table1[[#This Row],[Weight_post]]-Table1[[#This Row],[Weight_pre]])/Table1[[#This Row],[Weight_pre]]*100,"#NA")</calculatedColumnFormula>
    </tableColumn>
    <tableColumn id="16" xr3:uid="{8A356E71-89EF-B540-B719-CD2A72003C49}" name="UPDRS3_pre" dataDxfId="46"/>
    <tableColumn id="17" xr3:uid="{A448EDFE-2CC4-EC40-9425-01A8CEC3DE82}" name="UPDRS3_post" dataDxfId="45"/>
    <tableColumn id="30" xr3:uid="{9D4B1702-D742-3B48-A170-18CC2892BF08}" name="UPDRS3_change" dataDxfId="44">
      <calculatedColumnFormula>IFERROR((Table1[[#This Row],[UPDRS3_post]]-Table1[[#This Row],[UPDRS3_pre]])/Table1[[#This Row],[UPDRS3_pre]]*100, "NA")</calculatedColumnFormula>
    </tableColumn>
    <tableColumn id="19" xr3:uid="{5ED1B7A1-35BE-5D44-80E7-20C7CC7F8145}" name="UPDRS4_pre" dataDxfId="11"/>
    <tableColumn id="20" xr3:uid="{A2BB4E84-18AF-B445-81CA-5D60040DD212}" name="UPDRS4_post" dataDxfId="9"/>
    <tableColumn id="31" xr3:uid="{8015AFA1-621A-AD41-A2C2-31E9B045CA49}" name="UPDRS4_change" dataDxfId="10">
      <calculatedColumnFormula>IFERROR((Table1[[#This Row],[UPDRS4_post]]-Table1[[#This Row],[UPDRS4_pre]])/Table1[[#This Row],[UPDRS4_pre]]*100, "NA")</calculatedColumnFormula>
    </tableColumn>
    <tableColumn id="22" xr3:uid="{4CE04580-7508-774B-A05F-82BB0CDF59BF}" name="LEDD_pre" dataDxfId="43"/>
    <tableColumn id="23" xr3:uid="{8E3056F5-79AD-9441-A2CB-6FA80E130375}" name="LEDD_post" dataDxfId="42"/>
    <tableColumn id="32" xr3:uid="{41B3D96B-2650-FD47-9A92-3BC6864ECA43}" name="LEDD_change" dataDxfId="41">
      <calculatedColumnFormula>IFERROR((Table1[[#This Row],[LEDD_post]]-Table1[[#This Row],[LEDD_pre]])/Table1[[#This Row],[LEDD_pre]]*100, "NA")</calculatedColumnFormula>
    </tableColumn>
    <tableColumn id="25" xr3:uid="{1D89A51E-27E1-1041-8FBE-6A522D39CF0F}" name="PDQ39_pre" dataDxfId="40"/>
    <tableColumn id="26" xr3:uid="{C397FA33-8E52-4040-902E-3647CF2FA662}" name="PDQ39_post" dataDxfId="39"/>
    <tableColumn id="33" xr3:uid="{0B9C3598-2A1F-1746-84E8-06F956165C29}" name="PDQ39_change" dataDxfId="38">
      <calculatedColumnFormula>IFERROR((Table1[[#This Row],[PDQ39_post]]-Table1[[#This Row],[PDQ39_pre]])/Table1[[#This Row],[PDQ39_pre]]*100, "NA")</calculatedColumnFormula>
    </tableColumn>
    <tableColumn id="28" xr3:uid="{822354EB-61CA-AB48-806D-C43A4D2BA7FC}" name="MOCA" dataDxfId="8"/>
    <tableColumn id="18" xr3:uid="{7E9810F7-64FB-BE46-95D2-86C47BC99082}" name="Right_nucleus" dataDxfId="7"/>
    <tableColumn id="21" xr3:uid="{4ADDC7BC-4CE5-AD46-A656-90C6F5843321}" name="Right_motor" dataDxfId="6"/>
    <tableColumn id="24" xr3:uid="{76CDECF1-9D9D-D946-882C-0F7D0DA8C4AA}" name="Right_VAT" dataDxfId="5"/>
    <tableColumn id="27" xr3:uid="{10903454-34ED-1C41-BA94-FEBFBD0FC9D0}" name="Right_motor_VAT" dataDxfId="4"/>
    <tableColumn id="34" xr3:uid="{82F38C60-63E8-DF4B-9B3B-583A574A7EC7}" name="Left_nucleus" dataDxfId="3"/>
    <tableColumn id="35" xr3:uid="{1B25976E-AC53-ED48-9F19-D587F48BFB59}" name="Left_motor" dataDxfId="2"/>
    <tableColumn id="36" xr3:uid="{29CB1326-E3FC-8F49-8063-F4DC8D66759F}" name="Left_VAT" dataDxfId="1"/>
    <tableColumn id="37" xr3:uid="{A8604C3C-79C8-8A49-B064-67AA313D4ECA}" name="Left_motor_VA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387852-E7D0-AE44-AACD-46A42AACFB9C}" name="Binary_variables" displayName="Binary_variables" ref="A4:C15" headerRowCount="0">
  <tableColumns count="3">
    <tableColumn id="1" xr3:uid="{C8D81183-2C19-314E-BF48-5E631584B8F9}" name="Column1" totalsRowLabel="Total" headerRowDxfId="37" dataDxfId="36" totalsRowDxfId="35"/>
    <tableColumn id="2" xr3:uid="{C0AB8FC6-8BAE-F048-B3A6-366C94C84623}" name="Column2" headerRowDxfId="34" dataDxfId="33" totalsRowDxfId="32"/>
    <tableColumn id="3" xr3:uid="{6CA5144A-D770-A846-B117-539F105C19DE}" name="Column3" totalsRowFunction="sum" headerRowDxfId="31"/>
  </tableColumns>
  <tableStyleInfo name="TableStyleMedium8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87714B-22FE-4446-A7D8-0B603E4EDAF0}" name="Table3" displayName="Table3" ref="E4:M17" headerRowCount="0" totalsRowShown="0" headerRowDxfId="30">
  <tableColumns count="9">
    <tableColumn id="1" xr3:uid="{2091B84D-A59F-7947-B258-9B7E3ADC15EE}" name="Column1" headerRowDxfId="29" dataDxfId="28"/>
    <tableColumn id="2" xr3:uid="{89F92467-784F-864C-B889-825677C04FB8}" name="Column2" headerRowDxfId="27"/>
    <tableColumn id="3" xr3:uid="{2B716A02-D8CF-8248-9353-5CF5F4453C5F}" name="Column3" headerRowDxfId="26"/>
    <tableColumn id="4" xr3:uid="{8FED5510-8E1E-664B-A78A-096C16E22F60}" name="Column4" headerRowDxfId="25"/>
    <tableColumn id="5" xr3:uid="{BD3D7E82-67A4-9447-8FC6-EB26BDA9E7A8}" name="Column5" headerRowDxfId="24"/>
    <tableColumn id="6" xr3:uid="{7AE4DAF2-1B7B-B64F-9B21-DCD0C50F7A7A}" name="Column6" headerRowDxfId="23"/>
    <tableColumn id="7" xr3:uid="{B221B799-1FD1-8341-9602-6AB7C2C02DB9}" name="Column7" headerRowDxfId="22"/>
    <tableColumn id="8" xr3:uid="{049C2324-81EC-0F48-9D9C-1DBDF0FCA831}" name="Column8" headerRowDxfId="21"/>
    <tableColumn id="9" xr3:uid="{88BB4949-07BE-8443-A1AA-F0495D470E80}" name="Column9" headerRowDxfId="20"/>
  </tableColumns>
  <tableStyleInfo name="TableStyleMedium8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E13BF1-F540-D54B-B62E-95A629FB94EF}" name="Table36" displayName="Table36" ref="O4:T17" headerRowCount="0" totalsRowShown="0" headerRowDxfId="19">
  <tableColumns count="6">
    <tableColumn id="1" xr3:uid="{7D38CD6E-78B1-B646-9AC5-98DACFAC7EC1}" name="Column1" headerRowDxfId="18" dataDxfId="17"/>
    <tableColumn id="2" xr3:uid="{B38EC163-6A68-7641-8A86-3B25A3FE9C5D}" name="Column2" headerRowDxfId="16"/>
    <tableColumn id="5" xr3:uid="{DCBAB5D9-8B12-F649-97D4-0156840D045C}" name="Column5" headerRowDxfId="15"/>
    <tableColumn id="6" xr3:uid="{DAA64D24-89FF-8742-B9DD-157FB0E7CDA7}" name="Column6" headerRowDxfId="14"/>
    <tableColumn id="7" xr3:uid="{C1E2FB8B-0561-7040-A47F-9ED2F1EE47DA}" name="Column7" headerRowDxfId="13"/>
    <tableColumn id="8" xr3:uid="{1B7DCADD-006A-DE4E-AE62-6508977F3D3A}" name="Column8" headerRowDxfId="12"/>
  </tableColumns>
  <tableStyleInfo name="TableStyleMedium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3849-5C5A-D643-BDB9-3DDC695D8652}">
  <dimension ref="A1:AG30"/>
  <sheetViews>
    <sheetView tabSelected="1" zoomScale="54" zoomScaleNormal="54" workbookViewId="0">
      <pane xSplit="1" topLeftCell="S1" activePane="topRight" state="frozen"/>
      <selection pane="topRight" activeCell="AB42" sqref="AB42"/>
    </sheetView>
  </sheetViews>
  <sheetFormatPr baseColWidth="10" defaultColWidth="11" defaultRowHeight="18" x14ac:dyDescent="0.2"/>
  <cols>
    <col min="1" max="1" width="10.5" style="5" bestFit="1" customWidth="1"/>
    <col min="2" max="2" width="10.6640625" style="5" bestFit="1" customWidth="1"/>
    <col min="3" max="3" width="14.33203125" style="6" bestFit="1" customWidth="1"/>
    <col min="4" max="4" width="17.83203125" style="5" bestFit="1" customWidth="1"/>
    <col min="5" max="5" width="26.1640625" style="7" bestFit="1" customWidth="1"/>
    <col min="6" max="6" width="13.5" style="12" bestFit="1" customWidth="1"/>
    <col min="7" max="7" width="27.33203125" style="5" bestFit="1" customWidth="1"/>
    <col min="8" max="8" width="13.5" style="5" bestFit="1" customWidth="1"/>
    <col min="9" max="9" width="21.83203125" style="5" bestFit="1" customWidth="1"/>
    <col min="10" max="10" width="19.33203125" style="11" bestFit="1" customWidth="1"/>
    <col min="11" max="11" width="21.1640625" style="14" bestFit="1" customWidth="1"/>
    <col min="12" max="12" width="24.1640625" style="14" bestFit="1" customWidth="1"/>
    <col min="13" max="13" width="21.1640625" style="14" bestFit="1" customWidth="1"/>
    <col min="14" max="14" width="22.6640625" style="15" bestFit="1" customWidth="1"/>
    <col min="15" max="15" width="25.83203125" style="6" bestFit="1" customWidth="1"/>
    <col min="16" max="16" width="21.1640625" style="6" bestFit="1" customWidth="1"/>
    <col min="17" max="17" width="22.6640625" style="6" bestFit="1" customWidth="1"/>
    <col min="18" max="18" width="25.83203125" style="6" bestFit="1" customWidth="1"/>
    <col min="19" max="19" width="17.83203125" style="6" bestFit="1" customWidth="1"/>
    <col min="20" max="20" width="19.33203125" style="6" bestFit="1" customWidth="1"/>
    <col min="21" max="21" width="22.6640625" style="6" bestFit="1" customWidth="1"/>
    <col min="22" max="22" width="18.6640625" style="6" bestFit="1" customWidth="1"/>
    <col min="23" max="23" width="20.5" style="6" bestFit="1" customWidth="1"/>
    <col min="24" max="24" width="23.6640625" style="12" bestFit="1" customWidth="1"/>
    <col min="25" max="25" width="13.6640625" style="12" bestFit="1" customWidth="1"/>
    <col min="26" max="26" width="23" style="12" bestFit="1" customWidth="1"/>
    <col min="27" max="27" width="21.1640625" style="12" bestFit="1" customWidth="1"/>
    <col min="28" max="28" width="18.6640625" style="12" bestFit="1" customWidth="1"/>
    <col min="29" max="29" width="27.6640625" style="12" bestFit="1" customWidth="1"/>
    <col min="30" max="30" width="21.1640625" style="12" bestFit="1" customWidth="1"/>
    <col min="31" max="31" width="19" style="12" bestFit="1" customWidth="1"/>
    <col min="32" max="32" width="16.83203125" style="5" bestFit="1" customWidth="1"/>
    <col min="33" max="33" width="25.5" style="5" bestFit="1" customWidth="1"/>
    <col min="34" max="16384" width="11" style="5"/>
  </cols>
  <sheetData>
    <row r="1" spans="1:33" s="41" customFormat="1" x14ac:dyDescent="0.2">
      <c r="A1" s="37" t="s">
        <v>30</v>
      </c>
      <c r="B1" s="37" t="s">
        <v>0</v>
      </c>
      <c r="C1" s="37" t="s">
        <v>5</v>
      </c>
      <c r="D1" s="38" t="s">
        <v>62</v>
      </c>
      <c r="E1" s="37" t="s">
        <v>37</v>
      </c>
      <c r="F1" s="39" t="s">
        <v>1</v>
      </c>
      <c r="G1" s="39" t="s">
        <v>87</v>
      </c>
      <c r="H1" s="37" t="s">
        <v>2</v>
      </c>
      <c r="I1" s="37" t="s">
        <v>43</v>
      </c>
      <c r="J1" s="40" t="s">
        <v>31</v>
      </c>
      <c r="K1" s="40" t="s">
        <v>32</v>
      </c>
      <c r="L1" s="40" t="s">
        <v>38</v>
      </c>
      <c r="M1" s="38" t="s">
        <v>47</v>
      </c>
      <c r="N1" s="38" t="s">
        <v>48</v>
      </c>
      <c r="O1" s="38" t="s">
        <v>39</v>
      </c>
      <c r="P1" s="38" t="s">
        <v>49</v>
      </c>
      <c r="Q1" s="38" t="s">
        <v>50</v>
      </c>
      <c r="R1" s="38" t="s">
        <v>40</v>
      </c>
      <c r="S1" s="38" t="s">
        <v>33</v>
      </c>
      <c r="T1" s="38" t="s">
        <v>34</v>
      </c>
      <c r="U1" s="38" t="s">
        <v>41</v>
      </c>
      <c r="V1" s="38" t="s">
        <v>35</v>
      </c>
      <c r="W1" s="38" t="s">
        <v>36</v>
      </c>
      <c r="X1" s="38" t="s">
        <v>42</v>
      </c>
      <c r="Y1" s="38" t="s">
        <v>8</v>
      </c>
      <c r="Z1" s="40" t="s">
        <v>68</v>
      </c>
      <c r="AA1" s="40" t="s">
        <v>69</v>
      </c>
      <c r="AB1" s="40" t="s">
        <v>70</v>
      </c>
      <c r="AC1" s="40" t="s">
        <v>71</v>
      </c>
      <c r="AD1" s="40" t="s">
        <v>72</v>
      </c>
      <c r="AE1" s="40" t="s">
        <v>73</v>
      </c>
      <c r="AF1" s="40" t="s">
        <v>74</v>
      </c>
      <c r="AG1" s="40" t="s">
        <v>88</v>
      </c>
    </row>
    <row r="2" spans="1:33" x14ac:dyDescent="0.2">
      <c r="A2" s="2" t="s">
        <v>89</v>
      </c>
      <c r="B2" s="2">
        <v>50</v>
      </c>
      <c r="C2" s="2" t="s">
        <v>7</v>
      </c>
      <c r="D2" s="1">
        <v>11</v>
      </c>
      <c r="E2" s="1">
        <v>8</v>
      </c>
      <c r="F2" s="3">
        <v>42370</v>
      </c>
      <c r="G2" s="1">
        <v>1</v>
      </c>
      <c r="H2" s="2" t="s">
        <v>3</v>
      </c>
      <c r="I2" s="2" t="s">
        <v>44</v>
      </c>
      <c r="J2" s="10">
        <v>71</v>
      </c>
      <c r="K2" s="10">
        <v>73</v>
      </c>
      <c r="L2" s="10">
        <f>IFERROR((Table1[[#This Row],[Weight_post]]-Table1[[#This Row],[Weight_pre]])/Table1[[#This Row],[Weight_pre]]*100,"#NA")</f>
        <v>2.8169014084507045</v>
      </c>
      <c r="M2" s="1">
        <v>50</v>
      </c>
      <c r="N2" s="1">
        <v>30</v>
      </c>
      <c r="O2" s="10">
        <f>IFERROR((Table1[[#This Row],[UPDRS3_post]]-Table1[[#This Row],[UPDRS3_pre]])/Table1[[#This Row],[UPDRS3_pre]]*100, "NA")</f>
        <v>-40</v>
      </c>
      <c r="P2" s="1">
        <v>2</v>
      </c>
      <c r="Q2" s="1">
        <v>0</v>
      </c>
      <c r="R2" s="1">
        <f>IFERROR((Table1[[#This Row],[UPDRS4_post]]-Table1[[#This Row],[UPDRS4_pre]])/Table1[[#This Row],[UPDRS4_pre]]*100, "NA")</f>
        <v>-100</v>
      </c>
      <c r="S2" s="1">
        <v>1000</v>
      </c>
      <c r="T2" s="1">
        <v>1000</v>
      </c>
      <c r="U2" s="1">
        <f>IFERROR((Table1[[#This Row],[LEDD_post]]-Table1[[#This Row],[LEDD_pre]])/Table1[[#This Row],[LEDD_pre]]*100, "NA")</f>
        <v>0</v>
      </c>
      <c r="V2" s="1">
        <v>100</v>
      </c>
      <c r="W2" s="1">
        <v>90</v>
      </c>
      <c r="X2" s="1">
        <f>IFERROR((Table1[[#This Row],[PDQ39_post]]-Table1[[#This Row],[PDQ39_pre]])/Table1[[#This Row],[PDQ39_pre]]*100, "NA")</f>
        <v>-10</v>
      </c>
      <c r="Y2" s="1">
        <v>26</v>
      </c>
      <c r="Z2" s="10">
        <v>0.1</v>
      </c>
      <c r="AA2" s="10">
        <v>0.2</v>
      </c>
      <c r="AB2" s="10">
        <v>10</v>
      </c>
      <c r="AC2" s="10">
        <v>5</v>
      </c>
      <c r="AD2" s="10">
        <v>0.1</v>
      </c>
      <c r="AE2" s="10">
        <v>0.2</v>
      </c>
      <c r="AF2" s="10">
        <v>10</v>
      </c>
      <c r="AG2" s="10">
        <v>5</v>
      </c>
    </row>
    <row r="3" spans="1:33" x14ac:dyDescent="0.2">
      <c r="A3" s="2" t="s">
        <v>9</v>
      </c>
      <c r="B3" s="2">
        <v>52</v>
      </c>
      <c r="C3" s="2" t="s">
        <v>6</v>
      </c>
      <c r="D3" s="1">
        <v>12</v>
      </c>
      <c r="E3" s="1">
        <v>9</v>
      </c>
      <c r="F3" s="3">
        <v>42401</v>
      </c>
      <c r="G3" s="1">
        <v>2</v>
      </c>
      <c r="H3" s="2" t="s">
        <v>4</v>
      </c>
      <c r="I3" s="2" t="s">
        <v>45</v>
      </c>
      <c r="J3" s="10">
        <v>74</v>
      </c>
      <c r="K3" s="10">
        <v>75</v>
      </c>
      <c r="L3" s="10">
        <f>IFERROR((Table1[[#This Row],[Weight_post]]-Table1[[#This Row],[Weight_pre]])/Table1[[#This Row],[Weight_pre]]*100,"#NA")</f>
        <v>1.3513513513513513</v>
      </c>
      <c r="M3" s="1">
        <v>60</v>
      </c>
      <c r="N3" s="1">
        <v>20</v>
      </c>
      <c r="O3" s="10">
        <f>IFERROR((Table1[[#This Row],[UPDRS3_post]]-Table1[[#This Row],[UPDRS3_pre]])/Table1[[#This Row],[UPDRS3_pre]]*100, "NA")</f>
        <v>-66.666666666666657</v>
      </c>
      <c r="P3" s="1">
        <v>5</v>
      </c>
      <c r="Q3" s="1">
        <v>5</v>
      </c>
      <c r="R3" s="10">
        <f>IFERROR((Table1[[#This Row],[UPDRS4_post]]-Table1[[#This Row],[UPDRS4_pre]])/Table1[[#This Row],[UPDRS4_pre]]*100, "NA")</f>
        <v>0</v>
      </c>
      <c r="S3" s="1">
        <v>3000</v>
      </c>
      <c r="T3" s="1">
        <v>1000</v>
      </c>
      <c r="U3" s="1">
        <f>IFERROR((Table1[[#This Row],[LEDD_post]]-Table1[[#This Row],[LEDD_pre]])/Table1[[#This Row],[LEDD_pre]]*100, "NA")</f>
        <v>-66.666666666666657</v>
      </c>
      <c r="V3" s="1">
        <v>90</v>
      </c>
      <c r="W3" s="10">
        <v>70</v>
      </c>
      <c r="X3" s="10">
        <f>IFERROR((Table1[[#This Row],[PDQ39_post]]-Table1[[#This Row],[PDQ39_pre]])/Table1[[#This Row],[PDQ39_pre]]*100, "NA")</f>
        <v>-22.222222222222221</v>
      </c>
      <c r="Y3" s="1">
        <v>27</v>
      </c>
      <c r="Z3" s="16">
        <v>0.2</v>
      </c>
      <c r="AA3" s="16">
        <v>0.3</v>
      </c>
      <c r="AB3" s="16">
        <v>20</v>
      </c>
      <c r="AC3" s="16">
        <v>10</v>
      </c>
      <c r="AD3" s="16">
        <v>0.2</v>
      </c>
      <c r="AE3" s="16">
        <v>0.3</v>
      </c>
      <c r="AF3" s="16">
        <v>20</v>
      </c>
      <c r="AG3" s="16">
        <v>10</v>
      </c>
    </row>
    <row r="4" spans="1:33" x14ac:dyDescent="0.2">
      <c r="A4" s="2" t="s">
        <v>10</v>
      </c>
      <c r="B4" s="2">
        <v>54</v>
      </c>
      <c r="C4" s="2" t="s">
        <v>7</v>
      </c>
      <c r="D4" s="1">
        <v>13</v>
      </c>
      <c r="E4" s="1">
        <v>10</v>
      </c>
      <c r="F4" s="3">
        <v>42430</v>
      </c>
      <c r="G4" s="1">
        <v>3</v>
      </c>
      <c r="H4" s="2" t="s">
        <v>3</v>
      </c>
      <c r="I4" s="2" t="s">
        <v>46</v>
      </c>
      <c r="J4" s="10">
        <v>77</v>
      </c>
      <c r="K4" s="10">
        <v>80</v>
      </c>
      <c r="L4" s="10">
        <f>IFERROR((Table1[[#This Row],[Weight_post]]-Table1[[#This Row],[Weight_pre]])/Table1[[#This Row],[Weight_pre]]*100,"#NA")</f>
        <v>3.8961038961038961</v>
      </c>
      <c r="M4" s="1">
        <v>40</v>
      </c>
      <c r="N4" s="1">
        <v>30</v>
      </c>
      <c r="O4" s="1">
        <f>IFERROR((Table1[[#This Row],[UPDRS3_post]]-Table1[[#This Row],[UPDRS3_pre]])/Table1[[#This Row],[UPDRS3_pre]]*100, "NA")</f>
        <v>-25</v>
      </c>
      <c r="P4" s="1">
        <v>10</v>
      </c>
      <c r="Q4" s="1">
        <v>5</v>
      </c>
      <c r="R4" s="1">
        <f>IFERROR((Table1[[#This Row],[UPDRS4_post]]-Table1[[#This Row],[UPDRS4_pre]])/Table1[[#This Row],[UPDRS4_pre]]*100, "NA")</f>
        <v>-50</v>
      </c>
      <c r="S4" s="1">
        <v>500</v>
      </c>
      <c r="T4" s="1">
        <v>200</v>
      </c>
      <c r="U4" s="1">
        <f>IFERROR((Table1[[#This Row],[LEDD_post]]-Table1[[#This Row],[LEDD_pre]])/Table1[[#This Row],[LEDD_pre]]*100, "NA")</f>
        <v>-60</v>
      </c>
      <c r="V4" s="1">
        <v>80</v>
      </c>
      <c r="W4" s="1">
        <v>60</v>
      </c>
      <c r="X4" s="1">
        <f>IFERROR((Table1[[#This Row],[PDQ39_post]]-Table1[[#This Row],[PDQ39_pre]])/Table1[[#This Row],[PDQ39_pre]]*100, "NA")</f>
        <v>-25</v>
      </c>
      <c r="Y4" s="10">
        <v>28</v>
      </c>
      <c r="Z4" s="16">
        <v>0.3</v>
      </c>
      <c r="AA4" s="16">
        <v>0.4</v>
      </c>
      <c r="AB4" s="16">
        <v>30</v>
      </c>
      <c r="AC4" s="16">
        <v>15</v>
      </c>
      <c r="AD4" s="16">
        <v>0.3</v>
      </c>
      <c r="AE4" s="16">
        <v>0.4</v>
      </c>
      <c r="AF4" s="16">
        <v>30</v>
      </c>
      <c r="AG4" s="16">
        <v>15</v>
      </c>
    </row>
    <row r="5" spans="1:33" x14ac:dyDescent="0.2">
      <c r="A5" s="2" t="s">
        <v>11</v>
      </c>
      <c r="B5" s="2">
        <v>56</v>
      </c>
      <c r="C5" s="2" t="s">
        <v>6</v>
      </c>
      <c r="D5" s="1">
        <v>11</v>
      </c>
      <c r="E5" s="1">
        <v>11</v>
      </c>
      <c r="F5" s="3">
        <v>42461</v>
      </c>
      <c r="G5" s="1">
        <v>4</v>
      </c>
      <c r="H5" s="2" t="s">
        <v>4</v>
      </c>
      <c r="I5" s="2" t="s">
        <v>44</v>
      </c>
      <c r="J5" s="10">
        <v>65</v>
      </c>
      <c r="K5" s="10">
        <v>67</v>
      </c>
      <c r="L5" s="10">
        <f>IFERROR((Table1[[#This Row],[Weight_post]]-Table1[[#This Row],[Weight_pre]])/Table1[[#This Row],[Weight_pre]]*100,"#NA")</f>
        <v>3.0769230769230771</v>
      </c>
      <c r="M5" s="1">
        <v>50</v>
      </c>
      <c r="N5" s="1">
        <v>20</v>
      </c>
      <c r="O5" s="1">
        <f>IFERROR((Table1[[#This Row],[UPDRS3_post]]-Table1[[#This Row],[UPDRS3_pre]])/Table1[[#This Row],[UPDRS3_pre]]*100, "NA")</f>
        <v>-60</v>
      </c>
      <c r="P5" s="1">
        <v>15</v>
      </c>
      <c r="Q5" s="1">
        <v>10</v>
      </c>
      <c r="R5" s="1">
        <f>IFERROR((Table1[[#This Row],[UPDRS4_post]]-Table1[[#This Row],[UPDRS4_pre]])/Table1[[#This Row],[UPDRS4_pre]]*100, "NA")</f>
        <v>-33.333333333333329</v>
      </c>
      <c r="S5" s="1">
        <v>1500</v>
      </c>
      <c r="T5" s="1">
        <v>500</v>
      </c>
      <c r="U5" s="1">
        <f>IFERROR((Table1[[#This Row],[LEDD_post]]-Table1[[#This Row],[LEDD_pre]])/Table1[[#This Row],[LEDD_pre]]*100, "NA")</f>
        <v>-66.666666666666657</v>
      </c>
      <c r="V5" s="1">
        <v>70</v>
      </c>
      <c r="W5" s="1">
        <v>50</v>
      </c>
      <c r="X5" s="1">
        <f>IFERROR((Table1[[#This Row],[PDQ39_post]]-Table1[[#This Row],[PDQ39_pre]])/Table1[[#This Row],[PDQ39_pre]]*100, "NA")</f>
        <v>-28.571428571428569</v>
      </c>
      <c r="Y5" s="1">
        <v>29</v>
      </c>
      <c r="Z5" s="10">
        <v>0.4</v>
      </c>
      <c r="AA5" s="10">
        <v>0.5</v>
      </c>
      <c r="AB5" s="10">
        <v>40</v>
      </c>
      <c r="AC5" s="10">
        <v>20</v>
      </c>
      <c r="AD5" s="10">
        <v>0.4</v>
      </c>
      <c r="AE5" s="10">
        <v>0.5</v>
      </c>
      <c r="AF5" s="10">
        <v>40</v>
      </c>
      <c r="AG5" s="10">
        <v>20</v>
      </c>
    </row>
    <row r="6" spans="1:33" x14ac:dyDescent="0.2">
      <c r="A6" s="2" t="s">
        <v>12</v>
      </c>
      <c r="B6" s="2">
        <v>58</v>
      </c>
      <c r="C6" s="2" t="s">
        <v>7</v>
      </c>
      <c r="D6" s="1">
        <v>12</v>
      </c>
      <c r="E6" s="1">
        <v>12</v>
      </c>
      <c r="F6" s="3">
        <v>42491</v>
      </c>
      <c r="G6" s="1">
        <v>5</v>
      </c>
      <c r="H6" s="2" t="s">
        <v>3</v>
      </c>
      <c r="I6" s="2" t="s">
        <v>45</v>
      </c>
      <c r="J6" s="10">
        <v>71</v>
      </c>
      <c r="K6" s="10">
        <v>73</v>
      </c>
      <c r="L6" s="10">
        <f>IFERROR((Table1[[#This Row],[Weight_post]]-Table1[[#This Row],[Weight_pre]])/Table1[[#This Row],[Weight_pre]]*100,"#NA")</f>
        <v>2.8169014084507045</v>
      </c>
      <c r="M6" s="1">
        <v>60</v>
      </c>
      <c r="N6" s="1">
        <v>40</v>
      </c>
      <c r="O6" s="1">
        <f>IFERROR((Table1[[#This Row],[UPDRS3_post]]-Table1[[#This Row],[UPDRS3_pre]])/Table1[[#This Row],[UPDRS3_pre]]*100, "NA")</f>
        <v>-33.333333333333329</v>
      </c>
      <c r="P6" s="1">
        <v>2</v>
      </c>
      <c r="Q6" s="1">
        <v>0</v>
      </c>
      <c r="R6" s="1">
        <f>IFERROR((Table1[[#This Row],[UPDRS4_post]]-Table1[[#This Row],[UPDRS4_pre]])/Table1[[#This Row],[UPDRS4_pre]]*100, "NA")</f>
        <v>-100</v>
      </c>
      <c r="S6" s="1">
        <v>1000</v>
      </c>
      <c r="T6" s="1">
        <v>1000</v>
      </c>
      <c r="U6" s="1">
        <f>IFERROR((Table1[[#This Row],[LEDD_post]]-Table1[[#This Row],[LEDD_pre]])/Table1[[#This Row],[LEDD_pre]]*100, "NA")</f>
        <v>0</v>
      </c>
      <c r="V6" s="1">
        <v>100</v>
      </c>
      <c r="W6" s="1">
        <v>90</v>
      </c>
      <c r="X6" s="10">
        <f>IFERROR((Table1[[#This Row],[PDQ39_post]]-Table1[[#This Row],[PDQ39_pre]])/Table1[[#This Row],[PDQ39_pre]]*100, "NA")</f>
        <v>-10</v>
      </c>
      <c r="Y6" s="1">
        <v>26</v>
      </c>
      <c r="Z6" s="16">
        <v>0.5</v>
      </c>
      <c r="AA6" s="16">
        <v>0.6</v>
      </c>
      <c r="AB6" s="16">
        <v>50</v>
      </c>
      <c r="AC6" s="16">
        <v>25</v>
      </c>
      <c r="AD6" s="16">
        <v>0.5</v>
      </c>
      <c r="AE6" s="16">
        <v>0.6</v>
      </c>
      <c r="AF6" s="16">
        <v>50</v>
      </c>
      <c r="AG6" s="16">
        <v>25</v>
      </c>
    </row>
    <row r="7" spans="1:33" x14ac:dyDescent="0.2">
      <c r="A7" s="2" t="s">
        <v>13</v>
      </c>
      <c r="B7" s="2">
        <v>60</v>
      </c>
      <c r="C7" s="2" t="s">
        <v>6</v>
      </c>
      <c r="D7" s="1">
        <v>13</v>
      </c>
      <c r="E7" s="1">
        <v>8</v>
      </c>
      <c r="F7" s="3">
        <v>42522</v>
      </c>
      <c r="G7" s="1">
        <v>6</v>
      </c>
      <c r="H7" s="2" t="s">
        <v>4</v>
      </c>
      <c r="I7" s="2" t="s">
        <v>46</v>
      </c>
      <c r="J7" s="10">
        <v>74</v>
      </c>
      <c r="K7" s="10">
        <v>75</v>
      </c>
      <c r="L7" s="10">
        <f>IFERROR((Table1[[#This Row],[Weight_post]]-Table1[[#This Row],[Weight_pre]])/Table1[[#This Row],[Weight_pre]]*100,"#NA")</f>
        <v>1.3513513513513513</v>
      </c>
      <c r="M7" s="1">
        <v>40</v>
      </c>
      <c r="N7" s="1">
        <v>20</v>
      </c>
      <c r="O7" s="10">
        <f>IFERROR((Table1[[#This Row],[UPDRS3_post]]-Table1[[#This Row],[UPDRS3_pre]])/Table1[[#This Row],[UPDRS3_pre]]*100, "NA")</f>
        <v>-50</v>
      </c>
      <c r="P7" s="1">
        <v>5</v>
      </c>
      <c r="Q7" s="1">
        <v>5</v>
      </c>
      <c r="R7" s="10">
        <f>IFERROR((Table1[[#This Row],[UPDRS4_post]]-Table1[[#This Row],[UPDRS4_pre]])/Table1[[#This Row],[UPDRS4_pre]]*100, "NA")</f>
        <v>0</v>
      </c>
      <c r="S7" s="1">
        <v>3000</v>
      </c>
      <c r="T7" s="1">
        <v>1000</v>
      </c>
      <c r="U7" s="1">
        <f>IFERROR((Table1[[#This Row],[LEDD_post]]-Table1[[#This Row],[LEDD_pre]])/Table1[[#This Row],[LEDD_pre]]*100, "NA")</f>
        <v>-66.666666666666657</v>
      </c>
      <c r="V7" s="1">
        <v>90</v>
      </c>
      <c r="W7" s="10">
        <v>70</v>
      </c>
      <c r="X7" s="10">
        <f>IFERROR((Table1[[#This Row],[PDQ39_post]]-Table1[[#This Row],[PDQ39_pre]])/Table1[[#This Row],[PDQ39_pre]]*100, "NA")</f>
        <v>-22.222222222222221</v>
      </c>
      <c r="Y7" s="1">
        <v>27</v>
      </c>
      <c r="Z7" s="16">
        <v>0.6</v>
      </c>
      <c r="AA7" s="16">
        <v>0.7</v>
      </c>
      <c r="AB7" s="16">
        <v>60</v>
      </c>
      <c r="AC7" s="16">
        <v>30</v>
      </c>
      <c r="AD7" s="16">
        <v>0.6</v>
      </c>
      <c r="AE7" s="16">
        <v>0.7</v>
      </c>
      <c r="AF7" s="16">
        <v>60</v>
      </c>
      <c r="AG7" s="16">
        <v>30</v>
      </c>
    </row>
    <row r="8" spans="1:33" x14ac:dyDescent="0.2">
      <c r="A8" s="2" t="s">
        <v>14</v>
      </c>
      <c r="B8" s="2">
        <v>62</v>
      </c>
      <c r="C8" s="2" t="s">
        <v>7</v>
      </c>
      <c r="D8" s="1">
        <v>11</v>
      </c>
      <c r="E8" s="1">
        <v>9</v>
      </c>
      <c r="F8" s="3">
        <v>42552</v>
      </c>
      <c r="G8" s="1">
        <v>7</v>
      </c>
      <c r="H8" s="2" t="s">
        <v>3</v>
      </c>
      <c r="I8" s="2" t="s">
        <v>44</v>
      </c>
      <c r="J8" s="10">
        <v>77</v>
      </c>
      <c r="K8" s="10">
        <v>80</v>
      </c>
      <c r="L8" s="10">
        <f>IFERROR((Table1[[#This Row],[Weight_post]]-Table1[[#This Row],[Weight_pre]])/Table1[[#This Row],[Weight_pre]]*100,"#NA")</f>
        <v>3.8961038961038961</v>
      </c>
      <c r="M8" s="1">
        <v>50</v>
      </c>
      <c r="N8" s="1">
        <v>30</v>
      </c>
      <c r="O8" s="10">
        <f>IFERROR((Table1[[#This Row],[UPDRS3_post]]-Table1[[#This Row],[UPDRS3_pre]])/Table1[[#This Row],[UPDRS3_pre]]*100, "NA")</f>
        <v>-40</v>
      </c>
      <c r="P8" s="1">
        <v>10</v>
      </c>
      <c r="Q8" s="1">
        <v>5</v>
      </c>
      <c r="R8" s="10">
        <f>IFERROR((Table1[[#This Row],[UPDRS4_post]]-Table1[[#This Row],[UPDRS4_pre]])/Table1[[#This Row],[UPDRS4_pre]]*100, "NA")</f>
        <v>-50</v>
      </c>
      <c r="S8" s="1">
        <v>500</v>
      </c>
      <c r="T8" s="1">
        <v>200</v>
      </c>
      <c r="U8" s="1">
        <f>IFERROR((Table1[[#This Row],[LEDD_post]]-Table1[[#This Row],[LEDD_pre]])/Table1[[#This Row],[LEDD_pre]]*100, "NA")</f>
        <v>-60</v>
      </c>
      <c r="V8" s="1">
        <v>80</v>
      </c>
      <c r="W8" s="1">
        <v>60</v>
      </c>
      <c r="X8" s="10">
        <f>IFERROR((Table1[[#This Row],[PDQ39_post]]-Table1[[#This Row],[PDQ39_pre]])/Table1[[#This Row],[PDQ39_pre]]*100, "NA")</f>
        <v>-25</v>
      </c>
      <c r="Y8" s="10">
        <v>28</v>
      </c>
      <c r="Z8" s="16">
        <v>0.7</v>
      </c>
      <c r="AA8" s="16">
        <v>0.8</v>
      </c>
      <c r="AB8" s="16">
        <v>70</v>
      </c>
      <c r="AC8" s="16">
        <v>35</v>
      </c>
      <c r="AD8" s="16">
        <v>0.7</v>
      </c>
      <c r="AE8" s="16">
        <v>0.8</v>
      </c>
      <c r="AF8" s="16">
        <v>70</v>
      </c>
      <c r="AG8" s="16">
        <v>35</v>
      </c>
    </row>
    <row r="9" spans="1:33" s="36" customFormat="1" x14ac:dyDescent="0.2">
      <c r="A9" s="2" t="s">
        <v>15</v>
      </c>
      <c r="B9" s="2">
        <v>64</v>
      </c>
      <c r="C9" s="2" t="s">
        <v>6</v>
      </c>
      <c r="D9" s="1">
        <v>12</v>
      </c>
      <c r="E9" s="1">
        <v>10</v>
      </c>
      <c r="F9" s="3">
        <v>42583</v>
      </c>
      <c r="G9" s="1">
        <v>8</v>
      </c>
      <c r="H9" s="2" t="s">
        <v>4</v>
      </c>
      <c r="I9" s="2" t="s">
        <v>45</v>
      </c>
      <c r="J9" s="10">
        <v>65</v>
      </c>
      <c r="K9" s="10">
        <v>67</v>
      </c>
      <c r="L9" s="10">
        <f>IFERROR((Table1[[#This Row],[Weight_post]]-Table1[[#This Row],[Weight_pre]])/Table1[[#This Row],[Weight_pre]]*100,"#NA")</f>
        <v>3.0769230769230771</v>
      </c>
      <c r="M9" s="1">
        <v>60</v>
      </c>
      <c r="N9" s="1">
        <v>20</v>
      </c>
      <c r="O9" s="1">
        <f>IFERROR((Table1[[#This Row],[UPDRS3_post]]-Table1[[#This Row],[UPDRS3_pre]])/Table1[[#This Row],[UPDRS3_pre]]*100, "NA")</f>
        <v>-66.666666666666657</v>
      </c>
      <c r="P9" s="1">
        <v>15</v>
      </c>
      <c r="Q9" s="1">
        <v>10</v>
      </c>
      <c r="R9" s="1">
        <f>IFERROR((Table1[[#This Row],[UPDRS4_post]]-Table1[[#This Row],[UPDRS4_pre]])/Table1[[#This Row],[UPDRS4_pre]]*100, "NA")</f>
        <v>-33.333333333333329</v>
      </c>
      <c r="S9" s="1">
        <v>1500</v>
      </c>
      <c r="T9" s="1">
        <v>500</v>
      </c>
      <c r="U9" s="1">
        <f>IFERROR((Table1[[#This Row],[LEDD_post]]-Table1[[#This Row],[LEDD_pre]])/Table1[[#This Row],[LEDD_pre]]*100, "NA")</f>
        <v>-66.666666666666657</v>
      </c>
      <c r="V9" s="1">
        <v>70</v>
      </c>
      <c r="W9" s="1">
        <v>50</v>
      </c>
      <c r="X9" s="10">
        <f>IFERROR((Table1[[#This Row],[PDQ39_post]]-Table1[[#This Row],[PDQ39_pre]])/Table1[[#This Row],[PDQ39_pre]]*100, "NA")</f>
        <v>-28.571428571428569</v>
      </c>
      <c r="Y9" s="1">
        <v>29</v>
      </c>
      <c r="Z9" s="10">
        <v>0.8</v>
      </c>
      <c r="AA9" s="10">
        <v>0.9</v>
      </c>
      <c r="AB9" s="10">
        <v>80</v>
      </c>
      <c r="AC9" s="10">
        <v>40</v>
      </c>
      <c r="AD9" s="10">
        <v>0.8</v>
      </c>
      <c r="AE9" s="10">
        <v>0.9</v>
      </c>
      <c r="AF9" s="10">
        <v>80</v>
      </c>
      <c r="AG9" s="10">
        <v>40</v>
      </c>
    </row>
    <row r="10" spans="1:33" x14ac:dyDescent="0.2">
      <c r="A10" s="2" t="s">
        <v>16</v>
      </c>
      <c r="B10" s="2">
        <v>66</v>
      </c>
      <c r="C10" s="2" t="s">
        <v>7</v>
      </c>
      <c r="D10" s="1">
        <v>13</v>
      </c>
      <c r="E10" s="1">
        <v>11</v>
      </c>
      <c r="F10" s="3">
        <v>42614</v>
      </c>
      <c r="G10" s="1">
        <v>9</v>
      </c>
      <c r="H10" s="2" t="s">
        <v>3</v>
      </c>
      <c r="I10" s="2" t="s">
        <v>46</v>
      </c>
      <c r="J10" s="10">
        <v>71</v>
      </c>
      <c r="K10" s="10">
        <v>73</v>
      </c>
      <c r="L10" s="10">
        <f>IFERROR((Table1[[#This Row],[Weight_post]]-Table1[[#This Row],[Weight_pre]])/Table1[[#This Row],[Weight_pre]]*100,"#NA")</f>
        <v>2.8169014084507045</v>
      </c>
      <c r="M10" s="1">
        <v>40</v>
      </c>
      <c r="N10" s="1">
        <v>30</v>
      </c>
      <c r="O10" s="1">
        <f>IFERROR((Table1[[#This Row],[UPDRS3_post]]-Table1[[#This Row],[UPDRS3_pre]])/Table1[[#This Row],[UPDRS3_pre]]*100, "NA")</f>
        <v>-25</v>
      </c>
      <c r="P10" s="1">
        <v>2</v>
      </c>
      <c r="Q10" s="1">
        <v>0</v>
      </c>
      <c r="R10" s="1">
        <f>IFERROR((Table1[[#This Row],[UPDRS4_post]]-Table1[[#This Row],[UPDRS4_pre]])/Table1[[#This Row],[UPDRS4_pre]]*100, "NA")</f>
        <v>-100</v>
      </c>
      <c r="S10" s="1">
        <v>1000</v>
      </c>
      <c r="T10" s="1">
        <v>1000</v>
      </c>
      <c r="U10" s="1">
        <f>IFERROR((Table1[[#This Row],[LEDD_post]]-Table1[[#This Row],[LEDD_pre]])/Table1[[#This Row],[LEDD_pre]]*100, "NA")</f>
        <v>0</v>
      </c>
      <c r="V10" s="1">
        <v>100</v>
      </c>
      <c r="W10" s="1">
        <v>90</v>
      </c>
      <c r="X10" s="1">
        <f>IFERROR((Table1[[#This Row],[PDQ39_post]]-Table1[[#This Row],[PDQ39_pre]])/Table1[[#This Row],[PDQ39_pre]]*100, "NA")</f>
        <v>-10</v>
      </c>
      <c r="Y10" s="1">
        <v>26</v>
      </c>
      <c r="Z10" s="16">
        <v>0.9</v>
      </c>
      <c r="AA10" s="16">
        <v>1</v>
      </c>
      <c r="AB10" s="16">
        <v>90</v>
      </c>
      <c r="AC10" s="16">
        <v>45</v>
      </c>
      <c r="AD10" s="16">
        <v>0.9</v>
      </c>
      <c r="AE10" s="16">
        <v>1</v>
      </c>
      <c r="AF10" s="16">
        <v>90</v>
      </c>
      <c r="AG10" s="16">
        <v>45</v>
      </c>
    </row>
    <row r="11" spans="1:33" x14ac:dyDescent="0.2">
      <c r="A11" s="2" t="s">
        <v>17</v>
      </c>
      <c r="B11" s="2">
        <v>68</v>
      </c>
      <c r="C11" s="2" t="s">
        <v>6</v>
      </c>
      <c r="D11" s="1">
        <v>11</v>
      </c>
      <c r="E11" s="1">
        <v>12</v>
      </c>
      <c r="F11" s="3">
        <v>42644</v>
      </c>
      <c r="G11" s="1">
        <v>10</v>
      </c>
      <c r="H11" s="2" t="s">
        <v>4</v>
      </c>
      <c r="I11" s="2" t="s">
        <v>44</v>
      </c>
      <c r="J11" s="10">
        <v>74</v>
      </c>
      <c r="K11" s="10">
        <v>75</v>
      </c>
      <c r="L11" s="10">
        <f>IFERROR((Table1[[#This Row],[Weight_post]]-Table1[[#This Row],[Weight_pre]])/Table1[[#This Row],[Weight_pre]]*100,"#NA")</f>
        <v>1.3513513513513513</v>
      </c>
      <c r="M11" s="1">
        <v>50</v>
      </c>
      <c r="N11" s="1">
        <v>20</v>
      </c>
      <c r="O11" s="10">
        <f>IFERROR((Table1[[#This Row],[UPDRS3_post]]-Table1[[#This Row],[UPDRS3_pre]])/Table1[[#This Row],[UPDRS3_pre]]*100, "NA")</f>
        <v>-60</v>
      </c>
      <c r="P11" s="1">
        <v>5</v>
      </c>
      <c r="Q11" s="1">
        <v>5</v>
      </c>
      <c r="R11" s="10">
        <f>IFERROR((Table1[[#This Row],[UPDRS4_post]]-Table1[[#This Row],[UPDRS4_pre]])/Table1[[#This Row],[UPDRS4_pre]]*100, "NA")</f>
        <v>0</v>
      </c>
      <c r="S11" s="1">
        <v>3000</v>
      </c>
      <c r="T11" s="1">
        <v>1000</v>
      </c>
      <c r="U11" s="10">
        <f>IFERROR((Table1[[#This Row],[LEDD_post]]-Table1[[#This Row],[LEDD_pre]])/Table1[[#This Row],[LEDD_pre]]*100, "NA")</f>
        <v>-66.666666666666657</v>
      </c>
      <c r="V11" s="1">
        <v>90</v>
      </c>
      <c r="W11" s="10">
        <v>70</v>
      </c>
      <c r="X11" s="10">
        <f>IFERROR((Table1[[#This Row],[PDQ39_post]]-Table1[[#This Row],[PDQ39_pre]])/Table1[[#This Row],[PDQ39_pre]]*100, "NA")</f>
        <v>-22.222222222222221</v>
      </c>
      <c r="Y11" s="1">
        <v>27</v>
      </c>
      <c r="Z11" s="16">
        <v>1</v>
      </c>
      <c r="AA11" s="16">
        <v>1.1000000000000001</v>
      </c>
      <c r="AB11" s="16">
        <v>100</v>
      </c>
      <c r="AC11" s="16">
        <v>50</v>
      </c>
      <c r="AD11" s="16">
        <v>1</v>
      </c>
      <c r="AE11" s="16">
        <v>1.1000000000000001</v>
      </c>
      <c r="AF11" s="16">
        <v>100</v>
      </c>
      <c r="AG11" s="16">
        <v>50</v>
      </c>
    </row>
    <row r="12" spans="1:33" x14ac:dyDescent="0.2">
      <c r="A12" s="2" t="s">
        <v>90</v>
      </c>
      <c r="B12" s="2">
        <v>70</v>
      </c>
      <c r="C12" s="2" t="s">
        <v>7</v>
      </c>
      <c r="D12" s="1">
        <v>12</v>
      </c>
      <c r="E12" s="1">
        <v>8</v>
      </c>
      <c r="F12" s="3">
        <v>42675</v>
      </c>
      <c r="G12" s="1">
        <v>11</v>
      </c>
      <c r="H12" s="2" t="s">
        <v>3</v>
      </c>
      <c r="I12" s="2" t="s">
        <v>45</v>
      </c>
      <c r="J12" s="10">
        <v>77</v>
      </c>
      <c r="K12" s="10">
        <v>80</v>
      </c>
      <c r="L12" s="10">
        <f>IFERROR((Table1[[#This Row],[Weight_post]]-Table1[[#This Row],[Weight_pre]])/Table1[[#This Row],[Weight_pre]]*100,"#NA")</f>
        <v>3.8961038961038961</v>
      </c>
      <c r="M12" s="1">
        <v>60</v>
      </c>
      <c r="N12" s="1">
        <v>40</v>
      </c>
      <c r="O12" s="10">
        <f>IFERROR((Table1[[#This Row],[UPDRS3_post]]-Table1[[#This Row],[UPDRS3_pre]])/Table1[[#This Row],[UPDRS3_pre]]*100, "NA")</f>
        <v>-33.333333333333329</v>
      </c>
      <c r="P12" s="1">
        <v>10</v>
      </c>
      <c r="Q12" s="1">
        <v>5</v>
      </c>
      <c r="R12" s="10">
        <f>IFERROR((Table1[[#This Row],[UPDRS4_post]]-Table1[[#This Row],[UPDRS4_pre]])/Table1[[#This Row],[UPDRS4_pre]]*100, "NA")</f>
        <v>-50</v>
      </c>
      <c r="S12" s="1">
        <v>500</v>
      </c>
      <c r="T12" s="1">
        <v>200</v>
      </c>
      <c r="U12" s="1">
        <f>IFERROR((Table1[[#This Row],[LEDD_post]]-Table1[[#This Row],[LEDD_pre]])/Table1[[#This Row],[LEDD_pre]]*100, "NA")</f>
        <v>-60</v>
      </c>
      <c r="V12" s="1">
        <v>80</v>
      </c>
      <c r="W12" s="1">
        <v>60</v>
      </c>
      <c r="X12" s="10">
        <f>IFERROR((Table1[[#This Row],[PDQ39_post]]-Table1[[#This Row],[PDQ39_pre]])/Table1[[#This Row],[PDQ39_pre]]*100, "NA")</f>
        <v>-25</v>
      </c>
      <c r="Y12" s="10">
        <v>28</v>
      </c>
      <c r="Z12" s="16">
        <v>1.1000000000000001</v>
      </c>
      <c r="AA12" s="16">
        <v>1.2</v>
      </c>
      <c r="AB12" s="16">
        <v>110</v>
      </c>
      <c r="AC12" s="16">
        <v>55</v>
      </c>
      <c r="AD12" s="16">
        <v>1.1000000000000001</v>
      </c>
      <c r="AE12" s="16">
        <v>1.2</v>
      </c>
      <c r="AF12" s="16">
        <v>110</v>
      </c>
      <c r="AG12" s="16">
        <v>55</v>
      </c>
    </row>
    <row r="13" spans="1:33" x14ac:dyDescent="0.2">
      <c r="A13" s="2" t="s">
        <v>91</v>
      </c>
      <c r="B13" s="2">
        <v>72</v>
      </c>
      <c r="C13" s="2" t="s">
        <v>6</v>
      </c>
      <c r="D13" s="1">
        <v>13</v>
      </c>
      <c r="E13" s="1">
        <v>9</v>
      </c>
      <c r="F13" s="3">
        <v>42705</v>
      </c>
      <c r="G13" s="1">
        <v>12</v>
      </c>
      <c r="H13" s="2" t="s">
        <v>4</v>
      </c>
      <c r="I13" s="2" t="s">
        <v>46</v>
      </c>
      <c r="J13" s="10">
        <v>65</v>
      </c>
      <c r="K13" s="10">
        <v>67</v>
      </c>
      <c r="L13" s="10">
        <f>IFERROR((Table1[[#This Row],[Weight_post]]-Table1[[#This Row],[Weight_pre]])/Table1[[#This Row],[Weight_pre]]*100,"#NA")</f>
        <v>3.0769230769230771</v>
      </c>
      <c r="M13" s="1">
        <v>40</v>
      </c>
      <c r="N13" s="1">
        <v>20</v>
      </c>
      <c r="O13" s="1">
        <f>IFERROR((Table1[[#This Row],[UPDRS3_post]]-Table1[[#This Row],[UPDRS3_pre]])/Table1[[#This Row],[UPDRS3_pre]]*100, "NA")</f>
        <v>-50</v>
      </c>
      <c r="P13" s="1">
        <v>15</v>
      </c>
      <c r="Q13" s="1">
        <v>10</v>
      </c>
      <c r="R13" s="1">
        <f>IFERROR((Table1[[#This Row],[UPDRS4_post]]-Table1[[#This Row],[UPDRS4_pre]])/Table1[[#This Row],[UPDRS4_pre]]*100, "NA")</f>
        <v>-33.333333333333329</v>
      </c>
      <c r="S13" s="1">
        <v>1500</v>
      </c>
      <c r="T13" s="1">
        <v>500</v>
      </c>
      <c r="U13" s="1">
        <f>IFERROR((Table1[[#This Row],[LEDD_post]]-Table1[[#This Row],[LEDD_pre]])/Table1[[#This Row],[LEDD_pre]]*100, "NA")</f>
        <v>-66.666666666666657</v>
      </c>
      <c r="V13" s="1">
        <v>70</v>
      </c>
      <c r="W13" s="1">
        <v>50</v>
      </c>
      <c r="X13" s="1">
        <f>IFERROR((Table1[[#This Row],[PDQ39_post]]-Table1[[#This Row],[PDQ39_pre]])/Table1[[#This Row],[PDQ39_pre]]*100, "NA")</f>
        <v>-28.571428571428569</v>
      </c>
      <c r="Y13" s="1">
        <v>29</v>
      </c>
      <c r="Z13" s="16">
        <v>1.2</v>
      </c>
      <c r="AA13" s="16">
        <v>1.3</v>
      </c>
      <c r="AB13" s="16">
        <v>120</v>
      </c>
      <c r="AC13" s="16">
        <v>60</v>
      </c>
      <c r="AD13" s="16">
        <v>1.2</v>
      </c>
      <c r="AE13" s="16">
        <v>1.3</v>
      </c>
      <c r="AF13" s="16">
        <v>120</v>
      </c>
      <c r="AG13" s="16">
        <v>60</v>
      </c>
    </row>
    <row r="14" spans="1:33" x14ac:dyDescent="0.2">
      <c r="A14" s="2" t="s">
        <v>18</v>
      </c>
      <c r="B14" s="2">
        <v>51</v>
      </c>
      <c r="C14" s="2" t="s">
        <v>7</v>
      </c>
      <c r="D14" s="1">
        <v>11</v>
      </c>
      <c r="E14" s="1">
        <v>10</v>
      </c>
      <c r="F14" s="3">
        <v>42736</v>
      </c>
      <c r="G14" s="1">
        <v>13</v>
      </c>
      <c r="H14" s="2" t="s">
        <v>3</v>
      </c>
      <c r="I14" s="2" t="s">
        <v>44</v>
      </c>
      <c r="J14" s="10">
        <v>71</v>
      </c>
      <c r="K14" s="10">
        <v>73</v>
      </c>
      <c r="L14" s="10">
        <f>IFERROR((Table1[[#This Row],[Weight_post]]-Table1[[#This Row],[Weight_pre]])/Table1[[#This Row],[Weight_pre]]*100,"#NA")</f>
        <v>2.8169014084507045</v>
      </c>
      <c r="M14" s="1">
        <v>50</v>
      </c>
      <c r="N14" s="1">
        <v>30</v>
      </c>
      <c r="O14" s="1">
        <f>IFERROR((Table1[[#This Row],[UPDRS3_post]]-Table1[[#This Row],[UPDRS3_pre]])/Table1[[#This Row],[UPDRS3_pre]]*100, "NA")</f>
        <v>-40</v>
      </c>
      <c r="P14" s="1">
        <v>2</v>
      </c>
      <c r="Q14" s="1">
        <v>0</v>
      </c>
      <c r="R14" s="1">
        <f>IFERROR((Table1[[#This Row],[UPDRS4_post]]-Table1[[#This Row],[UPDRS4_pre]])/Table1[[#This Row],[UPDRS4_pre]]*100, "NA")</f>
        <v>-100</v>
      </c>
      <c r="S14" s="1">
        <v>1000</v>
      </c>
      <c r="T14" s="1">
        <v>1000</v>
      </c>
      <c r="U14" s="1">
        <f>IFERROR((Table1[[#This Row],[LEDD_post]]-Table1[[#This Row],[LEDD_pre]])/Table1[[#This Row],[LEDD_pre]]*100, "NA")</f>
        <v>0</v>
      </c>
      <c r="V14" s="1">
        <v>100</v>
      </c>
      <c r="W14" s="1">
        <v>90</v>
      </c>
      <c r="X14" s="1">
        <f>IFERROR((Table1[[#This Row],[PDQ39_post]]-Table1[[#This Row],[PDQ39_pre]])/Table1[[#This Row],[PDQ39_pre]]*100, "NA")</f>
        <v>-10</v>
      </c>
      <c r="Y14" s="1">
        <v>26</v>
      </c>
      <c r="Z14" s="10">
        <v>0.1</v>
      </c>
      <c r="AA14" s="10">
        <v>0.2</v>
      </c>
      <c r="AB14" s="10">
        <v>10</v>
      </c>
      <c r="AC14" s="10">
        <v>5</v>
      </c>
      <c r="AD14" s="10">
        <v>0.1</v>
      </c>
      <c r="AE14" s="10">
        <v>0.2</v>
      </c>
      <c r="AF14" s="10">
        <v>10</v>
      </c>
      <c r="AG14" s="10">
        <v>5</v>
      </c>
    </row>
    <row r="15" spans="1:33" x14ac:dyDescent="0.2">
      <c r="A15" s="2" t="s">
        <v>19</v>
      </c>
      <c r="B15" s="2">
        <v>53</v>
      </c>
      <c r="C15" s="2" t="s">
        <v>6</v>
      </c>
      <c r="D15" s="1">
        <v>12</v>
      </c>
      <c r="E15" s="1">
        <v>11</v>
      </c>
      <c r="F15" s="3">
        <v>42767</v>
      </c>
      <c r="G15" s="1">
        <v>14</v>
      </c>
      <c r="H15" s="2" t="s">
        <v>4</v>
      </c>
      <c r="I15" s="2" t="s">
        <v>45</v>
      </c>
      <c r="J15" s="10">
        <v>74</v>
      </c>
      <c r="K15" s="10">
        <v>75</v>
      </c>
      <c r="L15" s="10">
        <f>IFERROR((Table1[[#This Row],[Weight_post]]-Table1[[#This Row],[Weight_pre]])/Table1[[#This Row],[Weight_pre]]*100,"#NA")</f>
        <v>1.3513513513513513</v>
      </c>
      <c r="M15" s="1">
        <v>60</v>
      </c>
      <c r="N15" s="1">
        <v>20</v>
      </c>
      <c r="O15" s="1">
        <f>IFERROR((Table1[[#This Row],[UPDRS3_post]]-Table1[[#This Row],[UPDRS3_pre]])/Table1[[#This Row],[UPDRS3_pre]]*100, "NA")</f>
        <v>-66.666666666666657</v>
      </c>
      <c r="P15" s="1">
        <v>5</v>
      </c>
      <c r="Q15" s="1">
        <v>5</v>
      </c>
      <c r="R15" s="1">
        <f>IFERROR((Table1[[#This Row],[UPDRS4_post]]-Table1[[#This Row],[UPDRS4_pre]])/Table1[[#This Row],[UPDRS4_pre]]*100, "NA")</f>
        <v>0</v>
      </c>
      <c r="S15" s="1">
        <v>3000</v>
      </c>
      <c r="T15" s="1">
        <v>1000</v>
      </c>
      <c r="U15" s="1">
        <f>IFERROR((Table1[[#This Row],[LEDD_post]]-Table1[[#This Row],[LEDD_pre]])/Table1[[#This Row],[LEDD_pre]]*100, "NA")</f>
        <v>-66.666666666666657</v>
      </c>
      <c r="V15" s="1">
        <v>90</v>
      </c>
      <c r="W15" s="10">
        <v>70</v>
      </c>
      <c r="X15" s="1">
        <f>IFERROR((Table1[[#This Row],[PDQ39_post]]-Table1[[#This Row],[PDQ39_pre]])/Table1[[#This Row],[PDQ39_pre]]*100, "NA")</f>
        <v>-22.222222222222221</v>
      </c>
      <c r="Y15" s="1">
        <v>27</v>
      </c>
      <c r="Z15" s="16">
        <v>0.2</v>
      </c>
      <c r="AA15" s="16">
        <v>0.3</v>
      </c>
      <c r="AB15" s="16">
        <v>20</v>
      </c>
      <c r="AC15" s="16">
        <v>10</v>
      </c>
      <c r="AD15" s="16">
        <v>0.2</v>
      </c>
      <c r="AE15" s="16">
        <v>0.3</v>
      </c>
      <c r="AF15" s="16">
        <v>20</v>
      </c>
      <c r="AG15" s="16">
        <v>10</v>
      </c>
    </row>
    <row r="16" spans="1:33" x14ac:dyDescent="0.2">
      <c r="A16" s="2" t="s">
        <v>20</v>
      </c>
      <c r="B16" s="2">
        <v>55</v>
      </c>
      <c r="C16" s="2" t="s">
        <v>7</v>
      </c>
      <c r="D16" s="1">
        <v>13</v>
      </c>
      <c r="E16" s="1">
        <v>12</v>
      </c>
      <c r="F16" s="3">
        <v>42795</v>
      </c>
      <c r="G16" s="1">
        <v>15</v>
      </c>
      <c r="H16" s="2" t="s">
        <v>3</v>
      </c>
      <c r="I16" s="2" t="s">
        <v>46</v>
      </c>
      <c r="J16" s="10">
        <v>77</v>
      </c>
      <c r="K16" s="10">
        <v>80</v>
      </c>
      <c r="L16" s="10">
        <f>IFERROR((Table1[[#This Row],[Weight_post]]-Table1[[#This Row],[Weight_pre]])/Table1[[#This Row],[Weight_pre]]*100,"#NA")</f>
        <v>3.8961038961038961</v>
      </c>
      <c r="M16" s="1">
        <v>40</v>
      </c>
      <c r="N16" s="1">
        <v>30</v>
      </c>
      <c r="O16" s="1">
        <f>IFERROR((Table1[[#This Row],[UPDRS3_post]]-Table1[[#This Row],[UPDRS3_pre]])/Table1[[#This Row],[UPDRS3_pre]]*100, "NA")</f>
        <v>-25</v>
      </c>
      <c r="P16" s="1">
        <v>10</v>
      </c>
      <c r="Q16" s="1">
        <v>5</v>
      </c>
      <c r="R16" s="1">
        <f>IFERROR((Table1[[#This Row],[UPDRS4_post]]-Table1[[#This Row],[UPDRS4_pre]])/Table1[[#This Row],[UPDRS4_pre]]*100, "NA")</f>
        <v>-50</v>
      </c>
      <c r="S16" s="1">
        <v>500</v>
      </c>
      <c r="T16" s="1">
        <v>200</v>
      </c>
      <c r="U16" s="1">
        <f>IFERROR((Table1[[#This Row],[LEDD_post]]-Table1[[#This Row],[LEDD_pre]])/Table1[[#This Row],[LEDD_pre]]*100, "NA")</f>
        <v>-60</v>
      </c>
      <c r="V16" s="1">
        <v>80</v>
      </c>
      <c r="W16" s="1">
        <v>60</v>
      </c>
      <c r="X16" s="1">
        <f>IFERROR((Table1[[#This Row],[PDQ39_post]]-Table1[[#This Row],[PDQ39_pre]])/Table1[[#This Row],[PDQ39_pre]]*100, "NA")</f>
        <v>-25</v>
      </c>
      <c r="Y16" s="10">
        <v>28</v>
      </c>
      <c r="Z16" s="16">
        <v>0.3</v>
      </c>
      <c r="AA16" s="16">
        <v>0.4</v>
      </c>
      <c r="AB16" s="16">
        <v>30</v>
      </c>
      <c r="AC16" s="16">
        <v>15</v>
      </c>
      <c r="AD16" s="16">
        <v>0.3</v>
      </c>
      <c r="AE16" s="16">
        <v>0.4</v>
      </c>
      <c r="AF16" s="16">
        <v>30</v>
      </c>
      <c r="AG16" s="16">
        <v>15</v>
      </c>
    </row>
    <row r="17" spans="1:33" x14ac:dyDescent="0.2">
      <c r="A17" s="2" t="s">
        <v>21</v>
      </c>
      <c r="B17" s="2">
        <v>57</v>
      </c>
      <c r="C17" s="2" t="s">
        <v>6</v>
      </c>
      <c r="D17" s="1">
        <v>11</v>
      </c>
      <c r="E17" s="1">
        <v>8</v>
      </c>
      <c r="F17" s="3">
        <v>42826</v>
      </c>
      <c r="G17" s="1">
        <v>16</v>
      </c>
      <c r="H17" s="2" t="s">
        <v>4</v>
      </c>
      <c r="I17" s="2" t="s">
        <v>44</v>
      </c>
      <c r="J17" s="10">
        <v>65</v>
      </c>
      <c r="K17" s="10">
        <v>67</v>
      </c>
      <c r="L17" s="10">
        <f>IFERROR((Table1[[#This Row],[Weight_post]]-Table1[[#This Row],[Weight_pre]])/Table1[[#This Row],[Weight_pre]]*100,"#NA")</f>
        <v>3.0769230769230771</v>
      </c>
      <c r="M17" s="1">
        <v>50</v>
      </c>
      <c r="N17" s="1">
        <v>20</v>
      </c>
      <c r="O17" s="1">
        <f>IFERROR((Table1[[#This Row],[UPDRS3_post]]-Table1[[#This Row],[UPDRS3_pre]])/Table1[[#This Row],[UPDRS3_pre]]*100, "NA")</f>
        <v>-60</v>
      </c>
      <c r="P17" s="1">
        <v>15</v>
      </c>
      <c r="Q17" s="1">
        <v>10</v>
      </c>
      <c r="R17" s="1">
        <f>IFERROR((Table1[[#This Row],[UPDRS4_post]]-Table1[[#This Row],[UPDRS4_pre]])/Table1[[#This Row],[UPDRS4_pre]]*100, "NA")</f>
        <v>-33.333333333333329</v>
      </c>
      <c r="S17" s="1">
        <v>1500</v>
      </c>
      <c r="T17" s="1">
        <v>500</v>
      </c>
      <c r="U17" s="1">
        <f>IFERROR((Table1[[#This Row],[LEDD_post]]-Table1[[#This Row],[LEDD_pre]])/Table1[[#This Row],[LEDD_pre]]*100, "NA")</f>
        <v>-66.666666666666657</v>
      </c>
      <c r="V17" s="1">
        <v>70</v>
      </c>
      <c r="W17" s="1">
        <v>50</v>
      </c>
      <c r="X17" s="1">
        <f>IFERROR((Table1[[#This Row],[PDQ39_post]]-Table1[[#This Row],[PDQ39_pre]])/Table1[[#This Row],[PDQ39_pre]]*100, "NA")</f>
        <v>-28.571428571428569</v>
      </c>
      <c r="Y17" s="1">
        <v>29</v>
      </c>
      <c r="Z17" s="10">
        <v>0.4</v>
      </c>
      <c r="AA17" s="10">
        <v>0.5</v>
      </c>
      <c r="AB17" s="10">
        <v>40</v>
      </c>
      <c r="AC17" s="10">
        <v>20</v>
      </c>
      <c r="AD17" s="10">
        <v>0.4</v>
      </c>
      <c r="AE17" s="10">
        <v>0.5</v>
      </c>
      <c r="AF17" s="10">
        <v>40</v>
      </c>
      <c r="AG17" s="10">
        <v>20</v>
      </c>
    </row>
    <row r="18" spans="1:33" x14ac:dyDescent="0.2">
      <c r="A18" s="2" t="s">
        <v>22</v>
      </c>
      <c r="B18" s="2">
        <v>59</v>
      </c>
      <c r="C18" s="2" t="s">
        <v>7</v>
      </c>
      <c r="D18" s="1">
        <v>12</v>
      </c>
      <c r="E18" s="1">
        <v>9</v>
      </c>
      <c r="F18" s="3">
        <v>42856</v>
      </c>
      <c r="G18" s="1">
        <v>17</v>
      </c>
      <c r="H18" s="2" t="s">
        <v>3</v>
      </c>
      <c r="I18" s="2" t="s">
        <v>45</v>
      </c>
      <c r="J18" s="10">
        <v>71</v>
      </c>
      <c r="K18" s="10">
        <v>73</v>
      </c>
      <c r="L18" s="10">
        <f>IFERROR((Table1[[#This Row],[Weight_post]]-Table1[[#This Row],[Weight_pre]])/Table1[[#This Row],[Weight_pre]]*100,"#NA")</f>
        <v>2.8169014084507045</v>
      </c>
      <c r="M18" s="1">
        <v>60</v>
      </c>
      <c r="N18" s="1">
        <v>40</v>
      </c>
      <c r="O18" s="10">
        <f>IFERROR((Table1[[#This Row],[UPDRS3_post]]-Table1[[#This Row],[UPDRS3_pre]])/Table1[[#This Row],[UPDRS3_pre]]*100, "NA")</f>
        <v>-33.333333333333329</v>
      </c>
      <c r="P18" s="1">
        <v>2</v>
      </c>
      <c r="Q18" s="1">
        <v>0</v>
      </c>
      <c r="R18" s="10">
        <f>IFERROR((Table1[[#This Row],[UPDRS4_post]]-Table1[[#This Row],[UPDRS4_pre]])/Table1[[#This Row],[UPDRS4_pre]]*100, "NA")</f>
        <v>-100</v>
      </c>
      <c r="S18" s="1">
        <v>1000</v>
      </c>
      <c r="T18" s="1">
        <v>1000</v>
      </c>
      <c r="U18" s="1">
        <f>IFERROR((Table1[[#This Row],[LEDD_post]]-Table1[[#This Row],[LEDD_pre]])/Table1[[#This Row],[LEDD_pre]]*100, "NA")</f>
        <v>0</v>
      </c>
      <c r="V18" s="1">
        <v>100</v>
      </c>
      <c r="W18" s="1">
        <v>90</v>
      </c>
      <c r="X18" s="10">
        <f>IFERROR((Table1[[#This Row],[PDQ39_post]]-Table1[[#This Row],[PDQ39_pre]])/Table1[[#This Row],[PDQ39_pre]]*100, "NA")</f>
        <v>-10</v>
      </c>
      <c r="Y18" s="1">
        <v>26</v>
      </c>
      <c r="Z18" s="16">
        <v>0.5</v>
      </c>
      <c r="AA18" s="16">
        <v>0.6</v>
      </c>
      <c r="AB18" s="16">
        <v>50</v>
      </c>
      <c r="AC18" s="16">
        <v>25</v>
      </c>
      <c r="AD18" s="16">
        <v>0.5</v>
      </c>
      <c r="AE18" s="16">
        <v>0.6</v>
      </c>
      <c r="AF18" s="16">
        <v>50</v>
      </c>
      <c r="AG18" s="16">
        <v>25</v>
      </c>
    </row>
    <row r="19" spans="1:33" x14ac:dyDescent="0.2">
      <c r="A19" s="2" t="s">
        <v>23</v>
      </c>
      <c r="B19" s="2">
        <v>61</v>
      </c>
      <c r="C19" s="2" t="s">
        <v>6</v>
      </c>
      <c r="D19" s="1">
        <v>13</v>
      </c>
      <c r="E19" s="1">
        <v>10</v>
      </c>
      <c r="F19" s="3">
        <v>42887</v>
      </c>
      <c r="G19" s="1">
        <v>18</v>
      </c>
      <c r="H19" s="2" t="s">
        <v>4</v>
      </c>
      <c r="I19" s="2" t="s">
        <v>46</v>
      </c>
      <c r="J19" s="10">
        <v>74</v>
      </c>
      <c r="K19" s="10">
        <v>75</v>
      </c>
      <c r="L19" s="10">
        <f>IFERROR((Table1[[#This Row],[Weight_post]]-Table1[[#This Row],[Weight_pre]])/Table1[[#This Row],[Weight_pre]]*100,"#NA")</f>
        <v>1.3513513513513513</v>
      </c>
      <c r="M19" s="1">
        <v>40</v>
      </c>
      <c r="N19" s="1">
        <v>20</v>
      </c>
      <c r="O19" s="1">
        <f>IFERROR((Table1[[#This Row],[UPDRS3_post]]-Table1[[#This Row],[UPDRS3_pre]])/Table1[[#This Row],[UPDRS3_pre]]*100, "NA")</f>
        <v>-50</v>
      </c>
      <c r="P19" s="1">
        <v>5</v>
      </c>
      <c r="Q19" s="1">
        <v>5</v>
      </c>
      <c r="R19" s="1">
        <f>IFERROR((Table1[[#This Row],[UPDRS4_post]]-Table1[[#This Row],[UPDRS4_pre]])/Table1[[#This Row],[UPDRS4_pre]]*100, "NA")</f>
        <v>0</v>
      </c>
      <c r="S19" s="1">
        <v>3000</v>
      </c>
      <c r="T19" s="1">
        <v>1000</v>
      </c>
      <c r="U19" s="1">
        <f>IFERROR((Table1[[#This Row],[LEDD_post]]-Table1[[#This Row],[LEDD_pre]])/Table1[[#This Row],[LEDD_pre]]*100, "NA")</f>
        <v>-66.666666666666657</v>
      </c>
      <c r="V19" s="1">
        <v>90</v>
      </c>
      <c r="W19" s="10">
        <v>70</v>
      </c>
      <c r="X19" s="1">
        <f>IFERROR((Table1[[#This Row],[PDQ39_post]]-Table1[[#This Row],[PDQ39_pre]])/Table1[[#This Row],[PDQ39_pre]]*100, "NA")</f>
        <v>-22.222222222222221</v>
      </c>
      <c r="Y19" s="1">
        <v>27</v>
      </c>
      <c r="Z19" s="16">
        <v>0.6</v>
      </c>
      <c r="AA19" s="16">
        <v>0.7</v>
      </c>
      <c r="AB19" s="16">
        <v>60</v>
      </c>
      <c r="AC19" s="16">
        <v>30</v>
      </c>
      <c r="AD19" s="16">
        <v>0.6</v>
      </c>
      <c r="AE19" s="16">
        <v>0.7</v>
      </c>
      <c r="AF19" s="16">
        <v>60</v>
      </c>
      <c r="AG19" s="16">
        <v>30</v>
      </c>
    </row>
    <row r="20" spans="1:33" s="36" customFormat="1" x14ac:dyDescent="0.2">
      <c r="A20" s="2" t="s">
        <v>24</v>
      </c>
      <c r="B20" s="2">
        <v>63</v>
      </c>
      <c r="C20" s="2" t="s">
        <v>7</v>
      </c>
      <c r="D20" s="1">
        <v>11</v>
      </c>
      <c r="E20" s="1">
        <v>11</v>
      </c>
      <c r="F20" s="3">
        <v>42917</v>
      </c>
      <c r="G20" s="1">
        <v>19</v>
      </c>
      <c r="H20" s="2" t="s">
        <v>3</v>
      </c>
      <c r="I20" s="2" t="s">
        <v>44</v>
      </c>
      <c r="J20" s="10">
        <v>77</v>
      </c>
      <c r="K20" s="10">
        <v>80</v>
      </c>
      <c r="L20" s="10">
        <f>IFERROR((Table1[[#This Row],[Weight_post]]-Table1[[#This Row],[Weight_pre]])/Table1[[#This Row],[Weight_pre]]*100,"#NA")</f>
        <v>3.8961038961038961</v>
      </c>
      <c r="M20" s="1">
        <v>50</v>
      </c>
      <c r="N20" s="1">
        <v>30</v>
      </c>
      <c r="O20" s="1">
        <f>IFERROR((Table1[[#This Row],[UPDRS3_post]]-Table1[[#This Row],[UPDRS3_pre]])/Table1[[#This Row],[UPDRS3_pre]]*100, "NA")</f>
        <v>-40</v>
      </c>
      <c r="P20" s="1">
        <v>10</v>
      </c>
      <c r="Q20" s="1">
        <v>5</v>
      </c>
      <c r="R20" s="1">
        <f>IFERROR((Table1[[#This Row],[UPDRS4_post]]-Table1[[#This Row],[UPDRS4_pre]])/Table1[[#This Row],[UPDRS4_pre]]*100, "NA")</f>
        <v>-50</v>
      </c>
      <c r="S20" s="1">
        <v>500</v>
      </c>
      <c r="T20" s="1">
        <v>200</v>
      </c>
      <c r="U20" s="1">
        <f>IFERROR((Table1[[#This Row],[LEDD_post]]-Table1[[#This Row],[LEDD_pre]])/Table1[[#This Row],[LEDD_pre]]*100, "NA")</f>
        <v>-60</v>
      </c>
      <c r="V20" s="1">
        <v>80</v>
      </c>
      <c r="W20" s="1">
        <v>60</v>
      </c>
      <c r="X20" s="1">
        <f>IFERROR((Table1[[#This Row],[PDQ39_post]]-Table1[[#This Row],[PDQ39_pre]])/Table1[[#This Row],[PDQ39_pre]]*100, "NA")</f>
        <v>-25</v>
      </c>
      <c r="Y20" s="10">
        <v>28</v>
      </c>
      <c r="Z20" s="16">
        <v>0.7</v>
      </c>
      <c r="AA20" s="16">
        <v>0.8</v>
      </c>
      <c r="AB20" s="16">
        <v>70</v>
      </c>
      <c r="AC20" s="16">
        <v>35</v>
      </c>
      <c r="AD20" s="16">
        <v>0.7</v>
      </c>
      <c r="AE20" s="16">
        <v>0.8</v>
      </c>
      <c r="AF20" s="16">
        <v>70</v>
      </c>
      <c r="AG20" s="16">
        <v>35</v>
      </c>
    </row>
    <row r="21" spans="1:33" x14ac:dyDescent="0.2">
      <c r="A21" s="2" t="s">
        <v>25</v>
      </c>
      <c r="B21" s="2">
        <v>65</v>
      </c>
      <c r="C21" s="2" t="s">
        <v>6</v>
      </c>
      <c r="D21" s="1">
        <v>12</v>
      </c>
      <c r="E21" s="1">
        <v>12</v>
      </c>
      <c r="F21" s="3">
        <v>42948</v>
      </c>
      <c r="G21" s="1">
        <v>20</v>
      </c>
      <c r="H21" s="2" t="s">
        <v>4</v>
      </c>
      <c r="I21" s="2" t="s">
        <v>45</v>
      </c>
      <c r="J21" s="10">
        <v>65</v>
      </c>
      <c r="K21" s="10">
        <v>67</v>
      </c>
      <c r="L21" s="10">
        <f>IFERROR((Table1[[#This Row],[Weight_post]]-Table1[[#This Row],[Weight_pre]])/Table1[[#This Row],[Weight_pre]]*100,"#NA")</f>
        <v>3.0769230769230771</v>
      </c>
      <c r="M21" s="1">
        <v>60</v>
      </c>
      <c r="N21" s="1">
        <v>20</v>
      </c>
      <c r="O21" s="10">
        <f>IFERROR((Table1[[#This Row],[UPDRS3_post]]-Table1[[#This Row],[UPDRS3_pre]])/Table1[[#This Row],[UPDRS3_pre]]*100, "NA")</f>
        <v>-66.666666666666657</v>
      </c>
      <c r="P21" s="1">
        <v>15</v>
      </c>
      <c r="Q21" s="1">
        <v>10</v>
      </c>
      <c r="R21" s="10">
        <f>IFERROR((Table1[[#This Row],[UPDRS4_post]]-Table1[[#This Row],[UPDRS4_pre]])/Table1[[#This Row],[UPDRS4_pre]]*100, "NA")</f>
        <v>-33.333333333333329</v>
      </c>
      <c r="S21" s="1">
        <v>1500</v>
      </c>
      <c r="T21" s="1">
        <v>500</v>
      </c>
      <c r="U21" s="1">
        <f>IFERROR((Table1[[#This Row],[LEDD_post]]-Table1[[#This Row],[LEDD_pre]])/Table1[[#This Row],[LEDD_pre]]*100, "NA")</f>
        <v>-66.666666666666657</v>
      </c>
      <c r="V21" s="1">
        <v>70</v>
      </c>
      <c r="W21" s="1">
        <v>50</v>
      </c>
      <c r="X21" s="10">
        <f>IFERROR((Table1[[#This Row],[PDQ39_post]]-Table1[[#This Row],[PDQ39_pre]])/Table1[[#This Row],[PDQ39_pre]]*100, "NA")</f>
        <v>-28.571428571428569</v>
      </c>
      <c r="Y21" s="1">
        <v>29</v>
      </c>
      <c r="Z21" s="10">
        <v>0.8</v>
      </c>
      <c r="AA21" s="10">
        <v>0.9</v>
      </c>
      <c r="AB21" s="10">
        <v>80</v>
      </c>
      <c r="AC21" s="10">
        <v>40</v>
      </c>
      <c r="AD21" s="10">
        <v>0.8</v>
      </c>
      <c r="AE21" s="10">
        <v>0.9</v>
      </c>
      <c r="AF21" s="10">
        <v>80</v>
      </c>
      <c r="AG21" s="10">
        <v>40</v>
      </c>
    </row>
    <row r="22" spans="1:33" x14ac:dyDescent="0.2">
      <c r="A22" s="2" t="s">
        <v>26</v>
      </c>
      <c r="B22" s="2">
        <v>67</v>
      </c>
      <c r="C22" s="2" t="s">
        <v>7</v>
      </c>
      <c r="D22" s="1">
        <v>13</v>
      </c>
      <c r="E22" s="1">
        <v>8</v>
      </c>
      <c r="F22" s="3">
        <v>42979</v>
      </c>
      <c r="G22" s="1">
        <v>21</v>
      </c>
      <c r="H22" s="2" t="s">
        <v>3</v>
      </c>
      <c r="I22" s="2" t="s">
        <v>46</v>
      </c>
      <c r="J22" s="10">
        <v>71</v>
      </c>
      <c r="K22" s="10">
        <v>73</v>
      </c>
      <c r="L22" s="10">
        <f>IFERROR((Table1[[#This Row],[Weight_post]]-Table1[[#This Row],[Weight_pre]])/Table1[[#This Row],[Weight_pre]]*100,"#NA")</f>
        <v>2.8169014084507045</v>
      </c>
      <c r="M22" s="1">
        <v>40</v>
      </c>
      <c r="N22" s="1">
        <v>30</v>
      </c>
      <c r="O22" s="1">
        <f>IFERROR((Table1[[#This Row],[UPDRS3_post]]-Table1[[#This Row],[UPDRS3_pre]])/Table1[[#This Row],[UPDRS3_pre]]*100, "NA")</f>
        <v>-25</v>
      </c>
      <c r="P22" s="1">
        <v>2</v>
      </c>
      <c r="Q22" s="1">
        <v>0</v>
      </c>
      <c r="R22" s="1">
        <f>IFERROR((Table1[[#This Row],[UPDRS4_post]]-Table1[[#This Row],[UPDRS4_pre]])/Table1[[#This Row],[UPDRS4_pre]]*100, "NA")</f>
        <v>-100</v>
      </c>
      <c r="S22" s="1">
        <v>1000</v>
      </c>
      <c r="T22" s="1">
        <v>1000</v>
      </c>
      <c r="U22" s="1">
        <f>IFERROR((Table1[[#This Row],[LEDD_post]]-Table1[[#This Row],[LEDD_pre]])/Table1[[#This Row],[LEDD_pre]]*100, "NA")</f>
        <v>0</v>
      </c>
      <c r="V22" s="1">
        <v>100</v>
      </c>
      <c r="W22" s="1">
        <v>90</v>
      </c>
      <c r="X22" s="1">
        <f>IFERROR((Table1[[#This Row],[PDQ39_post]]-Table1[[#This Row],[PDQ39_pre]])/Table1[[#This Row],[PDQ39_pre]]*100, "NA")</f>
        <v>-10</v>
      </c>
      <c r="Y22" s="1">
        <v>26</v>
      </c>
      <c r="Z22" s="16">
        <v>0.9</v>
      </c>
      <c r="AA22" s="16">
        <v>1</v>
      </c>
      <c r="AB22" s="16">
        <v>90</v>
      </c>
      <c r="AC22" s="16">
        <v>45</v>
      </c>
      <c r="AD22" s="16">
        <v>0.9</v>
      </c>
      <c r="AE22" s="16">
        <v>1</v>
      </c>
      <c r="AF22" s="16">
        <v>90</v>
      </c>
      <c r="AG22" s="16">
        <v>45</v>
      </c>
    </row>
    <row r="23" spans="1:33" x14ac:dyDescent="0.2">
      <c r="A23" s="2" t="s">
        <v>27</v>
      </c>
      <c r="B23" s="2">
        <v>69</v>
      </c>
      <c r="C23" s="2" t="s">
        <v>6</v>
      </c>
      <c r="D23" s="1">
        <v>11</v>
      </c>
      <c r="E23" s="1">
        <v>9</v>
      </c>
      <c r="F23" s="3">
        <v>43009</v>
      </c>
      <c r="G23" s="1">
        <v>22</v>
      </c>
      <c r="H23" s="2" t="s">
        <v>4</v>
      </c>
      <c r="I23" s="2" t="s">
        <v>44</v>
      </c>
      <c r="J23" s="10">
        <v>74</v>
      </c>
      <c r="K23" s="10">
        <v>75</v>
      </c>
      <c r="L23" s="10">
        <f>IFERROR((Table1[[#This Row],[Weight_post]]-Table1[[#This Row],[Weight_pre]])/Table1[[#This Row],[Weight_pre]]*100,"#NA")</f>
        <v>1.3513513513513513</v>
      </c>
      <c r="M23" s="1">
        <v>50</v>
      </c>
      <c r="N23" s="1">
        <v>20</v>
      </c>
      <c r="O23" s="1">
        <f>IFERROR((Table1[[#This Row],[UPDRS3_post]]-Table1[[#This Row],[UPDRS3_pre]])/Table1[[#This Row],[UPDRS3_pre]]*100, "NA")</f>
        <v>-60</v>
      </c>
      <c r="P23" s="1">
        <v>5</v>
      </c>
      <c r="Q23" s="1">
        <v>5</v>
      </c>
      <c r="R23" s="1">
        <f>IFERROR((Table1[[#This Row],[UPDRS4_post]]-Table1[[#This Row],[UPDRS4_pre]])/Table1[[#This Row],[UPDRS4_pre]]*100, "NA")</f>
        <v>0</v>
      </c>
      <c r="S23" s="1">
        <v>3000</v>
      </c>
      <c r="T23" s="1">
        <v>1000</v>
      </c>
      <c r="U23" s="1">
        <f>IFERROR((Table1[[#This Row],[LEDD_post]]-Table1[[#This Row],[LEDD_pre]])/Table1[[#This Row],[LEDD_pre]]*100, "NA")</f>
        <v>-66.666666666666657</v>
      </c>
      <c r="V23" s="1">
        <v>90</v>
      </c>
      <c r="W23" s="10">
        <v>70</v>
      </c>
      <c r="X23" s="1">
        <f>IFERROR((Table1[[#This Row],[PDQ39_post]]-Table1[[#This Row],[PDQ39_pre]])/Table1[[#This Row],[PDQ39_pre]]*100, "NA")</f>
        <v>-22.222222222222221</v>
      </c>
      <c r="Y23" s="1">
        <v>27</v>
      </c>
      <c r="Z23" s="16">
        <v>1</v>
      </c>
      <c r="AA23" s="16">
        <v>1.1000000000000001</v>
      </c>
      <c r="AB23" s="16">
        <v>100</v>
      </c>
      <c r="AC23" s="16">
        <v>50</v>
      </c>
      <c r="AD23" s="16">
        <v>1</v>
      </c>
      <c r="AE23" s="16">
        <v>1.1000000000000001</v>
      </c>
      <c r="AF23" s="16">
        <v>100</v>
      </c>
      <c r="AG23" s="16">
        <v>50</v>
      </c>
    </row>
    <row r="24" spans="1:33" x14ac:dyDescent="0.2">
      <c r="A24" s="2" t="s">
        <v>28</v>
      </c>
      <c r="B24" s="2">
        <v>71</v>
      </c>
      <c r="C24" s="2" t="s">
        <v>7</v>
      </c>
      <c r="D24" s="1">
        <v>12</v>
      </c>
      <c r="E24" s="1">
        <v>10</v>
      </c>
      <c r="F24" s="3">
        <v>43040</v>
      </c>
      <c r="G24" s="1">
        <v>23</v>
      </c>
      <c r="H24" s="2" t="s">
        <v>3</v>
      </c>
      <c r="I24" s="2" t="s">
        <v>45</v>
      </c>
      <c r="J24" s="10">
        <v>77</v>
      </c>
      <c r="K24" s="10">
        <v>80</v>
      </c>
      <c r="L24" s="10">
        <f>IFERROR((Table1[[#This Row],[Weight_post]]-Table1[[#This Row],[Weight_pre]])/Table1[[#This Row],[Weight_pre]]*100,"#NA")</f>
        <v>3.8961038961038961</v>
      </c>
      <c r="M24" s="1">
        <v>60</v>
      </c>
      <c r="N24" s="1">
        <v>40</v>
      </c>
      <c r="O24" s="1">
        <f>IFERROR((Table1[[#This Row],[UPDRS3_post]]-Table1[[#This Row],[UPDRS3_pre]])/Table1[[#This Row],[UPDRS3_pre]]*100, "NA")</f>
        <v>-33.333333333333329</v>
      </c>
      <c r="P24" s="1">
        <v>10</v>
      </c>
      <c r="Q24" s="1">
        <v>5</v>
      </c>
      <c r="R24" s="10">
        <f>IFERROR((Table1[[#This Row],[UPDRS4_post]]-Table1[[#This Row],[UPDRS4_pre]])/Table1[[#This Row],[UPDRS4_pre]]*100, "NA")</f>
        <v>-50</v>
      </c>
      <c r="S24" s="1">
        <v>500</v>
      </c>
      <c r="T24" s="1">
        <v>200</v>
      </c>
      <c r="U24" s="1">
        <f>IFERROR((Table1[[#This Row],[LEDD_post]]-Table1[[#This Row],[LEDD_pre]])/Table1[[#This Row],[LEDD_pre]]*100, "NA")</f>
        <v>-60</v>
      </c>
      <c r="V24" s="1">
        <v>80</v>
      </c>
      <c r="W24" s="1">
        <v>60</v>
      </c>
      <c r="X24" s="10">
        <f>IFERROR((Table1[[#This Row],[PDQ39_post]]-Table1[[#This Row],[PDQ39_pre]])/Table1[[#This Row],[PDQ39_pre]]*100, "NA")</f>
        <v>-25</v>
      </c>
      <c r="Y24" s="10">
        <v>28</v>
      </c>
      <c r="Z24" s="16">
        <v>1.1000000000000001</v>
      </c>
      <c r="AA24" s="16">
        <v>1.2</v>
      </c>
      <c r="AB24" s="16">
        <v>110</v>
      </c>
      <c r="AC24" s="16">
        <v>55</v>
      </c>
      <c r="AD24" s="16">
        <v>1.1000000000000001</v>
      </c>
      <c r="AE24" s="16">
        <v>1.2</v>
      </c>
      <c r="AF24" s="16">
        <v>110</v>
      </c>
      <c r="AG24" s="16">
        <v>55</v>
      </c>
    </row>
    <row r="25" spans="1:33" x14ac:dyDescent="0.2">
      <c r="A25" s="2" t="s">
        <v>29</v>
      </c>
      <c r="B25" s="2">
        <v>73</v>
      </c>
      <c r="C25" s="2" t="s">
        <v>6</v>
      </c>
      <c r="D25" s="1">
        <v>13</v>
      </c>
      <c r="E25" s="1">
        <v>11</v>
      </c>
      <c r="F25" s="3">
        <v>43070</v>
      </c>
      <c r="G25" s="1">
        <v>24</v>
      </c>
      <c r="H25" s="2" t="s">
        <v>4</v>
      </c>
      <c r="I25" s="2" t="s">
        <v>46</v>
      </c>
      <c r="J25" s="10">
        <v>65</v>
      </c>
      <c r="K25" s="10">
        <v>67</v>
      </c>
      <c r="L25" s="10">
        <f>IFERROR((Table1[[#This Row],[Weight_post]]-Table1[[#This Row],[Weight_pre]])/Table1[[#This Row],[Weight_pre]]*100,"#NA")</f>
        <v>3.0769230769230771</v>
      </c>
      <c r="M25" s="1">
        <v>40</v>
      </c>
      <c r="N25" s="1">
        <v>20</v>
      </c>
      <c r="O25" s="10">
        <f>IFERROR((Table1[[#This Row],[UPDRS3_post]]-Table1[[#This Row],[UPDRS3_pre]])/Table1[[#This Row],[UPDRS3_pre]]*100, "NA")</f>
        <v>-50</v>
      </c>
      <c r="P25" s="1">
        <v>15</v>
      </c>
      <c r="Q25" s="1">
        <v>10</v>
      </c>
      <c r="R25" s="10">
        <f>IFERROR((Table1[[#This Row],[UPDRS4_post]]-Table1[[#This Row],[UPDRS4_pre]])/Table1[[#This Row],[UPDRS4_pre]]*100, "NA")</f>
        <v>-33.333333333333329</v>
      </c>
      <c r="S25" s="1">
        <v>1500</v>
      </c>
      <c r="T25" s="1">
        <v>500</v>
      </c>
      <c r="U25" s="1">
        <f>IFERROR((Table1[[#This Row],[LEDD_post]]-Table1[[#This Row],[LEDD_pre]])/Table1[[#This Row],[LEDD_pre]]*100, "NA")</f>
        <v>-66.666666666666657</v>
      </c>
      <c r="V25" s="1">
        <v>70</v>
      </c>
      <c r="W25" s="1">
        <v>50</v>
      </c>
      <c r="X25" s="10">
        <f>IFERROR((Table1[[#This Row],[PDQ39_post]]-Table1[[#This Row],[PDQ39_pre]])/Table1[[#This Row],[PDQ39_pre]]*100, "NA")</f>
        <v>-28.571428571428569</v>
      </c>
      <c r="Y25" s="1">
        <v>29</v>
      </c>
      <c r="Z25" s="16">
        <v>1.2</v>
      </c>
      <c r="AA25" s="16">
        <v>1.3</v>
      </c>
      <c r="AB25" s="16">
        <v>120</v>
      </c>
      <c r="AC25" s="16">
        <v>60</v>
      </c>
      <c r="AD25" s="16">
        <v>1.2</v>
      </c>
      <c r="AE25" s="16">
        <v>1.3</v>
      </c>
      <c r="AF25" s="16">
        <v>120</v>
      </c>
      <c r="AG25" s="16">
        <v>60</v>
      </c>
    </row>
    <row r="26" spans="1:33" x14ac:dyDescent="0.2">
      <c r="D26" s="6"/>
      <c r="N26" s="8"/>
    </row>
    <row r="27" spans="1:33" x14ac:dyDescent="0.2">
      <c r="D27" s="6"/>
      <c r="J27" s="12"/>
      <c r="K27" s="6"/>
    </row>
    <row r="28" spans="1:33" x14ac:dyDescent="0.2">
      <c r="J28" s="12"/>
      <c r="K28" s="6"/>
    </row>
    <row r="29" spans="1:33" x14ac:dyDescent="0.2">
      <c r="L29" s="6"/>
      <c r="M29" s="6"/>
    </row>
    <row r="30" spans="1:33" x14ac:dyDescent="0.2">
      <c r="L30" s="6"/>
      <c r="M30" s="6"/>
    </row>
  </sheetData>
  <phoneticPr fontId="6" type="noConversion"/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6FF5-1797-E64B-9176-5D8B46EB9FA7}">
  <dimension ref="A1:V17"/>
  <sheetViews>
    <sheetView zoomScale="70" zoomScaleNormal="70" workbookViewId="0">
      <selection activeCell="Q6" sqref="Q6"/>
    </sheetView>
  </sheetViews>
  <sheetFormatPr baseColWidth="10" defaultRowHeight="16" x14ac:dyDescent="0.2"/>
  <cols>
    <col min="1" max="1" width="18.1640625" customWidth="1"/>
    <col min="3" max="3" width="16" customWidth="1"/>
    <col min="5" max="5" width="14.33203125" customWidth="1"/>
    <col min="7" max="7" width="16.6640625" customWidth="1"/>
    <col min="10" max="10" width="10.83203125" customWidth="1"/>
    <col min="15" max="15" width="13.5" customWidth="1"/>
  </cols>
  <sheetData>
    <row r="1" spans="1:22" s="33" customFormat="1" ht="37" x14ac:dyDescent="0.45">
      <c r="A1" s="32" t="s">
        <v>83</v>
      </c>
      <c r="C1" s="34"/>
      <c r="F1" s="35"/>
    </row>
    <row r="2" spans="1:22" x14ac:dyDescent="0.2">
      <c r="B2" s="4"/>
      <c r="C2" s="4"/>
    </row>
    <row r="3" spans="1:22" s="30" customFormat="1" ht="24" x14ac:dyDescent="0.3">
      <c r="A3" s="29" t="s">
        <v>84</v>
      </c>
      <c r="E3" s="29" t="s">
        <v>85</v>
      </c>
      <c r="F3" s="31"/>
      <c r="O3" s="29" t="s">
        <v>86</v>
      </c>
    </row>
    <row r="4" spans="1:22" x14ac:dyDescent="0.2">
      <c r="A4" s="20" t="s">
        <v>2</v>
      </c>
      <c r="B4" s="18" t="s">
        <v>4</v>
      </c>
      <c r="C4" s="18">
        <f>COUNTIF(Table1[Target], "STN")</f>
        <v>12</v>
      </c>
      <c r="E4" s="26"/>
      <c r="F4" s="26" t="s">
        <v>0</v>
      </c>
      <c r="G4" s="26" t="s">
        <v>61</v>
      </c>
      <c r="H4" s="27" t="s">
        <v>62</v>
      </c>
      <c r="I4" s="27" t="s">
        <v>64</v>
      </c>
      <c r="J4" s="27" t="s">
        <v>65</v>
      </c>
      <c r="K4" s="27" t="s">
        <v>66</v>
      </c>
      <c r="L4" s="27" t="s">
        <v>67</v>
      </c>
      <c r="M4" s="27" t="s">
        <v>8</v>
      </c>
      <c r="N4" s="4"/>
      <c r="O4" s="26"/>
      <c r="P4" s="26" t="s">
        <v>63</v>
      </c>
      <c r="Q4" s="27" t="s">
        <v>64</v>
      </c>
      <c r="R4" s="27" t="s">
        <v>65</v>
      </c>
      <c r="S4" s="27" t="s">
        <v>66</v>
      </c>
      <c r="T4" s="27" t="s">
        <v>67</v>
      </c>
    </row>
    <row r="5" spans="1:22" x14ac:dyDescent="0.2">
      <c r="A5" s="20"/>
      <c r="B5" s="18" t="s">
        <v>75</v>
      </c>
      <c r="C5" s="18">
        <f>COUNTIF(Table1[Target], "Gpi")</f>
        <v>12</v>
      </c>
      <c r="D5" s="9"/>
      <c r="E5" s="26" t="s">
        <v>53</v>
      </c>
      <c r="F5" s="23">
        <f>(COUNT(Table1[Age])/COUNTA(Table1[Age]))</f>
        <v>1</v>
      </c>
      <c r="G5" s="28">
        <f>(COUNT(Table1[Disease_duration])/COUNTA(Table1[Disease_duration]))</f>
        <v>1</v>
      </c>
      <c r="H5" s="23">
        <f>(COUNT(Table1[Follow-up])/COUNTA(Table1[Follow-up]))</f>
        <v>1</v>
      </c>
      <c r="I5" s="23">
        <f>(COUNT(Table1[UPDRS3_pre])/COUNTA(Table1[UPDRS3_pre]))</f>
        <v>1</v>
      </c>
      <c r="J5" s="23">
        <f>(COUNT(Table1[UPDRS4_pre])/COUNTA(Table1[UPDRS4_pre]))</f>
        <v>1</v>
      </c>
      <c r="K5" s="23">
        <f>(COUNT(Table1[LEDD_pre])/COUNTA(Table1[LEDD_pre]))</f>
        <v>1</v>
      </c>
      <c r="L5" s="23">
        <f>(COUNT(Table1[PDQ39_pre])/COUNTA(Table1[PDQ39_pre]))</f>
        <v>1</v>
      </c>
      <c r="M5" s="23">
        <f>(COUNT(Table1[MOCA])/COUNTA(Table1[MOCA]))</f>
        <v>1</v>
      </c>
      <c r="N5" s="4"/>
      <c r="O5" s="26" t="s">
        <v>53</v>
      </c>
      <c r="P5" s="23">
        <f>(COUNT(Table1[Weight_change])/COUNTA(Table1[Weight_change]))</f>
        <v>1</v>
      </c>
      <c r="Q5" s="23">
        <f>(COUNT(Table1[UPDRS3_change])/COUNTA(Table1[UPDRS3_change]))</f>
        <v>1</v>
      </c>
      <c r="R5" s="23">
        <f>(COUNT(Table1[UPDRS4_change])/COUNTA(Table1[UPDRS4_change]))</f>
        <v>1</v>
      </c>
      <c r="S5" s="23">
        <f>(COUNT(Table1[LEDD_change])/COUNTA(Table1[LEDD_change]))</f>
        <v>1</v>
      </c>
      <c r="T5" s="23">
        <f>(COUNT(Table1[PDQ39_change])/COUNTA(Table1[PDQ39_change]))</f>
        <v>1</v>
      </c>
    </row>
    <row r="6" spans="1:22" x14ac:dyDescent="0.2">
      <c r="A6" s="19"/>
      <c r="B6" s="18"/>
      <c r="C6" s="18"/>
      <c r="E6" s="26" t="s">
        <v>54</v>
      </c>
      <c r="F6" s="24">
        <f>AVERAGE(Table1[Age])</f>
        <v>61.5</v>
      </c>
      <c r="G6" s="24">
        <f>AVERAGE(Table1[Disease_duration])</f>
        <v>9.9166666666666661</v>
      </c>
      <c r="H6" s="24">
        <f>AVERAGE(Table1[Follow-up])</f>
        <v>12</v>
      </c>
      <c r="I6" s="24">
        <f>AVERAGE(Table1[UPDRS3_pre])</f>
        <v>50</v>
      </c>
      <c r="J6" s="24">
        <f>AVERAGE(Table1[UPDRS4_pre])</f>
        <v>8</v>
      </c>
      <c r="K6" s="24">
        <f>AVERAGE(Table1[LEDD_pre])</f>
        <v>1500</v>
      </c>
      <c r="L6" s="24">
        <f>AVERAGE(Table1[PDQ39_pre])</f>
        <v>85</v>
      </c>
      <c r="M6" s="24">
        <f>AVERAGE(Table1[MOCA])</f>
        <v>27.5</v>
      </c>
      <c r="O6" s="26" t="s">
        <v>54</v>
      </c>
      <c r="P6" s="24">
        <f>AVERAGE(Table1[Weight_change])</f>
        <v>2.785319933207258</v>
      </c>
      <c r="Q6" s="24">
        <f>AVERAGE(Table1[UPDRS3_change])</f>
        <v>-45.833333333333336</v>
      </c>
      <c r="R6" s="24">
        <f>AVERAGE(Table1[UPDRS4_change])</f>
        <v>-45.833333333333336</v>
      </c>
      <c r="S6" s="24">
        <f>AVERAGE(Table1[LEDD_change])</f>
        <v>-48.333333333333321</v>
      </c>
      <c r="T6" s="24">
        <f>AVERAGE(Table1[PDQ39_change])</f>
        <v>-21.448412698412696</v>
      </c>
      <c r="U6" s="4"/>
      <c r="V6" s="13"/>
    </row>
    <row r="7" spans="1:22" x14ac:dyDescent="0.2">
      <c r="A7" s="20" t="s">
        <v>51</v>
      </c>
      <c r="B7" s="18" t="s">
        <v>45</v>
      </c>
      <c r="C7" s="18">
        <f>COUNTIF(Table1[Manufacturer], "Medtronic")</f>
        <v>8</v>
      </c>
      <c r="E7" s="26" t="s">
        <v>55</v>
      </c>
      <c r="F7" s="24">
        <f>STDEV(Table1[Age])</f>
        <v>7.0710678118654755</v>
      </c>
      <c r="G7" s="24">
        <f>STDEV(Table1[Disease_duration])</f>
        <v>1.4116492564332022</v>
      </c>
      <c r="H7" s="24">
        <f>STDEV(Table1[Follow-up])</f>
        <v>0.83405765622829908</v>
      </c>
      <c r="I7" s="24">
        <f>STDEV(Table1[UPDRS3_pre])</f>
        <v>8.3405765622829904</v>
      </c>
      <c r="J7" s="24">
        <f>STDEV(Table1[UPDRS4_pre])</f>
        <v>5.0562058296023062</v>
      </c>
      <c r="K7" s="24">
        <f>STDEV(Table1[LEDD_pre])</f>
        <v>955.53308590590916</v>
      </c>
      <c r="L7" s="24">
        <f>STDEV(Table1[PDQ39_pre])</f>
        <v>11.420804814403215</v>
      </c>
      <c r="M7" s="24">
        <f>STDEV(Table1[MOCA])</f>
        <v>1.1420804814403216</v>
      </c>
      <c r="O7" s="26" t="s">
        <v>55</v>
      </c>
      <c r="P7" s="24">
        <f>STDEV(Table1[Weight_change])</f>
        <v>0.93847286064602775</v>
      </c>
      <c r="Q7" s="24">
        <f>STDEV(Table1[UPDRS3_change])</f>
        <v>14.899015951682928</v>
      </c>
      <c r="R7" s="24">
        <f>STDEV(Table1[UPDRS4_change])</f>
        <v>36.860489038724282</v>
      </c>
      <c r="S7" s="24">
        <f>STDEV(Table1[LEDD_change])</f>
        <v>28.640702768480811</v>
      </c>
      <c r="T7" s="24">
        <f>STDEV(Table1[PDQ39_change])</f>
        <v>7.1325840548304233</v>
      </c>
      <c r="U7" s="4"/>
      <c r="V7" s="4"/>
    </row>
    <row r="8" spans="1:22" x14ac:dyDescent="0.2">
      <c r="A8" s="20"/>
      <c r="B8" s="18" t="s">
        <v>44</v>
      </c>
      <c r="C8" s="18">
        <f>COUNTIF(Table1[Manufacturer],"Abbott")</f>
        <v>8</v>
      </c>
      <c r="E8" s="26" t="s">
        <v>58</v>
      </c>
      <c r="F8" s="24">
        <f>MEDIAN(Table1[Age])</f>
        <v>61.5</v>
      </c>
      <c r="G8" s="24">
        <f>MEDIAN(Table1[Disease_duration])</f>
        <v>10</v>
      </c>
      <c r="H8" s="24">
        <f>MEDIAN(Table1[Follow-up])</f>
        <v>12</v>
      </c>
      <c r="I8" s="24">
        <f>MEDIAN(Table1[UPDRS3_pre])</f>
        <v>50</v>
      </c>
      <c r="J8" s="24">
        <f>MEDIAN(Table1[UPDRS4_pre])</f>
        <v>7.5</v>
      </c>
      <c r="K8" s="24">
        <f>MEDIAN(Table1[LEDD_pre])</f>
        <v>1250</v>
      </c>
      <c r="L8" s="24">
        <f>MEDIAN(Table1[PDQ39_pre])</f>
        <v>85</v>
      </c>
      <c r="M8" s="24">
        <f>MEDIAN(Table1[MOCA])</f>
        <v>27.5</v>
      </c>
      <c r="O8" s="26" t="s">
        <v>58</v>
      </c>
      <c r="P8" s="24">
        <f>MEDIAN(Table1[Weight_change])</f>
        <v>2.9469122426868908</v>
      </c>
      <c r="Q8" s="24">
        <f>MEDIAN(Table1[UPDRS3_change])</f>
        <v>-45</v>
      </c>
      <c r="R8" s="24">
        <f>MEDIAN(Table1[UPDRS4_change])</f>
        <v>-41.666666666666664</v>
      </c>
      <c r="S8" s="24">
        <f>MEDIAN(Table1[LEDD_change])</f>
        <v>-63.333333333333329</v>
      </c>
      <c r="T8" s="24">
        <f>MEDIAN(Table1[PDQ39_change])</f>
        <v>-23.611111111111111</v>
      </c>
      <c r="U8" s="4"/>
      <c r="V8" s="4"/>
    </row>
    <row r="9" spans="1:22" x14ac:dyDescent="0.2">
      <c r="A9" s="20"/>
      <c r="B9" s="18" t="s">
        <v>46</v>
      </c>
      <c r="C9" s="18">
        <f>COUNTIF(Table1[Manufacturer],"Boston")</f>
        <v>8</v>
      </c>
      <c r="E9" s="26" t="s">
        <v>81</v>
      </c>
      <c r="F9" s="24">
        <f>QUARTILE(Table1[Age],1)</f>
        <v>55.75</v>
      </c>
      <c r="G9" s="24">
        <f>QUARTILE(Table1[Disease_duration],1)</f>
        <v>9</v>
      </c>
      <c r="H9" s="24">
        <f>QUARTILE(Table1[Follow-up],1)</f>
        <v>11</v>
      </c>
      <c r="I9" s="24">
        <f>QUARTILE(Table1[UPDRS3_pre],1)</f>
        <v>40</v>
      </c>
      <c r="J9" s="24">
        <f>QUARTILE(Table1[UPDRS4_pre],1)</f>
        <v>4.25</v>
      </c>
      <c r="K9" s="24">
        <f>QUARTILE(Table1[LEDD_pre],1)</f>
        <v>875</v>
      </c>
      <c r="L9" s="24">
        <f>QUARTILE(Table1[PDQ39_pre],1)</f>
        <v>77.5</v>
      </c>
      <c r="M9" s="24">
        <f>QUARTILE(Table1[MOCA],1)</f>
        <v>26.75</v>
      </c>
      <c r="O9" s="26" t="s">
        <v>81</v>
      </c>
      <c r="P9" s="24">
        <f>QUARTILE(Table1[Weight_change],1)</f>
        <v>2.4505138941758662</v>
      </c>
      <c r="Q9" s="24">
        <f>QUARTILE(Table1[UPDRS3_change],1)</f>
        <v>-60</v>
      </c>
      <c r="R9" s="24">
        <f>QUARTILE(Table1[UPDRS4_change],1)</f>
        <v>-62.5</v>
      </c>
      <c r="S9" s="24">
        <f>QUARTILE(Table1[LEDD_change],1)</f>
        <v>-66.666666666666657</v>
      </c>
      <c r="T9" s="24">
        <f>QUARTILE(Table1[PDQ39_change],1)</f>
        <v>-25.892857142857142</v>
      </c>
      <c r="U9" s="4"/>
      <c r="V9" s="4"/>
    </row>
    <row r="10" spans="1:22" x14ac:dyDescent="0.2">
      <c r="A10" s="20"/>
      <c r="B10" s="21"/>
      <c r="C10" s="21"/>
      <c r="D10" s="4"/>
      <c r="E10" s="26" t="s">
        <v>82</v>
      </c>
      <c r="F10" s="24">
        <f>QUARTILE(Table1[Age],3)</f>
        <v>67.25</v>
      </c>
      <c r="G10" s="24">
        <f>QUARTILE(Table1[Disease_duration],3)</f>
        <v>11</v>
      </c>
      <c r="H10" s="24">
        <f>QUARTILE(Table1[Follow-up],3)</f>
        <v>13</v>
      </c>
      <c r="I10" s="24">
        <f>QUARTILE(Table1[UPDRS3_pre],3)</f>
        <v>60</v>
      </c>
      <c r="J10" s="24">
        <f>QUARTILE(Table1[UPDRS4_pre],3)</f>
        <v>11.25</v>
      </c>
      <c r="K10" s="24">
        <f>QUARTILE(Table1[LEDD_pre],3)</f>
        <v>1875</v>
      </c>
      <c r="L10" s="24">
        <f>QUARTILE(Table1[PDQ39_pre],3)</f>
        <v>92.5</v>
      </c>
      <c r="M10" s="24">
        <f>QUARTILE(Table1[MOCA],3)</f>
        <v>28.25</v>
      </c>
      <c r="O10" s="26" t="s">
        <v>82</v>
      </c>
      <c r="P10" s="24">
        <f>QUARTILE(Table1[Weight_change],3)</f>
        <v>3.2817182817182817</v>
      </c>
      <c r="Q10" s="24">
        <f>QUARTILE(Table1[UPDRS3_change],3)</f>
        <v>-33.333333333333329</v>
      </c>
      <c r="R10" s="24">
        <f>QUARTILE(Table1[UPDRS4_change],3)</f>
        <v>-24.999999999999996</v>
      </c>
      <c r="S10" s="24">
        <f>QUARTILE(Table1[LEDD_change],3)</f>
        <v>-45</v>
      </c>
      <c r="T10" s="24">
        <f>QUARTILE(Table1[PDQ39_change],3)</f>
        <v>-19.166666666666664</v>
      </c>
      <c r="U10" s="4"/>
      <c r="V10" s="4"/>
    </row>
    <row r="11" spans="1:22" x14ac:dyDescent="0.2">
      <c r="A11" s="20" t="s">
        <v>5</v>
      </c>
      <c r="B11" s="22" t="s">
        <v>77</v>
      </c>
      <c r="C11" s="18">
        <f>COUNTIF(Table1[Gender],"F")</f>
        <v>12</v>
      </c>
      <c r="D11" s="4"/>
      <c r="E11" s="26" t="s">
        <v>59</v>
      </c>
      <c r="F11" s="24">
        <f t="shared" ref="F11:M11" si="0">F10-F9</f>
        <v>11.5</v>
      </c>
      <c r="G11" s="24">
        <f t="shared" si="0"/>
        <v>2</v>
      </c>
      <c r="H11" s="24">
        <f t="shared" si="0"/>
        <v>2</v>
      </c>
      <c r="I11" s="24">
        <f t="shared" si="0"/>
        <v>20</v>
      </c>
      <c r="J11" s="24">
        <f t="shared" si="0"/>
        <v>7</v>
      </c>
      <c r="K11" s="24">
        <f t="shared" si="0"/>
        <v>1000</v>
      </c>
      <c r="L11" s="24">
        <f t="shared" si="0"/>
        <v>15</v>
      </c>
      <c r="M11" s="24">
        <f t="shared" si="0"/>
        <v>1.5</v>
      </c>
      <c r="O11" s="26" t="s">
        <v>59</v>
      </c>
      <c r="P11" s="24">
        <f>P10-P9</f>
        <v>0.83120438754241555</v>
      </c>
      <c r="Q11" s="24">
        <f>Q10-Q9</f>
        <v>26.666666666666671</v>
      </c>
      <c r="R11" s="24">
        <f>R10-R9</f>
        <v>37.5</v>
      </c>
      <c r="S11" s="24">
        <f>S10-S9</f>
        <v>21.666666666666657</v>
      </c>
      <c r="T11" s="24">
        <f>T10-T9</f>
        <v>6.7261904761904781</v>
      </c>
      <c r="U11" s="4"/>
      <c r="V11" s="4"/>
    </row>
    <row r="12" spans="1:22" x14ac:dyDescent="0.2">
      <c r="A12" s="20"/>
      <c r="B12" s="22" t="s">
        <v>76</v>
      </c>
      <c r="C12" s="18">
        <f>COUNTIF(Table1[Gender],"M")</f>
        <v>12</v>
      </c>
      <c r="D12" s="4"/>
      <c r="E12" s="26" t="s">
        <v>78</v>
      </c>
      <c r="F12" s="24">
        <f t="shared" ref="F12:M12" si="1">F9-(1.5*F11)</f>
        <v>38.5</v>
      </c>
      <c r="G12" s="24">
        <f t="shared" si="1"/>
        <v>6</v>
      </c>
      <c r="H12" s="24">
        <f t="shared" si="1"/>
        <v>8</v>
      </c>
      <c r="I12" s="24">
        <f t="shared" si="1"/>
        <v>10</v>
      </c>
      <c r="J12" s="24">
        <f t="shared" si="1"/>
        <v>-6.25</v>
      </c>
      <c r="K12" s="24">
        <f t="shared" si="1"/>
        <v>-625</v>
      </c>
      <c r="L12" s="24">
        <f t="shared" si="1"/>
        <v>55</v>
      </c>
      <c r="M12" s="24">
        <f t="shared" si="1"/>
        <v>24.5</v>
      </c>
      <c r="O12" s="26" t="s">
        <v>78</v>
      </c>
      <c r="P12" s="24">
        <f>P9-(1.5*P11)</f>
        <v>1.2037073128622429</v>
      </c>
      <c r="Q12" s="24">
        <f>Q9-(1.5*Q11)</f>
        <v>-100</v>
      </c>
      <c r="R12" s="24">
        <f>R9-(1.5*R11)</f>
        <v>-118.75</v>
      </c>
      <c r="S12" s="24">
        <f>S9-(1.5*S11)</f>
        <v>-99.166666666666643</v>
      </c>
      <c r="T12" s="24">
        <f>T9-(1.5*T11)</f>
        <v>-35.982142857142861</v>
      </c>
      <c r="U12" s="4"/>
      <c r="V12" s="4"/>
    </row>
    <row r="13" spans="1:22" x14ac:dyDescent="0.2">
      <c r="A13" s="20"/>
      <c r="B13" s="21"/>
      <c r="C13" s="21"/>
      <c r="E13" s="26" t="s">
        <v>79</v>
      </c>
      <c r="F13" s="17">
        <f t="shared" ref="F13:M13" si="2">F10+(1.5*F11)</f>
        <v>84.5</v>
      </c>
      <c r="G13" s="17">
        <f t="shared" si="2"/>
        <v>14</v>
      </c>
      <c r="H13" s="17">
        <f t="shared" si="2"/>
        <v>16</v>
      </c>
      <c r="I13" s="17">
        <f t="shared" si="2"/>
        <v>90</v>
      </c>
      <c r="J13" s="17">
        <f t="shared" si="2"/>
        <v>21.75</v>
      </c>
      <c r="K13" s="17">
        <f t="shared" si="2"/>
        <v>3375</v>
      </c>
      <c r="L13" s="17">
        <f t="shared" si="2"/>
        <v>115</v>
      </c>
      <c r="M13" s="17">
        <f t="shared" si="2"/>
        <v>30.5</v>
      </c>
      <c r="O13" s="26" t="s">
        <v>79</v>
      </c>
      <c r="P13" s="17">
        <f>P10+(1.5*P11)</f>
        <v>4.5285248630319046</v>
      </c>
      <c r="Q13" s="17">
        <f>Q10+(1.5*Q11)</f>
        <v>6.6666666666666785</v>
      </c>
      <c r="R13" s="17">
        <f>R10+(1.5*R11)</f>
        <v>31.250000000000004</v>
      </c>
      <c r="S13" s="17">
        <f>S10+(1.5*S11)</f>
        <v>-12.500000000000014</v>
      </c>
      <c r="T13" s="17">
        <f>T10+(1.5*T11)</f>
        <v>-9.0773809523809472</v>
      </c>
      <c r="U13" s="4"/>
      <c r="V13" s="4"/>
    </row>
    <row r="14" spans="1:22" x14ac:dyDescent="0.2">
      <c r="A14" s="20" t="s">
        <v>52</v>
      </c>
      <c r="B14" s="22">
        <v>2016</v>
      </c>
      <c r="C14" s="22">
        <f>COUNTIFS(Table1[Date],"&gt;=01/01/2016",Table1[Date],"&lt;=31/12/2016")</f>
        <v>12</v>
      </c>
      <c r="E14" s="26" t="s">
        <v>80</v>
      </c>
      <c r="F14" s="25">
        <f>COUNTIFS(Table1[Age],"&lt;B14",Table1[Age],"&gt;B15")</f>
        <v>0</v>
      </c>
      <c r="G14" s="25">
        <f>COUNTIFS(Table1[Disease_duration],"&lt;C14",Table1[Disease_duration],"&gt;C15")</f>
        <v>0</v>
      </c>
      <c r="H14" s="25">
        <f>COUNTIFS(Table1[Follow-up],"&lt;B14",Table1[Follow-up],"&gt;B15")</f>
        <v>0</v>
      </c>
      <c r="I14" s="25">
        <f>COUNTIFS(Table1[UPDRS3_pre],"&lt;B14",Table1[UPDRS3_pre],"&gt;B15")</f>
        <v>0</v>
      </c>
      <c r="J14" s="25">
        <f>COUNTIFS(Table1[UPDRS4_pre],"&lt;B14",Table1[UPDRS4_pre],"&gt;B15")</f>
        <v>0</v>
      </c>
      <c r="K14" s="25">
        <f>COUNTIFS(Table1[LEDD_pre],"&lt;B14",Table1[LEDD_pre],"&gt;B15")</f>
        <v>0</v>
      </c>
      <c r="L14" s="25">
        <f>COUNTIFS(Table1[PDQ39_pre],"&lt;B14",Table1[PDQ39_pre],"&gt;B15")</f>
        <v>0</v>
      </c>
      <c r="M14" s="25">
        <f>COUNTIFS(Table1[MOCA],"&lt;B14",Table1[MOCA],"&gt;B15")</f>
        <v>0</v>
      </c>
      <c r="O14" s="26" t="s">
        <v>80</v>
      </c>
      <c r="P14" s="25">
        <f>COUNTIFS(Table1[Weight_change],"&lt;B14",Table1[Weight_change],"&gt;B15")</f>
        <v>0</v>
      </c>
      <c r="Q14" s="25">
        <f>COUNTIFS(Table1[UPDRS3_change],"&lt;B14",Table1[UPDRS3_change],"&gt;B15")</f>
        <v>0</v>
      </c>
      <c r="R14" s="25">
        <f>COUNTIFS(Table1[UPDRS4_change],"&lt;B14",Table1[UPDRS4_change],"&gt;B15")</f>
        <v>0</v>
      </c>
      <c r="S14" s="25">
        <f>COUNTIFS(Table1[LEDD_change],"&lt;B14",Table1[LEDD_change],"&gt;B15")</f>
        <v>0</v>
      </c>
      <c r="T14" s="25">
        <f>COUNTIFS(Table1[PDQ39_change],"&lt;B14",Table1[PDQ39_change],"&gt;B15")</f>
        <v>0</v>
      </c>
      <c r="U14" s="4"/>
      <c r="V14" s="4"/>
    </row>
    <row r="15" spans="1:22" x14ac:dyDescent="0.2">
      <c r="A15" s="20"/>
      <c r="B15" s="22">
        <v>2017</v>
      </c>
      <c r="C15" s="22">
        <f>COUNTIFS(Table1[Date],"&gt;=01/01/2017",Table1[Date],"&lt;=31/12/2017")</f>
        <v>12</v>
      </c>
      <c r="E15" s="26" t="s">
        <v>56</v>
      </c>
      <c r="F15" s="24">
        <f>MIN(Table1[Age])</f>
        <v>50</v>
      </c>
      <c r="G15" s="24">
        <f>MIN(Table1[Disease_duration])</f>
        <v>8</v>
      </c>
      <c r="H15" s="24">
        <f>MIN(Table1[Follow-up])</f>
        <v>11</v>
      </c>
      <c r="I15" s="24">
        <f>MIN(Table1[UPDRS3_pre])</f>
        <v>40</v>
      </c>
      <c r="J15" s="24">
        <f>MIN(Table1[UPDRS4_pre])</f>
        <v>2</v>
      </c>
      <c r="K15" s="24">
        <f>MIN(Table1[LEDD_pre])</f>
        <v>500</v>
      </c>
      <c r="L15" s="24">
        <f>MIN(Table1[PDQ39_pre])</f>
        <v>70</v>
      </c>
      <c r="M15" s="24">
        <f>MIN(Table1[MOCA])</f>
        <v>26</v>
      </c>
      <c r="O15" s="26" t="s">
        <v>56</v>
      </c>
      <c r="P15" s="24">
        <f>MIN(Table1[Weight_change])</f>
        <v>1.3513513513513513</v>
      </c>
      <c r="Q15" s="24">
        <f>MIN(Table1[UPDRS3_change])</f>
        <v>-66.666666666666657</v>
      </c>
      <c r="R15" s="24">
        <f>MIN(Table1[UPDRS4_change])</f>
        <v>-100</v>
      </c>
      <c r="S15" s="24">
        <f>MIN(Table1[LEDD_change])</f>
        <v>-66.666666666666657</v>
      </c>
      <c r="T15" s="24">
        <f>MIN(Table1[PDQ39_change])</f>
        <v>-28.571428571428569</v>
      </c>
      <c r="U15" s="4"/>
      <c r="V15" s="4"/>
    </row>
    <row r="16" spans="1:22" x14ac:dyDescent="0.2">
      <c r="E16" s="26" t="s">
        <v>57</v>
      </c>
      <c r="F16" s="24">
        <f>MAX(Table1[Age])</f>
        <v>73</v>
      </c>
      <c r="G16" s="24">
        <f>MAX(Table1[Disease_duration])</f>
        <v>12</v>
      </c>
      <c r="H16" s="24">
        <f>MAX(Table1[Follow-up])</f>
        <v>13</v>
      </c>
      <c r="I16" s="24">
        <f>MAX(Table1[UPDRS3_pre])</f>
        <v>60</v>
      </c>
      <c r="J16" s="24">
        <f>MAX(Table1[UPDRS4_pre])</f>
        <v>15</v>
      </c>
      <c r="K16" s="24">
        <f>MAX(Table1[LEDD_pre])</f>
        <v>3000</v>
      </c>
      <c r="L16" s="24">
        <f>MAX(Table1[PDQ39_pre])</f>
        <v>100</v>
      </c>
      <c r="M16" s="24">
        <f>MAX(Table1[MOCA])</f>
        <v>29</v>
      </c>
      <c r="O16" s="26" t="s">
        <v>57</v>
      </c>
      <c r="P16" s="24">
        <f>MAX(Table1[Weight_change])</f>
        <v>3.8961038961038961</v>
      </c>
      <c r="Q16" s="24">
        <f>MAX(Table1[UPDRS3_change])</f>
        <v>-25</v>
      </c>
      <c r="R16" s="24">
        <f>MAX(Table1[UPDRS4_change])</f>
        <v>0</v>
      </c>
      <c r="S16" s="24">
        <f>MAX(Table1[LEDD_change])</f>
        <v>0</v>
      </c>
      <c r="T16" s="24">
        <f>MAX(Table1[PDQ39_change])</f>
        <v>-10</v>
      </c>
      <c r="U16" s="4"/>
      <c r="V16" s="4"/>
    </row>
    <row r="17" spans="5:20" x14ac:dyDescent="0.2">
      <c r="E17" s="26" t="s">
        <v>60</v>
      </c>
      <c r="F17" s="17">
        <f t="shared" ref="F17:M17" si="3">(F16-F15)</f>
        <v>23</v>
      </c>
      <c r="G17" s="17">
        <f t="shared" si="3"/>
        <v>4</v>
      </c>
      <c r="H17" s="17">
        <f t="shared" si="3"/>
        <v>2</v>
      </c>
      <c r="I17" s="17">
        <f t="shared" si="3"/>
        <v>20</v>
      </c>
      <c r="J17" s="17">
        <f t="shared" si="3"/>
        <v>13</v>
      </c>
      <c r="K17" s="17">
        <f t="shared" si="3"/>
        <v>2500</v>
      </c>
      <c r="L17" s="17">
        <f t="shared" si="3"/>
        <v>30</v>
      </c>
      <c r="M17" s="17">
        <f t="shared" si="3"/>
        <v>3</v>
      </c>
      <c r="O17" s="26" t="s">
        <v>60</v>
      </c>
      <c r="P17" s="17">
        <f>(P16-P15)</f>
        <v>2.5447525447525448</v>
      </c>
      <c r="Q17" s="17">
        <f>(Q16-Q15)</f>
        <v>41.666666666666657</v>
      </c>
      <c r="R17" s="17">
        <f>(R16-R15)</f>
        <v>100</v>
      </c>
      <c r="S17" s="17">
        <f>(S16-S15)</f>
        <v>66.666666666666657</v>
      </c>
      <c r="T17" s="17">
        <f>(T16-T15)</f>
        <v>18.571428571428569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Hart</dc:creator>
  <cp:lastModifiedBy>Michael Hart</cp:lastModifiedBy>
  <dcterms:created xsi:type="dcterms:W3CDTF">2017-12-17T19:48:20Z</dcterms:created>
  <dcterms:modified xsi:type="dcterms:W3CDTF">2020-07-10T19:27:16Z</dcterms:modified>
</cp:coreProperties>
</file>