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313A6221-35F6-4DAA-BAE8-029E21B103FF}" xr6:coauthVersionLast="47" xr6:coauthVersionMax="47" xr10:uidLastSave="{00000000-0000-0000-0000-000000000000}"/>
  <bookViews>
    <workbookView xWindow="1668" yWindow="276" windowWidth="20976" windowHeight="11748" activeTab="1" xr2:uid="{00000000-000D-0000-FFFF-FFFF00000000}"/>
  </bookViews>
  <sheets>
    <sheet name="Readme" sheetId="6" r:id="rId1"/>
    <sheet name="partonloganmodel" sheetId="5" r:id="rId2"/>
    <sheet name="Model detail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5" l="1" a="1"/>
  <c r="D42" i="5" s="1"/>
  <c r="D41" i="5"/>
  <c r="D9" i="5"/>
  <c r="F5" i="5"/>
  <c r="J5" i="5" l="1"/>
  <c r="B5" i="5"/>
  <c r="D5" i="5"/>
  <c r="C5" i="5"/>
  <c r="J9" i="5" l="1"/>
  <c r="G9" i="5" s="1"/>
  <c r="H9" i="5" s="1"/>
  <c r="B9" i="5" s="1"/>
  <c r="J10" i="5"/>
  <c r="G10" i="5" s="1"/>
  <c r="H10" i="5" s="1"/>
  <c r="B10" i="5" s="1"/>
  <c r="J11" i="5"/>
  <c r="G11" i="5" s="1"/>
  <c r="H11" i="5" s="1"/>
  <c r="B11" i="5" s="1"/>
  <c r="J12" i="5"/>
  <c r="G12" i="5" s="1"/>
  <c r="H12" i="5" s="1"/>
  <c r="B12" i="5" s="1"/>
  <c r="J13" i="5"/>
  <c r="J14" i="5"/>
  <c r="G14" i="5" s="1"/>
  <c r="H14" i="5" s="1"/>
  <c r="B14" i="5" s="1"/>
  <c r="J15" i="5"/>
  <c r="G15" i="5" s="1"/>
  <c r="H15" i="5" s="1"/>
  <c r="B15" i="5" s="1"/>
  <c r="L5" i="5"/>
  <c r="I11" i="5" l="1"/>
  <c r="I12" i="5"/>
  <c r="I9" i="5"/>
  <c r="I13" i="5"/>
  <c r="I10" i="5"/>
  <c r="I14" i="5"/>
  <c r="I15" i="5"/>
  <c r="G13" i="5"/>
  <c r="H13" i="5" s="1"/>
  <c r="B13" i="5" s="1"/>
  <c r="E11" i="5" l="1"/>
  <c r="D11" i="5"/>
  <c r="E15" i="5"/>
  <c r="D15" i="5"/>
  <c r="E14" i="5"/>
  <c r="D14" i="5"/>
  <c r="D10" i="5"/>
  <c r="E10" i="5"/>
  <c r="E9" i="5"/>
  <c r="E12" i="5"/>
  <c r="D12" i="5"/>
  <c r="J28" i="5"/>
  <c r="G28" i="5" s="1"/>
  <c r="H28" i="5" s="1"/>
  <c r="J35" i="5"/>
  <c r="J37" i="5"/>
  <c r="J34" i="5"/>
  <c r="J33" i="5"/>
  <c r="J36" i="5"/>
  <c r="J38" i="5"/>
  <c r="J16" i="5"/>
  <c r="J19" i="5"/>
  <c r="I19" i="5" s="1"/>
  <c r="J22" i="5"/>
  <c r="J30" i="5"/>
  <c r="G30" i="5" s="1"/>
  <c r="H30" i="5" s="1"/>
  <c r="J23" i="5"/>
  <c r="K5" i="5"/>
  <c r="J32" i="5"/>
  <c r="I32" i="5" s="1"/>
  <c r="J27" i="5"/>
  <c r="J24" i="5"/>
  <c r="B24" i="5" s="1"/>
  <c r="J17" i="5"/>
  <c r="B17" i="5" s="1"/>
  <c r="J25" i="5"/>
  <c r="B25" i="5" s="1"/>
  <c r="J18" i="5"/>
  <c r="B18" i="5" s="1"/>
  <c r="J29" i="5"/>
  <c r="J21" i="5"/>
  <c r="B21" i="5" s="1"/>
  <c r="J26" i="5"/>
  <c r="B26" i="5" s="1"/>
  <c r="J20" i="5"/>
  <c r="B20" i="5" s="1"/>
  <c r="J31" i="5"/>
  <c r="I28" i="5" l="1"/>
  <c r="B28" i="5" s="1"/>
  <c r="E21" i="5"/>
  <c r="D21" i="5"/>
  <c r="D18" i="5"/>
  <c r="E18" i="5"/>
  <c r="D25" i="5"/>
  <c r="E25" i="5"/>
  <c r="E17" i="5"/>
  <c r="D17" i="5"/>
  <c r="E20" i="5"/>
  <c r="D20" i="5"/>
  <c r="E24" i="5"/>
  <c r="D24" i="5"/>
  <c r="E13" i="5"/>
  <c r="D13" i="5"/>
  <c r="D26" i="5"/>
  <c r="E26" i="5"/>
  <c r="G16" i="5"/>
  <c r="H16" i="5" s="1"/>
  <c r="B16" i="5"/>
  <c r="G38" i="5"/>
  <c r="H38" i="5" s="1"/>
  <c r="B38" i="5" s="1"/>
  <c r="I38" i="5"/>
  <c r="G36" i="5"/>
  <c r="H36" i="5" s="1"/>
  <c r="B36" i="5" s="1"/>
  <c r="I36" i="5"/>
  <c r="G33" i="5"/>
  <c r="H33" i="5" s="1"/>
  <c r="B33" i="5" s="1"/>
  <c r="I33" i="5"/>
  <c r="G23" i="5"/>
  <c r="H23" i="5" s="1"/>
  <c r="B23" i="5"/>
  <c r="G34" i="5"/>
  <c r="H34" i="5" s="1"/>
  <c r="B34" i="5" s="1"/>
  <c r="I34" i="5"/>
  <c r="I22" i="5"/>
  <c r="B22" i="5"/>
  <c r="I35" i="5"/>
  <c r="G35" i="5"/>
  <c r="H35" i="5" s="1"/>
  <c r="B35" i="5" s="1"/>
  <c r="G27" i="5"/>
  <c r="H27" i="5" s="1"/>
  <c r="B27" i="5"/>
  <c r="I16" i="5"/>
  <c r="G37" i="5"/>
  <c r="H37" i="5" s="1"/>
  <c r="B37" i="5" s="1"/>
  <c r="I37" i="5"/>
  <c r="G19" i="5"/>
  <c r="H19" i="5" s="1"/>
  <c r="B19" i="5"/>
  <c r="I30" i="5"/>
  <c r="B30" i="5" s="1"/>
  <c r="G22" i="5"/>
  <c r="H22" i="5" s="1"/>
  <c r="G32" i="5"/>
  <c r="H32" i="5" s="1"/>
  <c r="B32" i="5" s="1"/>
  <c r="G24" i="5"/>
  <c r="H24" i="5" s="1"/>
  <c r="I24" i="5"/>
  <c r="I27" i="5"/>
  <c r="I23" i="5"/>
  <c r="G26" i="5"/>
  <c r="H26" i="5" s="1"/>
  <c r="I26" i="5"/>
  <c r="G31" i="5"/>
  <c r="H31" i="5" s="1"/>
  <c r="I31" i="5"/>
  <c r="I20" i="5"/>
  <c r="G20" i="5"/>
  <c r="H20" i="5" s="1"/>
  <c r="I21" i="5"/>
  <c r="G21" i="5"/>
  <c r="H21" i="5" s="1"/>
  <c r="I29" i="5"/>
  <c r="G29" i="5"/>
  <c r="H29" i="5" s="1"/>
  <c r="G25" i="5"/>
  <c r="H25" i="5" s="1"/>
  <c r="I25" i="5"/>
  <c r="I18" i="5"/>
  <c r="G18" i="5"/>
  <c r="H18" i="5" s="1"/>
  <c r="I17" i="5"/>
  <c r="G17" i="5"/>
  <c r="H17" i="5" s="1"/>
  <c r="B31" i="5" l="1"/>
  <c r="E28" i="5"/>
  <c r="D28" i="5"/>
  <c r="E19" i="5"/>
  <c r="D19" i="5"/>
  <c r="E22" i="5"/>
  <c r="D22" i="5"/>
  <c r="E32" i="5"/>
  <c r="D32" i="5"/>
  <c r="E27" i="5"/>
  <c r="D27" i="5"/>
  <c r="E23" i="5"/>
  <c r="D23" i="5"/>
  <c r="E16" i="5"/>
  <c r="D16" i="5"/>
  <c r="E30" i="5"/>
  <c r="D30" i="5"/>
  <c r="B29" i="5"/>
  <c r="E37" i="5" l="1"/>
  <c r="D37" i="5"/>
  <c r="E38" i="5"/>
  <c r="D38" i="5"/>
  <c r="D34" i="5"/>
  <c r="E34" i="5"/>
  <c r="E31" i="5"/>
  <c r="D31" i="5"/>
  <c r="E35" i="5"/>
  <c r="D35" i="5"/>
  <c r="E29" i="5"/>
  <c r="D29" i="5"/>
  <c r="E36" i="5"/>
  <c r="D36" i="5"/>
  <c r="E33" i="5"/>
  <c r="D3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<sst xmlns="http://schemas.openxmlformats.org/spreadsheetml/2006/main" count="89" uniqueCount="62">
  <si>
    <t>hour</t>
  </si>
  <si>
    <t>A = 1.5</t>
  </si>
  <si>
    <t>B = 2.8</t>
  </si>
  <si>
    <t>C = -0.1</t>
  </si>
  <si>
    <t>daylength = SunDown - SunUp</t>
  </si>
  <si>
    <t>MinTempTime = SunUp + C</t>
  </si>
  <si>
    <t xml:space="preserve"> MaxTempTime = MinTempTime + daylength / 2 + A</t>
  </si>
  <si>
    <t>PIval = 3.14159265358979</t>
  </si>
  <si>
    <t>Tval = (0.5 * PIval) * (SunDown - MinTempTime) / (MaxTempTime - MinTempTime)</t>
  </si>
  <si>
    <t xml:space="preserve">HDecay = (24 + C) - daylength </t>
  </si>
  <si>
    <t>TSNDN = tMinVal + (tMaxVal - tMinVal) * Sin(T)</t>
  </si>
  <si>
    <t>TMINI = (tMinVal - TSNDN * Exp(-B)) / (1 - Exp(-B))</t>
  </si>
  <si>
    <t>SunUp2 = SunUp + C</t>
  </si>
  <si>
    <t>hr &lt; SunUp2:</t>
  </si>
  <si>
    <t xml:space="preserve">                 Arg = -B * T / HDecay</t>
  </si>
  <si>
    <t>T = 24 + hr - SunDown</t>
  </si>
  <si>
    <t>Arg = -B * T / HDecay</t>
  </si>
  <si>
    <t xml:space="preserve">TAirHr = TMINI + (TSNDN - TMINI) * Exp(Arg) </t>
  </si>
  <si>
    <t>hr &gt; SunDown:</t>
  </si>
  <si>
    <t xml:space="preserve">                 T = hr - SunDown</t>
  </si>
  <si>
    <t>#                 TAirHr = TMINI + (TSNDN - TMINI) * Exp(Arg)</t>
  </si>
  <si>
    <t>(hr &gt;= SunUp and hr &lt;= SunDown):</t>
  </si>
  <si>
    <t xml:space="preserve">                 T = 0.5 * PIval * (hr - MinTempTime) / (MaxTempTime - MinTempTime)</t>
  </si>
  <si>
    <t>#                 TAirHr = tMinVal + (tMaxVal - tMinVal) * Sin(T)</t>
  </si>
  <si>
    <t>Tval</t>
  </si>
  <si>
    <t>Hdecay</t>
  </si>
  <si>
    <t>Pival</t>
  </si>
  <si>
    <t>TSNDN</t>
  </si>
  <si>
    <t>TMINI</t>
  </si>
  <si>
    <t>Arg</t>
  </si>
  <si>
    <t>T</t>
  </si>
  <si>
    <t>T_hr-sundown</t>
  </si>
  <si>
    <t>Summary</t>
  </si>
  <si>
    <t>RMSE =</t>
  </si>
  <si>
    <t>Predicted_Ta</t>
  </si>
  <si>
    <t>Observed_Ta</t>
  </si>
  <si>
    <t>Adjust the parameters (A,B,C) Column (O4-O6)</t>
  </si>
  <si>
    <t>Daylength</t>
  </si>
  <si>
    <t>Sunrise_time</t>
  </si>
  <si>
    <t>Sunset_time</t>
  </si>
  <si>
    <t>MinTa_time</t>
  </si>
  <si>
    <t>MaxTa_Time</t>
  </si>
  <si>
    <t>Model Details</t>
  </si>
  <si>
    <t>Adjust A,B,C Values</t>
  </si>
  <si>
    <t>Values</t>
  </si>
  <si>
    <t>MIN_Ta</t>
  </si>
  <si>
    <t>MAX_Ta</t>
  </si>
  <si>
    <t>Mean_Ta</t>
  </si>
  <si>
    <t>Ta_Pred</t>
  </si>
  <si>
    <t>Ta_Obs</t>
  </si>
  <si>
    <t>Ta_Diff</t>
  </si>
  <si>
    <t>Ta_Diff^2</t>
  </si>
  <si>
    <t>Cut and paste one day of temperatures into the column labeled Ta_Obs (Observed Temperature) Column (C9-C38)</t>
  </si>
  <si>
    <t>Citation: Blanford, J.I. (2025) Diurnal Temperature predictions using the Parton &amp; Logan (1981) model</t>
  </si>
  <si>
    <t>Explore predicting temperatures at different time intervals.</t>
  </si>
  <si>
    <t>=STDEV(range) / SQRT(COUNT(range))</t>
  </si>
  <si>
    <t>SE of the mean</t>
  </si>
  <si>
    <t>=SQRT(SUMSQ(C2:C11)/COUNTA(C2:C11))</t>
  </si>
  <si>
    <t>= SQRT(SUMSQ(B9:B38-C9:C38)/COUNTA(B9:B38))</t>
  </si>
  <si>
    <t>For information about the Parton &amp; Logan (1981) model see</t>
  </si>
  <si>
    <t>Parton, W. J., and J. A. Logan. (1981) A model for diurnal variation in soil and air temperature.  Agricultural Meteorology 23:205-216. doi: https://doi.org/10.1016/0002-1571(81)90105-9</t>
  </si>
  <si>
    <t>Adpated from Parton &amp; Logan (1981)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</si>
</sst>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0" borderId="0" xfId="0" quotePrefix="1"/>
    <xf numFmtId="0" fontId="3" fillId="0" borderId="0" xfId="0" quotePrefix="1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partonloganmodel!$B$9:$B$33</c:f>
              <c:numCache>
                <c:formatCode>General</c:formatCode>
                <c:ptCount val="25"/>
                <c:pt idx="0">
                  <c:v>6.5452706203866242</c:v>
                </c:pt>
                <c:pt idx="1">
                  <c:v>5.8114254210449419</c:v>
                </c:pt>
                <c:pt idx="2">
                  <c:v>4.8001446145596702</c:v>
                </c:pt>
                <c:pt idx="3">
                  <c:v>4.4411951106529823</c:v>
                </c:pt>
                <c:pt idx="4">
                  <c:v>5.0645934278362388</c:v>
                </c:pt>
                <c:pt idx="5">
                  <c:v>6.0971900282397886</c:v>
                </c:pt>
                <c:pt idx="6">
                  <c:v>6.5896203595158127</c:v>
                </c:pt>
                <c:pt idx="7">
                  <c:v>8.9775643656099504</c:v>
                </c:pt>
                <c:pt idx="8">
                  <c:v>12.293898294289985</c:v>
                </c:pt>
                <c:pt idx="9">
                  <c:v>15.313728746487683</c:v>
                </c:pt>
                <c:pt idx="10">
                  <c:v>17.905074640687772</c:v>
                </c:pt>
                <c:pt idx="11">
                  <c:v>19.954681726656503</c:v>
                </c:pt>
                <c:pt idx="12">
                  <c:v>21.372972339631062</c:v>
                </c:pt>
                <c:pt idx="13">
                  <c:v>22.097960374111011</c:v>
                </c:pt>
                <c:pt idx="14">
                  <c:v>22.097960374111018</c:v>
                </c:pt>
                <c:pt idx="15">
                  <c:v>21.372972339631076</c:v>
                </c:pt>
                <c:pt idx="16">
                  <c:v>19.954681726656528</c:v>
                </c:pt>
                <c:pt idx="17">
                  <c:v>17.905074640687804</c:v>
                </c:pt>
                <c:pt idx="18">
                  <c:v>15.313728746487723</c:v>
                </c:pt>
                <c:pt idx="19">
                  <c:v>8.8768673755089917</c:v>
                </c:pt>
                <c:pt idx="20">
                  <c:v>7.1373176069893933</c:v>
                </c:pt>
                <c:pt idx="21">
                  <c:v>5.5096666666666918</c:v>
                </c:pt>
                <c:pt idx="22">
                  <c:v>4.0558592685958965</c:v>
                </c:pt>
                <c:pt idx="23">
                  <c:v>2.823470609238556</c:v>
                </c:pt>
                <c:pt idx="24">
                  <c:v>6.1444537372371766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4-4CFE-B390-2B7ED1DB5E7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partonloganmodel!$C$9:$C$33</c:f>
              <c:numCache>
                <c:formatCode>General</c:formatCode>
                <c:ptCount val="25"/>
                <c:pt idx="0">
                  <c:v>7.857083333333331</c:v>
                </c:pt>
                <c:pt idx="1">
                  <c:v>7.2464166666666658</c:v>
                </c:pt>
                <c:pt idx="2">
                  <c:v>6.5640833333333353</c:v>
                </c:pt>
                <c:pt idx="3">
                  <c:v>6.267833333333332</c:v>
                </c:pt>
                <c:pt idx="4">
                  <c:v>5.7914999999999992</c:v>
                </c:pt>
                <c:pt idx="5">
                  <c:v>5.6204999999999998</c:v>
                </c:pt>
                <c:pt idx="6">
                  <c:v>5.5096666666666678</c:v>
                </c:pt>
                <c:pt idx="7">
                  <c:v>6.605083333333333</c:v>
                </c:pt>
                <c:pt idx="8">
                  <c:v>8.702</c:v>
                </c:pt>
                <c:pt idx="9">
                  <c:v>10.844916666666668</c:v>
                </c:pt>
                <c:pt idx="10">
                  <c:v>13.308</c:v>
                </c:pt>
                <c:pt idx="11">
                  <c:v>17.99775</c:v>
                </c:pt>
                <c:pt idx="12">
                  <c:v>20.774416666666671</c:v>
                </c:pt>
                <c:pt idx="13">
                  <c:v>20.329666666666672</c:v>
                </c:pt>
                <c:pt idx="14">
                  <c:v>22.189333333333337</c:v>
                </c:pt>
                <c:pt idx="15">
                  <c:v>21.030083333333334</c:v>
                </c:pt>
                <c:pt idx="16">
                  <c:v>22.1585</c:v>
                </c:pt>
                <c:pt idx="17">
                  <c:v>18.060666666666663</c:v>
                </c:pt>
                <c:pt idx="18">
                  <c:v>13.947999999999999</c:v>
                </c:pt>
                <c:pt idx="19">
                  <c:v>11.494750000000002</c:v>
                </c:pt>
                <c:pt idx="20">
                  <c:v>9.7671666666666663</c:v>
                </c:pt>
                <c:pt idx="21">
                  <c:v>8.845583333333332</c:v>
                </c:pt>
                <c:pt idx="22">
                  <c:v>8.5060000000000002</c:v>
                </c:pt>
                <c:pt idx="23">
                  <c:v>7.6480833333333349</c:v>
                </c:pt>
                <c:pt idx="24">
                  <c:v>7.2548333333333339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4-4CFE-B390-2B7ED1DB5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202064"/>
        <c:axId val="505202624"/>
      </c:lineChart>
      <c:catAx>
        <c:axId val="50520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02624"/>
        <c:crosses val="autoZero"/>
        <c:auto val="1"/>
        <c:lblAlgn val="ctr"/>
        <c:lblOffset val="100"/>
        <c:noMultiLvlLbl val="0"/>
      </c:catAx>
      <c:valAx>
        <c:axId val="50520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0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338137</xdr:colOff>
      <xdr:row>9</xdr:row>
      <xdr:rowOff>19049</xdr:rowOff>
    </xdr:from>
    <xdr:to>
      <xdr:col>16</xdr:col>
      <xdr:colOff>476250</xdr:colOff>
      <xdr:row>21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0002-1571(81)90105-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68C7-028A-4658-B585-E13D2D4BAD17}">
  <dimension ref="A1:A6"/>
  <sheetViews>
    <sheetView workbookViewId="0"/>
  </sheetViews>
  <sheetFormatPr defaultRowHeight="14.4"/>
  <sheetData>
    <row r="1" spans="1:1">
      <c r="A1" s="2" t="s">
        <v>53</v>
      </c>
    </row>
    <row r="3" spans="1:1">
      <c r="A3" t="s">
        <v>54</v>
      </c>
    </row>
    <row r="5" spans="1:1">
      <c r="A5" t="s">
        <v>59</v>
      </c>
    </row>
    <row r="6" spans="1:1">
      <c r="A6" s="13" t="s">
        <v>60</v>
      </c>
    </row>
  </sheetData>
  <hyperlinks>
    <hyperlink ref="A6" r:id="rId1" display="https://doi.org/10.1016/0002-1571(81)90105-9" xr:uid="{28613A71-4AA3-4536-969F-829FBE4BF8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zoomScaleNormal="100" workbookViewId="0"/>
  </sheetViews>
  <sheetFormatPr defaultRowHeight="14.4"/>
  <sheetData>
    <row r="1" spans="1:22">
      <c r="A1" t="s">
        <v>52</v>
      </c>
      <c r="N1" s="2" t="s">
        <v>53</v>
      </c>
      <c r="V1" s="2" t="s">
        <v>42</v>
      </c>
    </row>
    <row r="2" spans="1:22">
      <c r="A2" t="s">
        <v>36</v>
      </c>
      <c r="S2" t="s">
        <v>1</v>
      </c>
      <c r="T2">
        <v>1.5</v>
      </c>
      <c r="V2" t="s">
        <v>4</v>
      </c>
    </row>
    <row r="3" spans="1:22">
      <c r="J3" s="1"/>
      <c r="N3" s="2" t="s">
        <v>44</v>
      </c>
      <c r="O3" s="2" t="s">
        <v>43</v>
      </c>
      <c r="P3" s="1"/>
      <c r="S3" t="s">
        <v>2</v>
      </c>
      <c r="T3">
        <v>2.8</v>
      </c>
      <c r="V3" t="s">
        <v>5</v>
      </c>
    </row>
    <row r="4" spans="1:22">
      <c r="A4" t="s">
        <v>32</v>
      </c>
      <c r="B4" s="2" t="s">
        <v>45</v>
      </c>
      <c r="C4" s="2" t="s">
        <v>46</v>
      </c>
      <c r="D4" s="2" t="s">
        <v>47</v>
      </c>
      <c r="F4" s="1" t="s">
        <v>37</v>
      </c>
      <c r="G4" s="2" t="s">
        <v>38</v>
      </c>
      <c r="H4" s="2" t="s">
        <v>39</v>
      </c>
      <c r="I4" s="2" t="s">
        <v>40</v>
      </c>
      <c r="J4" t="s">
        <v>41</v>
      </c>
      <c r="K4" t="s">
        <v>24</v>
      </c>
      <c r="L4" t="s">
        <v>25</v>
      </c>
      <c r="N4" t="s">
        <v>1</v>
      </c>
      <c r="O4" s="4">
        <v>1.5</v>
      </c>
      <c r="P4" s="1"/>
      <c r="S4" t="s">
        <v>3</v>
      </c>
      <c r="T4">
        <v>-0.1</v>
      </c>
      <c r="V4" t="s">
        <v>6</v>
      </c>
    </row>
    <row r="5" spans="1:22">
      <c r="B5" s="8">
        <f>MIN(C9:C33)</f>
        <v>5.5096666666666678</v>
      </c>
      <c r="C5" s="8">
        <f>MAX(C9:C33)</f>
        <v>22.189333333333337</v>
      </c>
      <c r="D5" s="8">
        <f>AVERAGE(C9:C33)</f>
        <v>11.772876666666667</v>
      </c>
      <c r="F5" s="1">
        <f>H5-G5</f>
        <v>12</v>
      </c>
      <c r="G5" s="5">
        <v>6</v>
      </c>
      <c r="H5" s="5">
        <v>18</v>
      </c>
      <c r="I5" s="5">
        <v>6</v>
      </c>
      <c r="J5">
        <f>I5+F5/2 +O$4</f>
        <v>13.5</v>
      </c>
      <c r="K5">
        <f>(0.5*O$7)*(H5-I5)/(J5-I5)</f>
        <v>2.5132741228718323</v>
      </c>
      <c r="L5" s="1">
        <f>(24+O$6)-F5</f>
        <v>11.899999999999999</v>
      </c>
      <c r="N5" t="s">
        <v>2</v>
      </c>
      <c r="O5" s="4">
        <v>2.8</v>
      </c>
      <c r="P5" s="1"/>
      <c r="S5" t="s">
        <v>26</v>
      </c>
      <c r="T5">
        <v>3.14159265358979</v>
      </c>
      <c r="V5" t="s">
        <v>7</v>
      </c>
    </row>
    <row r="6" spans="1:22">
      <c r="J6" s="1"/>
      <c r="N6" t="s">
        <v>3</v>
      </c>
      <c r="O6" s="4">
        <v>-0.1</v>
      </c>
      <c r="P6" s="1"/>
      <c r="V6" t="s">
        <v>8</v>
      </c>
    </row>
    <row r="7" spans="1:22">
      <c r="B7" t="s">
        <v>34</v>
      </c>
      <c r="C7" t="s">
        <v>35</v>
      </c>
      <c r="J7" s="1"/>
      <c r="N7" t="s">
        <v>26</v>
      </c>
      <c r="O7">
        <v>3.14159265358979</v>
      </c>
      <c r="P7" s="1"/>
      <c r="V7" t="s">
        <v>9</v>
      </c>
    </row>
    <row r="8" spans="1:22">
      <c r="A8" t="s">
        <v>0</v>
      </c>
      <c r="B8" t="s">
        <v>48</v>
      </c>
      <c r="C8" s="2" t="s">
        <v>49</v>
      </c>
      <c r="D8" t="s">
        <v>50</v>
      </c>
      <c r="E8" t="s">
        <v>51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P8" s="1"/>
    </row>
    <row r="9" spans="1:22">
      <c r="A9">
        <v>0</v>
      </c>
      <c r="B9">
        <f>H9</f>
        <v>6.5452706203866242</v>
      </c>
      <c r="C9" s="4">
        <v>7.857083333333331</v>
      </c>
      <c r="D9">
        <f>C9-B9</f>
        <v>1.3118127129467068</v>
      </c>
      <c r="E9">
        <f>(C9-B9)^2</f>
        <v>1.7208525938485988</v>
      </c>
      <c r="G9">
        <f t="shared" ref="G9:G38" si="0">B$5+(C$5-B$5)*SIN(J9)</f>
        <v>-10.484870593289596</v>
      </c>
      <c r="H9">
        <f t="shared" ref="H9:H38" si="1">(B$5-G9*EXP(-O$5))/(1-EXP(-O$5))</f>
        <v>6.5452706203866242</v>
      </c>
      <c r="I9">
        <f t="shared" ref="I9:I38" si="2">-O$5*J9/L$5</f>
        <v>-1.1764705882352942</v>
      </c>
      <c r="J9" s="1">
        <f t="shared" ref="J9:J15" si="3">23+A9-H$5</f>
        <v>5</v>
      </c>
      <c r="P9" s="1"/>
      <c r="V9" t="s">
        <v>10</v>
      </c>
    </row>
    <row r="10" spans="1:22">
      <c r="A10">
        <v>1</v>
      </c>
      <c r="B10">
        <f t="shared" ref="B10:B14" si="4">H10</f>
        <v>5.8114254210449419</v>
      </c>
      <c r="C10" s="4">
        <v>7.2464166666666658</v>
      </c>
      <c r="D10">
        <f t="shared" ref="D10:D38" si="5">C10-B10</f>
        <v>1.434991245621724</v>
      </c>
      <c r="E10">
        <f t="shared" ref="E10:E38" si="6">(C10-B10)^2</f>
        <v>2.0591998750109868</v>
      </c>
      <c r="G10">
        <f t="shared" si="0"/>
        <v>0.84910929520798373</v>
      </c>
      <c r="H10">
        <f t="shared" si="1"/>
        <v>5.8114254210449419</v>
      </c>
      <c r="I10">
        <f t="shared" si="2"/>
        <v>-1.4117647058823528</v>
      </c>
      <c r="J10" s="1">
        <f t="shared" si="3"/>
        <v>6</v>
      </c>
      <c r="P10" s="1"/>
      <c r="V10" t="s">
        <v>11</v>
      </c>
    </row>
    <row r="11" spans="1:22">
      <c r="A11">
        <v>2</v>
      </c>
      <c r="B11">
        <f t="shared" si="4"/>
        <v>4.8001446145596702</v>
      </c>
      <c r="C11" s="4">
        <v>6.5640833333333353</v>
      </c>
      <c r="D11">
        <f t="shared" si="5"/>
        <v>1.763938718773665</v>
      </c>
      <c r="E11">
        <f t="shared" si="6"/>
        <v>3.1114798035888791</v>
      </c>
      <c r="G11">
        <f t="shared" si="0"/>
        <v>16.467984137763167</v>
      </c>
      <c r="H11">
        <f t="shared" si="1"/>
        <v>4.8001446145596702</v>
      </c>
      <c r="I11">
        <f t="shared" si="2"/>
        <v>-1.6470588235294117</v>
      </c>
      <c r="J11" s="1">
        <f t="shared" si="3"/>
        <v>7</v>
      </c>
      <c r="P11" s="1"/>
    </row>
    <row r="12" spans="1:22">
      <c r="A12">
        <v>3</v>
      </c>
      <c r="B12">
        <f t="shared" si="4"/>
        <v>4.4411951106529823</v>
      </c>
      <c r="C12" s="4">
        <v>6.267833333333332</v>
      </c>
      <c r="D12">
        <f t="shared" si="5"/>
        <v>1.8266382226803497</v>
      </c>
      <c r="E12">
        <f t="shared" si="6"/>
        <v>3.3366071965568267</v>
      </c>
      <c r="G12">
        <f t="shared" si="0"/>
        <v>22.01183243426247</v>
      </c>
      <c r="H12">
        <f t="shared" si="1"/>
        <v>4.4411951106529823</v>
      </c>
      <c r="I12">
        <f t="shared" si="2"/>
        <v>-1.8823529411764708</v>
      </c>
      <c r="J12" s="1">
        <f t="shared" si="3"/>
        <v>8</v>
      </c>
      <c r="P12" s="1"/>
      <c r="V12" t="s">
        <v>12</v>
      </c>
    </row>
    <row r="13" spans="1:22">
      <c r="A13">
        <v>4</v>
      </c>
      <c r="B13">
        <f t="shared" si="4"/>
        <v>5.0645934278362388</v>
      </c>
      <c r="C13" s="4">
        <v>5.7914999999999992</v>
      </c>
      <c r="D13">
        <f t="shared" si="5"/>
        <v>0.72690657216376042</v>
      </c>
      <c r="E13">
        <f t="shared" si="6"/>
        <v>0.52839316465486819</v>
      </c>
      <c r="G13">
        <f t="shared" si="0"/>
        <v>12.383665627670755</v>
      </c>
      <c r="H13">
        <f t="shared" si="1"/>
        <v>5.0645934278362388</v>
      </c>
      <c r="I13">
        <f t="shared" si="2"/>
        <v>-2.1176470588235294</v>
      </c>
      <c r="J13" s="1">
        <f t="shared" si="3"/>
        <v>9</v>
      </c>
      <c r="P13" s="1"/>
    </row>
    <row r="14" spans="1:22">
      <c r="A14">
        <v>5</v>
      </c>
      <c r="B14">
        <f t="shared" si="4"/>
        <v>6.0971900282397886</v>
      </c>
      <c r="C14" s="4">
        <v>5.6204999999999998</v>
      </c>
      <c r="D14">
        <f t="shared" si="5"/>
        <v>-0.47669002823978879</v>
      </c>
      <c r="E14">
        <f t="shared" si="6"/>
        <v>0.22723338302325063</v>
      </c>
      <c r="G14">
        <f t="shared" si="0"/>
        <v>-3.5644241225977247</v>
      </c>
      <c r="H14">
        <f t="shared" si="1"/>
        <v>6.0971900282397886</v>
      </c>
      <c r="I14">
        <f t="shared" si="2"/>
        <v>-2.3529411764705883</v>
      </c>
      <c r="J14" s="1">
        <f t="shared" si="3"/>
        <v>10</v>
      </c>
      <c r="P14" s="1"/>
      <c r="V14" t="s">
        <v>13</v>
      </c>
    </row>
    <row r="15" spans="1:22">
      <c r="A15" s="3">
        <v>6</v>
      </c>
      <c r="B15">
        <f>H15</f>
        <v>6.5896203595158127</v>
      </c>
      <c r="C15" s="4">
        <v>5.5096666666666678</v>
      </c>
      <c r="D15">
        <f t="shared" si="5"/>
        <v>-1.0799536928491449</v>
      </c>
      <c r="E15">
        <f t="shared" si="6"/>
        <v>1.1662999786985051</v>
      </c>
      <c r="F15" s="2"/>
      <c r="G15">
        <f t="shared" si="0"/>
        <v>-11.169836648530218</v>
      </c>
      <c r="H15">
        <f t="shared" si="1"/>
        <v>6.5896203595158127</v>
      </c>
      <c r="I15" s="2">
        <f t="shared" si="2"/>
        <v>-2.5882352941176472</v>
      </c>
      <c r="J15" s="1">
        <f t="shared" si="3"/>
        <v>11</v>
      </c>
      <c r="P15" s="1"/>
      <c r="V15" t="s">
        <v>15</v>
      </c>
    </row>
    <row r="16" spans="1:22">
      <c r="A16">
        <v>7</v>
      </c>
      <c r="B16">
        <f t="shared" ref="B16:B27" si="7">B$5+(C$5-B$5)*SIN(J16)</f>
        <v>8.9775643656099504</v>
      </c>
      <c r="C16" s="4">
        <v>6.605083333333333</v>
      </c>
      <c r="D16">
        <f t="shared" si="5"/>
        <v>-2.3724810322766174</v>
      </c>
      <c r="E16">
        <f t="shared" si="6"/>
        <v>5.6286662485123244</v>
      </c>
      <c r="G16">
        <f t="shared" si="0"/>
        <v>8.9775643656099504</v>
      </c>
      <c r="H16">
        <f t="shared" si="1"/>
        <v>5.2851294693878623</v>
      </c>
      <c r="I16">
        <f t="shared" si="2"/>
        <v>-4.9279884762192784E-2</v>
      </c>
      <c r="J16">
        <f t="shared" ref="J16:J38" si="8">0.5*O$7*(A16-I$5)/(J$5-I$5)</f>
        <v>0.20943951023931934</v>
      </c>
      <c r="P16" s="1"/>
      <c r="V16" t="s">
        <v>16</v>
      </c>
    </row>
    <row r="17" spans="1:22">
      <c r="A17">
        <v>8</v>
      </c>
      <c r="B17">
        <f t="shared" si="7"/>
        <v>12.293898294289985</v>
      </c>
      <c r="C17" s="4">
        <v>8.702</v>
      </c>
      <c r="D17">
        <f t="shared" si="5"/>
        <v>-3.5918982942899849</v>
      </c>
      <c r="E17">
        <f t="shared" si="6"/>
        <v>12.901733356523303</v>
      </c>
      <c r="G17">
        <f t="shared" si="0"/>
        <v>12.293898294289985</v>
      </c>
      <c r="H17">
        <f t="shared" si="1"/>
        <v>5.0704056250791547</v>
      </c>
      <c r="I17">
        <f t="shared" si="2"/>
        <v>-9.8559769524385568E-2</v>
      </c>
      <c r="J17">
        <f t="shared" si="8"/>
        <v>0.41887902047863868</v>
      </c>
      <c r="P17" s="1"/>
      <c r="V17" t="s">
        <v>17</v>
      </c>
    </row>
    <row r="18" spans="1:22">
      <c r="A18">
        <v>9</v>
      </c>
      <c r="B18">
        <f t="shared" si="7"/>
        <v>15.313728746487683</v>
      </c>
      <c r="C18" s="4">
        <v>10.844916666666668</v>
      </c>
      <c r="D18">
        <f t="shared" si="5"/>
        <v>-4.4688120798210154</v>
      </c>
      <c r="E18">
        <f t="shared" si="6"/>
        <v>19.970281404754228</v>
      </c>
      <c r="G18">
        <f t="shared" si="0"/>
        <v>15.313728746487683</v>
      </c>
      <c r="H18">
        <f t="shared" si="1"/>
        <v>4.8748795960961555</v>
      </c>
      <c r="I18">
        <f t="shared" si="2"/>
        <v>-0.14783965428657836</v>
      </c>
      <c r="J18">
        <f t="shared" si="8"/>
        <v>0.62831853071795807</v>
      </c>
      <c r="P18" s="1"/>
    </row>
    <row r="19" spans="1:22">
      <c r="A19">
        <v>10</v>
      </c>
      <c r="B19">
        <f t="shared" si="7"/>
        <v>17.905074640687772</v>
      </c>
      <c r="C19" s="4">
        <v>13.308</v>
      </c>
      <c r="D19">
        <f t="shared" si="5"/>
        <v>-4.5970746406877723</v>
      </c>
      <c r="E19">
        <f t="shared" si="6"/>
        <v>21.133095252054609</v>
      </c>
      <c r="G19">
        <f t="shared" si="0"/>
        <v>17.905074640687772</v>
      </c>
      <c r="H19">
        <f t="shared" si="1"/>
        <v>4.7070968081434064</v>
      </c>
      <c r="I19">
        <f t="shared" si="2"/>
        <v>-0.19711953904877114</v>
      </c>
      <c r="J19">
        <f t="shared" si="8"/>
        <v>0.83775804095727735</v>
      </c>
      <c r="P19" s="1"/>
      <c r="V19" t="s">
        <v>18</v>
      </c>
    </row>
    <row r="20" spans="1:22">
      <c r="A20">
        <v>11</v>
      </c>
      <c r="B20">
        <f t="shared" si="7"/>
        <v>19.954681726656503</v>
      </c>
      <c r="C20" s="4">
        <v>17.99775</v>
      </c>
      <c r="D20">
        <f t="shared" si="5"/>
        <v>-1.9569317266565029</v>
      </c>
      <c r="E20">
        <f t="shared" si="6"/>
        <v>3.829581782794802</v>
      </c>
      <c r="G20">
        <f t="shared" si="0"/>
        <v>19.954681726656503</v>
      </c>
      <c r="H20">
        <f t="shared" si="1"/>
        <v>4.5743901741655844</v>
      </c>
      <c r="I20">
        <f t="shared" si="2"/>
        <v>-0.24639942381096394</v>
      </c>
      <c r="J20">
        <f t="shared" si="8"/>
        <v>1.0471975511965967</v>
      </c>
      <c r="P20" s="1"/>
      <c r="V20" t="s">
        <v>19</v>
      </c>
    </row>
    <row r="21" spans="1:22">
      <c r="A21">
        <v>12</v>
      </c>
      <c r="B21">
        <f t="shared" si="7"/>
        <v>21.372972339631062</v>
      </c>
      <c r="C21" s="4">
        <v>20.774416666666671</v>
      </c>
      <c r="D21">
        <f t="shared" si="5"/>
        <v>-0.59855567296439105</v>
      </c>
      <c r="E21">
        <f t="shared" si="6"/>
        <v>0.35826889363785502</v>
      </c>
      <c r="G21">
        <f t="shared" si="0"/>
        <v>21.372972339631062</v>
      </c>
      <c r="H21">
        <f t="shared" si="1"/>
        <v>4.4825596108646</v>
      </c>
      <c r="I21">
        <f t="shared" si="2"/>
        <v>-0.29567930857315672</v>
      </c>
      <c r="J21">
        <f t="shared" si="8"/>
        <v>1.2566370614359161</v>
      </c>
      <c r="P21" s="1"/>
      <c r="V21" t="s">
        <v>14</v>
      </c>
    </row>
    <row r="22" spans="1:22">
      <c r="A22">
        <v>13</v>
      </c>
      <c r="B22">
        <f t="shared" si="7"/>
        <v>22.097960374111011</v>
      </c>
      <c r="C22" s="4">
        <v>20.329666666666672</v>
      </c>
      <c r="D22">
        <f t="shared" si="5"/>
        <v>-1.7682937074443394</v>
      </c>
      <c r="E22">
        <f t="shared" si="6"/>
        <v>3.1268626357872473</v>
      </c>
      <c r="G22">
        <f t="shared" si="0"/>
        <v>22.097960374111011</v>
      </c>
      <c r="H22">
        <f t="shared" si="1"/>
        <v>4.4356185545086415</v>
      </c>
      <c r="I22">
        <f t="shared" si="2"/>
        <v>-0.34495919333534952</v>
      </c>
      <c r="J22">
        <f t="shared" si="8"/>
        <v>1.4660765716752353</v>
      </c>
      <c r="P22" s="1"/>
      <c r="V22" t="s">
        <v>20</v>
      </c>
    </row>
    <row r="23" spans="1:22">
      <c r="A23">
        <v>14</v>
      </c>
      <c r="B23">
        <f t="shared" si="7"/>
        <v>22.097960374111018</v>
      </c>
      <c r="C23" s="4">
        <v>22.189333333333337</v>
      </c>
      <c r="D23">
        <f t="shared" si="5"/>
        <v>9.1372959222319139E-2</v>
      </c>
      <c r="E23">
        <f t="shared" si="6"/>
        <v>8.3490176770435968E-3</v>
      </c>
      <c r="G23">
        <f t="shared" si="0"/>
        <v>22.097960374111018</v>
      </c>
      <c r="H23">
        <f t="shared" si="1"/>
        <v>4.4356185545086406</v>
      </c>
      <c r="I23">
        <f t="shared" si="2"/>
        <v>-0.39423907809754227</v>
      </c>
      <c r="J23">
        <f t="shared" si="8"/>
        <v>1.6755160819145547</v>
      </c>
      <c r="P23" s="1"/>
    </row>
    <row r="24" spans="1:22">
      <c r="A24">
        <v>15</v>
      </c>
      <c r="B24">
        <f t="shared" si="7"/>
        <v>21.372972339631076</v>
      </c>
      <c r="C24" s="4">
        <v>21.030083333333334</v>
      </c>
      <c r="D24">
        <f t="shared" si="5"/>
        <v>-0.34288900629774233</v>
      </c>
      <c r="E24">
        <f t="shared" si="6"/>
        <v>0.11757287063985318</v>
      </c>
      <c r="G24">
        <f t="shared" si="0"/>
        <v>21.372972339631076</v>
      </c>
      <c r="H24">
        <f t="shared" si="1"/>
        <v>4.4825596108645991</v>
      </c>
      <c r="I24">
        <f t="shared" si="2"/>
        <v>-0.44351896285973508</v>
      </c>
      <c r="J24">
        <f t="shared" si="8"/>
        <v>1.8849555921538739</v>
      </c>
      <c r="P24" s="1"/>
      <c r="V24" t="s">
        <v>21</v>
      </c>
    </row>
    <row r="25" spans="1:22">
      <c r="A25">
        <v>16</v>
      </c>
      <c r="B25">
        <f t="shared" si="7"/>
        <v>19.954681726656528</v>
      </c>
      <c r="C25" s="4">
        <v>22.1585</v>
      </c>
      <c r="D25">
        <f t="shared" si="5"/>
        <v>2.2038182733434724</v>
      </c>
      <c r="E25">
        <f t="shared" si="6"/>
        <v>4.8568149819226036</v>
      </c>
      <c r="G25">
        <f t="shared" si="0"/>
        <v>19.954681726656528</v>
      </c>
      <c r="H25">
        <f t="shared" si="1"/>
        <v>4.5743901741655826</v>
      </c>
      <c r="I25">
        <f t="shared" si="2"/>
        <v>-0.49279884762192788</v>
      </c>
      <c r="J25">
        <f t="shared" si="8"/>
        <v>2.0943951023931935</v>
      </c>
      <c r="P25" s="1"/>
      <c r="V25" t="s">
        <v>22</v>
      </c>
    </row>
    <row r="26" spans="1:22">
      <c r="A26">
        <v>17</v>
      </c>
      <c r="B26">
        <f t="shared" si="7"/>
        <v>17.905074640687804</v>
      </c>
      <c r="C26" s="4">
        <v>18.060666666666663</v>
      </c>
      <c r="D26">
        <f t="shared" si="5"/>
        <v>0.15559202597885857</v>
      </c>
      <c r="E26">
        <f t="shared" si="6"/>
        <v>2.42088785482058E-2</v>
      </c>
      <c r="G26">
        <f t="shared" si="0"/>
        <v>17.905074640687804</v>
      </c>
      <c r="H26">
        <f t="shared" si="1"/>
        <v>4.7070968081434046</v>
      </c>
      <c r="I26">
        <f t="shared" si="2"/>
        <v>-0.54207873238412074</v>
      </c>
      <c r="J26">
        <f t="shared" si="8"/>
        <v>2.3038346126325129</v>
      </c>
      <c r="P26" s="1"/>
      <c r="V26" t="s">
        <v>23</v>
      </c>
    </row>
    <row r="27" spans="1:22">
      <c r="A27" s="3">
        <v>18</v>
      </c>
      <c r="B27">
        <f t="shared" si="7"/>
        <v>15.313728746487723</v>
      </c>
      <c r="C27" s="4">
        <v>13.947999999999999</v>
      </c>
      <c r="D27">
        <f t="shared" si="5"/>
        <v>-1.3657287464877239</v>
      </c>
      <c r="E27">
        <f t="shared" si="6"/>
        <v>1.8652150089829296</v>
      </c>
      <c r="F27" s="2"/>
      <c r="G27">
        <f t="shared" si="0"/>
        <v>15.313728746487723</v>
      </c>
      <c r="H27">
        <f t="shared" si="1"/>
        <v>4.8748795960961528</v>
      </c>
      <c r="I27" s="2">
        <f t="shared" si="2"/>
        <v>-0.59135861714631344</v>
      </c>
      <c r="J27">
        <f t="shared" si="8"/>
        <v>2.5132741228718323</v>
      </c>
      <c r="P27" s="1"/>
    </row>
    <row r="28" spans="1:22">
      <c r="A28">
        <v>19</v>
      </c>
      <c r="B28">
        <f>H28+(G28-H28)*EXP(I28)</f>
        <v>8.8768673755089917</v>
      </c>
      <c r="C28" s="4">
        <v>11.494750000000002</v>
      </c>
      <c r="D28">
        <f t="shared" si="5"/>
        <v>2.6178826244910098</v>
      </c>
      <c r="E28">
        <f t="shared" si="6"/>
        <v>6.8533094356119379</v>
      </c>
      <c r="G28">
        <f t="shared" si="0"/>
        <v>12.293898294290035</v>
      </c>
      <c r="H28">
        <f t="shared" si="1"/>
        <v>5.0704056250791512</v>
      </c>
      <c r="I28">
        <f t="shared" si="2"/>
        <v>-0.64063850190850613</v>
      </c>
      <c r="J28">
        <f t="shared" si="8"/>
        <v>2.7227136331111512</v>
      </c>
      <c r="P28" s="1"/>
    </row>
    <row r="29" spans="1:22">
      <c r="A29">
        <v>20</v>
      </c>
      <c r="B29">
        <f t="shared" ref="B29:B32" si="9">H29+(G29-H29)*EXP(I29)</f>
        <v>7.1373176069893933</v>
      </c>
      <c r="C29" s="4">
        <v>9.7671666666666663</v>
      </c>
      <c r="D29">
        <f t="shared" si="5"/>
        <v>2.629849059677273</v>
      </c>
      <c r="E29">
        <f t="shared" si="6"/>
        <v>6.9161060766854368</v>
      </c>
      <c r="G29">
        <f t="shared" si="0"/>
        <v>8.9775643656100055</v>
      </c>
      <c r="H29">
        <f t="shared" si="1"/>
        <v>5.2851294693878579</v>
      </c>
      <c r="I29">
        <f t="shared" si="2"/>
        <v>-0.68991838667069905</v>
      </c>
      <c r="J29">
        <f t="shared" si="8"/>
        <v>2.9321531433504706</v>
      </c>
      <c r="P29" s="1"/>
    </row>
    <row r="30" spans="1:22">
      <c r="A30">
        <v>21</v>
      </c>
      <c r="B30">
        <f t="shared" si="9"/>
        <v>5.5096666666666918</v>
      </c>
      <c r="C30" s="4">
        <v>8.845583333333332</v>
      </c>
      <c r="D30">
        <f t="shared" si="5"/>
        <v>3.3359166666666402</v>
      </c>
      <c r="E30">
        <f t="shared" si="6"/>
        <v>11.128340006944269</v>
      </c>
      <c r="G30">
        <f t="shared" si="0"/>
        <v>5.509666666666722</v>
      </c>
      <c r="H30">
        <f t="shared" si="1"/>
        <v>5.5096666666666643</v>
      </c>
      <c r="I30">
        <f t="shared" si="2"/>
        <v>-0.73919827143289185</v>
      </c>
      <c r="J30">
        <f t="shared" si="8"/>
        <v>3.14159265358979</v>
      </c>
      <c r="P30" s="1"/>
    </row>
    <row r="31" spans="1:22">
      <c r="A31">
        <v>22</v>
      </c>
      <c r="B31">
        <f t="shared" si="9"/>
        <v>4.0558592685958965</v>
      </c>
      <c r="C31" s="4">
        <v>8.5060000000000002</v>
      </c>
      <c r="D31">
        <f t="shared" si="5"/>
        <v>4.4501407314041037</v>
      </c>
      <c r="E31">
        <f t="shared" si="6"/>
        <v>19.80375252930185</v>
      </c>
      <c r="G31">
        <f t="shared" si="0"/>
        <v>2.0417689677234363</v>
      </c>
      <c r="H31">
        <f t="shared" si="1"/>
        <v>5.7342038639454698</v>
      </c>
      <c r="I31">
        <f t="shared" si="2"/>
        <v>-0.78847815619508455</v>
      </c>
      <c r="J31">
        <f t="shared" si="8"/>
        <v>3.3510321638291094</v>
      </c>
    </row>
    <row r="32" spans="1:22">
      <c r="A32">
        <v>23</v>
      </c>
      <c r="B32">
        <f t="shared" si="9"/>
        <v>2.823470609238556</v>
      </c>
      <c r="C32" s="4">
        <v>7.6480833333333349</v>
      </c>
      <c r="D32">
        <f t="shared" si="5"/>
        <v>4.8246127240947789</v>
      </c>
      <c r="E32">
        <f t="shared" si="6"/>
        <v>23.276887937497243</v>
      </c>
      <c r="G32">
        <f t="shared" si="0"/>
        <v>-1.2745649609566021</v>
      </c>
      <c r="H32">
        <f t="shared" si="1"/>
        <v>5.9489277082541783</v>
      </c>
      <c r="I32">
        <f t="shared" si="2"/>
        <v>-0.83775804095727735</v>
      </c>
      <c r="J32">
        <f t="shared" si="8"/>
        <v>3.5604716740684288</v>
      </c>
    </row>
    <row r="33" spans="1:10">
      <c r="A33">
        <v>24</v>
      </c>
      <c r="B33">
        <f t="shared" ref="B33:B38" si="10">H33</f>
        <v>6.1444537372371766</v>
      </c>
      <c r="C33" s="4">
        <v>7.2548333333333339</v>
      </c>
      <c r="D33">
        <f t="shared" si="5"/>
        <v>1.1103795960961573</v>
      </c>
      <c r="E33">
        <f t="shared" si="6"/>
        <v>1.2329428474266655</v>
      </c>
      <c r="G33">
        <f t="shared" si="0"/>
        <v>-4.2943954131542998</v>
      </c>
      <c r="H33">
        <f t="shared" si="1"/>
        <v>6.1444537372371766</v>
      </c>
      <c r="I33">
        <f t="shared" si="2"/>
        <v>-0.88703792571947015</v>
      </c>
      <c r="J33">
        <f t="shared" si="8"/>
        <v>3.7699111843077477</v>
      </c>
    </row>
    <row r="34" spans="1:10">
      <c r="A34">
        <v>25</v>
      </c>
      <c r="B34">
        <f t="shared" si="10"/>
        <v>6.3122365251899266</v>
      </c>
      <c r="C34" s="4">
        <v>7.7485833333333352</v>
      </c>
      <c r="D34">
        <f t="shared" si="5"/>
        <v>1.4363468081434085</v>
      </c>
      <c r="E34">
        <f t="shared" si="6"/>
        <v>2.0630921532637578</v>
      </c>
      <c r="G34">
        <f t="shared" si="0"/>
        <v>-6.8857413073543956</v>
      </c>
      <c r="H34">
        <f t="shared" si="1"/>
        <v>6.3122365251899266</v>
      </c>
      <c r="I34">
        <f t="shared" si="2"/>
        <v>-0.93631781048166285</v>
      </c>
      <c r="J34">
        <f t="shared" si="8"/>
        <v>3.9793506945470671</v>
      </c>
    </row>
    <row r="35" spans="1:10">
      <c r="A35">
        <v>26</v>
      </c>
      <c r="B35">
        <f t="shared" si="10"/>
        <v>6.4449431591677495</v>
      </c>
      <c r="C35" s="4">
        <v>7.765416666666666</v>
      </c>
      <c r="D35">
        <f t="shared" si="5"/>
        <v>1.3204735074989165</v>
      </c>
      <c r="E35">
        <f t="shared" si="6"/>
        <v>1.7436502840064909</v>
      </c>
      <c r="G35">
        <f t="shared" si="0"/>
        <v>-8.9353483933231423</v>
      </c>
      <c r="H35">
        <f t="shared" si="1"/>
        <v>6.4449431591677495</v>
      </c>
      <c r="I35">
        <f t="shared" si="2"/>
        <v>-0.98559769524385576</v>
      </c>
      <c r="J35">
        <f t="shared" si="8"/>
        <v>4.188790204786387</v>
      </c>
    </row>
    <row r="36" spans="1:10">
      <c r="A36">
        <v>27</v>
      </c>
      <c r="B36">
        <f t="shared" si="10"/>
        <v>6.536773722468733</v>
      </c>
      <c r="C36" s="4">
        <v>7.2631666666666659</v>
      </c>
      <c r="D36">
        <f t="shared" si="5"/>
        <v>0.72639294419793288</v>
      </c>
      <c r="E36">
        <f t="shared" si="6"/>
        <v>0.52764670938054126</v>
      </c>
      <c r="G36">
        <f t="shared" si="0"/>
        <v>-10.353639006297708</v>
      </c>
      <c r="H36">
        <f t="shared" si="1"/>
        <v>6.536773722468733</v>
      </c>
      <c r="I36">
        <f t="shared" si="2"/>
        <v>-1.0348775800060486</v>
      </c>
      <c r="J36">
        <f t="shared" si="8"/>
        <v>4.3982297150257059</v>
      </c>
    </row>
    <row r="37" spans="1:10">
      <c r="A37">
        <v>28</v>
      </c>
      <c r="B37">
        <f t="shared" si="10"/>
        <v>6.5837147788246932</v>
      </c>
      <c r="C37" s="4">
        <v>6.8851666666666675</v>
      </c>
      <c r="D37">
        <f t="shared" si="5"/>
        <v>0.3014518878419743</v>
      </c>
      <c r="E37">
        <f t="shared" si="6"/>
        <v>9.0873240683490245E-2</v>
      </c>
      <c r="G37">
        <f t="shared" si="0"/>
        <v>-11.078627040777668</v>
      </c>
      <c r="H37">
        <f t="shared" si="1"/>
        <v>6.5837147788246932</v>
      </c>
      <c r="I37">
        <f t="shared" si="2"/>
        <v>-1.0841574647682415</v>
      </c>
      <c r="J37">
        <f t="shared" si="8"/>
        <v>4.6076692252650258</v>
      </c>
    </row>
    <row r="38" spans="1:10">
      <c r="A38">
        <v>29</v>
      </c>
      <c r="B38">
        <f t="shared" si="10"/>
        <v>6.583714778824695</v>
      </c>
      <c r="C38" s="4">
        <v>6.6655833333333332</v>
      </c>
      <c r="D38">
        <f t="shared" si="5"/>
        <v>8.1868554508638169E-2</v>
      </c>
      <c r="E38">
        <f t="shared" si="6"/>
        <v>6.7024602173338587E-3</v>
      </c>
      <c r="G38">
        <f t="shared" si="0"/>
        <v>-11.078627040777686</v>
      </c>
      <c r="H38">
        <f t="shared" si="1"/>
        <v>6.583714778824695</v>
      </c>
      <c r="I38">
        <f t="shared" si="2"/>
        <v>-1.133437349530434</v>
      </c>
      <c r="J38">
        <f t="shared" si="8"/>
        <v>4.8171087355043447</v>
      </c>
    </row>
    <row r="40" spans="1:10" ht="15.6">
      <c r="C40" s="6" t="s">
        <v>33</v>
      </c>
      <c r="D40" s="7"/>
    </row>
    <row r="41" spans="1:10" ht="15.6">
      <c r="D41" s="11">
        <f>SQRT(SUMSQ(D9:D38)/COUNTA(D9:D38))</f>
        <v>2.3066138241170466</v>
      </c>
      <c r="E41" s="10" t="s">
        <v>57</v>
      </c>
    </row>
    <row r="42" spans="1:10">
      <c r="D42" s="12" cm="1">
        <f t="array" ref="D42" xml:space="preserve"> SQRT(SUMSQ(B9:B38-C9:C38)/COUNTA(B9:B38))</f>
        <v>2.3066138241170466</v>
      </c>
      <c r="E42" s="9" t="s">
        <v>58</v>
      </c>
    </row>
    <row r="44" spans="1:10">
      <c r="H44" t="s">
        <v>56</v>
      </c>
      <c r="I44" s="9" t="s">
        <v>55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C0B3-4D2F-49E3-9F6B-CF298AB35D32}">
  <dimension ref="B1:B29"/>
  <sheetViews>
    <sheetView workbookViewId="0">
      <selection activeCell="B1" sqref="B1"/>
    </sheetView>
  </sheetViews>
  <sheetFormatPr defaultRowHeight="14.4"/>
  <sheetData>
    <row r="1" spans="2:2">
      <c r="B1" s="2" t="s">
        <v>53</v>
      </c>
    </row>
    <row r="2" spans="2:2">
      <c r="B2" t="s">
        <v>61</v>
      </c>
    </row>
    <row r="4" spans="2:2">
      <c r="B4" s="2" t="s">
        <v>42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2" spans="2:2">
      <c r="B12" t="s">
        <v>10</v>
      </c>
    </row>
    <row r="13" spans="2:2">
      <c r="B13" t="s">
        <v>11</v>
      </c>
    </row>
    <row r="15" spans="2:2">
      <c r="B15" t="s">
        <v>12</v>
      </c>
    </row>
    <row r="17" spans="2:2">
      <c r="B17" t="s">
        <v>13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2" spans="2:2">
      <c r="B22" t="s">
        <v>18</v>
      </c>
    </row>
    <row r="23" spans="2:2">
      <c r="B23" t="s">
        <v>19</v>
      </c>
    </row>
    <row r="24" spans="2:2">
      <c r="B24" t="s">
        <v>14</v>
      </c>
    </row>
    <row r="25" spans="2:2">
      <c r="B25" t="s">
        <v>20</v>
      </c>
    </row>
    <row r="27" spans="2:2">
      <c r="B27" t="s">
        <v>21</v>
      </c>
    </row>
    <row r="28" spans="2:2">
      <c r="B28" t="s">
        <v>22</v>
      </c>
    </row>
    <row r="29" spans="2:2">
      <c r="B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partonloganmodel</vt:lpstr>
      <vt:lpstr>Model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2025-01-25T22:24:55Z</dcterms:modified>
</cp:coreProperties>
</file>